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年12月收支财务报表" sheetId="1" r:id="rId4"/>
    <sheet state="hidden" name="2025年11月收支财务报表" sheetId="2" r:id="rId5"/>
    <sheet state="hidden" name="2025年10月收支财务报表" sheetId="3" r:id="rId6"/>
    <sheet state="hidden" name="2025年9月收支财务报表" sheetId="4" r:id="rId7"/>
    <sheet state="hidden" name="2025年8月收支财务报表" sheetId="5" r:id="rId8"/>
    <sheet state="hidden" name="2025年7月收支财务报表" sheetId="6" r:id="rId9"/>
    <sheet state="hidden" name="2025年6月收支财务报表" sheetId="7" r:id="rId10"/>
    <sheet state="hidden" name="2025年5月收支财务报表" sheetId="8" r:id="rId11"/>
    <sheet state="hidden" name="2025年4月收支财务报表" sheetId="9" r:id="rId12"/>
    <sheet state="hidden" name="2025年3月收支财务报表" sheetId="10" r:id="rId13"/>
    <sheet state="hidden" name="2025年2月收支财务报表" sheetId="11" r:id="rId14"/>
    <sheet state="hidden" name="2025年1月收支财务报表" sheetId="12" r:id="rId15"/>
    <sheet state="hidden" name="12月收支财务报表" sheetId="13" r:id="rId16"/>
    <sheet state="hidden" name="11月收支财务报表" sheetId="14" r:id="rId17"/>
    <sheet state="hidden" name="10月收支财务报表" sheetId="15" r:id="rId18"/>
    <sheet state="hidden" name="10月支付宝备用金" sheetId="16" r:id="rId19"/>
    <sheet state="hidden" name="10月微信备用金" sheetId="17" r:id="rId20"/>
    <sheet state="hidden" name="9月收支财务报表" sheetId="18" r:id="rId21"/>
    <sheet state="hidden" name="9月支付宝备用金" sheetId="19" r:id="rId22"/>
    <sheet state="hidden" name="9月微信备用金" sheetId="20" r:id="rId23"/>
    <sheet state="hidden" name="8月收支财务报表" sheetId="21" r:id="rId24"/>
    <sheet state="hidden" name="7月备用金充值详情" sheetId="22" r:id="rId25"/>
    <sheet state="hidden" name="7月收支财务报表" sheetId="23" r:id="rId26"/>
    <sheet state="hidden" name="8月账单户" sheetId="24" r:id="rId27"/>
    <sheet state="hidden" name="8月BM" sheetId="25" r:id="rId28"/>
    <sheet state="hidden" name="8月备用金充值详情" sheetId="26" r:id="rId29"/>
    <sheet state="hidden" name="6月启航小h充值详情" sheetId="27" r:id="rId30"/>
    <sheet state="hidden" name="6月收支财务报表" sheetId="28" r:id="rId31"/>
    <sheet state="hidden" name="月收支财务报表（模板）" sheetId="29" r:id="rId32"/>
    <sheet state="hidden" name="5月启航小h充值详情" sheetId="30" r:id="rId33"/>
    <sheet state="hidden" name="5月收支财务报表" sheetId="31" r:id="rId34"/>
    <sheet state="hidden" name="4月收支财务报表" sheetId="32" r:id="rId35"/>
    <sheet state="hidden" name="3月收支财务报表" sheetId="33" r:id="rId36"/>
    <sheet state="hidden" name="2月收支财务报表" sheetId="34" r:id="rId37"/>
  </sheets>
  <definedNames>
    <definedName hidden="1" localSheetId="22" name="_xlnm._FilterDatabase">'7月收支财务报表'!$A$1:$AB$1000</definedName>
    <definedName hidden="1" localSheetId="23" name="_xlnm._FilterDatabase">'8月账单户'!$A$1:$AB$1000</definedName>
    <definedName hidden="1" localSheetId="24" name="_xlnm._FilterDatabase">'8月BM'!$A$1:$AB$1000</definedName>
    <definedName hidden="1" localSheetId="25" name="_xlnm._FilterDatabase">'8月备用金充值详情'!$A$1:$AB$1</definedName>
    <definedName hidden="1" localSheetId="26" name="_xlnm._FilterDatabase">'6月启航小h充值详情'!$A$1:$Z$1000</definedName>
    <definedName hidden="1" localSheetId="27" name="_xlnm._FilterDatabase">'6月收支财务报表'!$A$1:$AB$1000</definedName>
    <definedName hidden="1" localSheetId="30" name="_xlnm._FilterDatabase">'5月收支财务报表'!$A$1:$Z$1000</definedName>
  </definedNames>
  <calcPr/>
</workbook>
</file>

<file path=xl/sharedStrings.xml><?xml version="1.0" encoding="utf-8"?>
<sst xmlns="http://schemas.openxmlformats.org/spreadsheetml/2006/main" count="10820" uniqueCount="3137">
  <si>
    <t xml:space="preserve"> </t>
  </si>
  <si>
    <t>2025年12月收支财务报表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</si>
  <si>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</si>
  <si>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12月收支明细 </t>
    </r>
    <r>
      <rPr>
        <rFont val="Arial"/>
        <color rgb="FF3CBCAA"/>
        <sz val="20.0"/>
      </rPr>
      <t>DETAIL</t>
    </r>
  </si>
  <si>
    <t>U支出的广告配套（不含RMB支出）</t>
  </si>
  <si>
    <t>序号</t>
  </si>
  <si>
    <t>日期</t>
  </si>
  <si>
    <t>收入</t>
  </si>
  <si>
    <t>支出</t>
  </si>
  <si>
    <t>月份查询</t>
  </si>
  <si>
    <t>项目</t>
  </si>
  <si>
    <t>金额</t>
  </si>
  <si>
    <t>备注</t>
  </si>
  <si>
    <t>时间</t>
  </si>
  <si>
    <t>后勤支出</t>
  </si>
  <si>
    <t>12月</t>
  </si>
  <si>
    <t>▼</t>
  </si>
  <si>
    <t>11月结余</t>
  </si>
  <si>
    <t>fb三不限10➕1Nancy</t>
  </si>
  <si>
    <t>wade shen 美金谷歌户</t>
  </si>
  <si>
    <t>广告配套</t>
  </si>
  <si>
    <t>BM*10</t>
  </si>
  <si>
    <t>B哥&amp;谷歌充值9➕1Nancy</t>
  </si>
  <si>
    <t>谷歌邮箱*8</t>
  </si>
  <si>
    <t>SZ_TK下户Chris Ryan</t>
  </si>
  <si>
    <t>海总-新加坡、加拿大</t>
  </si>
  <si>
    <t>IP: 40个</t>
  </si>
  <si>
    <t>印度企业户 欧洲美金户下户</t>
  </si>
  <si>
    <t>GT&amp;SHEN 欧洲户新</t>
  </si>
  <si>
    <t>1000*1.14=1140</t>
  </si>
  <si>
    <t>Y-5208 FB欧/美户</t>
  </si>
  <si>
    <t>GT&amp;papa 二不限新</t>
  </si>
  <si>
    <t>结余</t>
  </si>
  <si>
    <t>1000*1.111-441.25=669.75</t>
  </si>
  <si>
    <t>谷歌共享户/老户</t>
  </si>
  <si>
    <t>(700-290.3)*1.06开户费+20*2=474.28</t>
  </si>
  <si>
    <t>路人互动</t>
  </si>
  <si>
    <t>GT&amp;SHEN 谷歌原生账单户</t>
  </si>
  <si>
    <t>ADS续费</t>
  </si>
  <si>
    <t>志诚三不限</t>
  </si>
  <si>
    <t>任意时段查询</t>
  </si>
  <si>
    <t>580.6，ZZY的周结算11/22-11/30</t>
  </si>
  <si>
    <t>路人互动系统</t>
  </si>
  <si>
    <t>启航</t>
  </si>
  <si>
    <t>起始日期：</t>
  </si>
  <si>
    <t>防护续费</t>
  </si>
  <si>
    <t>GT&amp;papa欧</t>
  </si>
  <si>
    <t>印度户印尼企业户</t>
  </si>
  <si>
    <t>ZZ 2900.38+309.0418-3,444.38=-234.9582；SZ 500*1.11=555</t>
  </si>
  <si>
    <t>星链-AdNova</t>
  </si>
  <si>
    <t>海总新渠道</t>
  </si>
  <si>
    <t>结束日期：</t>
  </si>
  <si>
    <t>开户费50*2=100</t>
  </si>
  <si>
    <t>大鱼速汇</t>
  </si>
  <si>
    <t>GT&amp;海总 欧洲金融户</t>
  </si>
  <si>
    <t>500*5*1.11=2775</t>
  </si>
  <si>
    <t>VCC-新系统</t>
  </si>
  <si>
    <t>海总-黑泽</t>
  </si>
  <si>
    <t>开户费50*2+随机金额0.68+6.55*1.07=107.68</t>
  </si>
  <si>
    <t>谷歌-饭团</t>
  </si>
  <si>
    <t>工单</t>
  </si>
  <si>
    <t>风口猪11月充值广告费</t>
  </si>
  <si>
    <t>182.1+1248.7+19*50+1690+1061.9-3853.13=1,279.57</t>
  </si>
  <si>
    <t>Anthony - FKZ - 6,5%</t>
  </si>
  <si>
    <t>TK下户hailey</t>
  </si>
  <si>
    <t>500*2*1.10=1100</t>
  </si>
  <si>
    <t>21：02</t>
  </si>
  <si>
    <t>Lolo - FKZ (~5% | dating)</t>
  </si>
  <si>
    <t>（500-433.53）*1.07+开户费50*3=221.12</t>
  </si>
  <si>
    <t>十月二不限——（泰华）</t>
  </si>
  <si>
    <t>SZ-2_TK广告户-村长</t>
  </si>
  <si>
    <t>F2新加坡</t>
  </si>
  <si>
    <t>VPN续费</t>
  </si>
  <si>
    <t>二不限企业户Makie</t>
  </si>
  <si>
    <t>（500-4.99）*1.1*1.01+开户费50=599.95</t>
  </si>
  <si>
    <t>凤凰渠道-泰华</t>
  </si>
  <si>
    <t>500*1.05*1.01+开户费50*2=630.25</t>
  </si>
  <si>
    <t>风口猪12月充值广告费</t>
  </si>
  <si>
    <t>认证主页+普通主页</t>
  </si>
  <si>
    <t>流苏</t>
  </si>
  <si>
    <t>明细：个号：60；中文认证主页：12；认证主页：109；主页：2；复审主页：6；复审BM：10</t>
  </si>
  <si>
    <t>岳总</t>
  </si>
  <si>
    <t>开户费20*7=140</t>
  </si>
  <si>
    <t>渠道106-本土fb🇯🇵</t>
  </si>
  <si>
    <t>其中SZ 500*1.11=555；DUNG备用金：500；Mad-shahe备用金：500；RED待付：（425.42-500）*1.11=82.78；ne待付：500*1.11=555；SP待付 ：1100；总待付：82.78+555+1100-500-500=737.78</t>
  </si>
  <si>
    <t xml:space="preserve">华侨粉测试 </t>
  </si>
  <si>
    <t>SZ 开户费5*60+(1200-少算100-804.69)*1.08+上面的1,548.01=2,166.94</t>
  </si>
  <si>
    <t>印度资金测试</t>
  </si>
  <si>
    <t>官方授权户-15</t>
  </si>
  <si>
    <t>100*1.01=101</t>
  </si>
  <si>
    <t>(500-163.75)*1.11=373.2375</t>
  </si>
  <si>
    <t>500*1.1=550</t>
  </si>
  <si>
    <t>200*1.1+开户费100=320</t>
  </si>
  <si>
    <t>华侨老头粉</t>
  </si>
  <si>
    <t>100*1.07+随机金额0.17=107.17</t>
  </si>
  <si>
    <t>200*1.01=202</t>
  </si>
  <si>
    <t>SZ (50-29.6)*1.09=22.24；ZZ 240*1.09=261.6</t>
  </si>
  <si>
    <t>往上支出-------------------分割线-------------------往下收入</t>
  </si>
  <si>
    <t>BM*5</t>
  </si>
  <si>
    <t>100*1.09=109</t>
  </si>
  <si>
    <t>200*1.065=213</t>
  </si>
  <si>
    <t>100*1.05=105U</t>
  </si>
  <si>
    <t>渠道106-不土FB🇯🇵</t>
  </si>
  <si>
    <t>风口猪充值广告费</t>
  </si>
  <si>
    <t>10-11月支出的广告费：共计：4687.84</t>
  </si>
  <si>
    <t>F2加拿大TK</t>
  </si>
  <si>
    <t>300*1.02+30*3开户费=396</t>
  </si>
  <si>
    <t>巴西1期</t>
  </si>
  <si>
    <t>600*1.11=666</t>
  </si>
  <si>
    <t>100*1.07+随机金额0.25=107.25</t>
  </si>
  <si>
    <t>10-11月的退款</t>
  </si>
  <si>
    <t>二不限企业户</t>
  </si>
  <si>
    <t>471.23 *1.025=483</t>
  </si>
  <si>
    <t>1100*1.11=1221</t>
  </si>
  <si>
    <t>3700+706-1298.04=3107.96</t>
  </si>
  <si>
    <t>(4100-893.62)*1.08+0.01=3,462.9</t>
  </si>
  <si>
    <t>明细：个号：40；认证主页：68；复审主页：1；BM：1；中文认证主页：5；TK白号：3；复审BM：15</t>
  </si>
  <si>
    <t>发工资</t>
  </si>
  <si>
    <t>开户费20</t>
  </si>
  <si>
    <t>17：21</t>
  </si>
  <si>
    <t>换汇RMB</t>
  </si>
  <si>
    <t>SZ2-ZZY 周结算12.1-12.14支出 $610.54</t>
  </si>
  <si>
    <t>开户费760+2190+194.1+SZ117.56-2344.51=917.15</t>
  </si>
  <si>
    <t>16：11</t>
  </si>
  <si>
    <t>合并付款</t>
  </si>
  <si>
    <t>600*1.05*1.01+67.09=703.39</t>
  </si>
  <si>
    <t>随机金额0.49+100*1.07=107.49</t>
  </si>
  <si>
    <t>500*1.01=505</t>
  </si>
  <si>
    <t>1430*1.07+50*3开户费-196.86=1,483.24</t>
  </si>
  <si>
    <t>1000*1.01=1010</t>
  </si>
  <si>
    <t>合并付款2000*1.01=2020</t>
  </si>
  <si>
    <t>合并付款200*1.01=202</t>
  </si>
  <si>
    <t>随机金额0.27+200*1.07=214.27</t>
  </si>
  <si>
    <t>飞书三不限 171.01-300=-128.99*1.05*1.01+40=-176.79</t>
  </si>
  <si>
    <t>10800+864-6545.77=5118.23</t>
  </si>
  <si>
    <t>6.84+8.51+310.98=326.33</t>
  </si>
  <si>
    <t>✅</t>
  </si>
  <si>
    <t>2025年11月收支财务报表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</si>
  <si>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</si>
  <si>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11月收支明细 </t>
    </r>
    <r>
      <rPr>
        <rFont val="Arial"/>
        <color rgb="FF3CBCAA"/>
        <sz val="20.0"/>
      </rPr>
      <t>DETAIL</t>
    </r>
  </si>
  <si>
    <t>11月</t>
  </si>
  <si>
    <t>10月结余</t>
  </si>
  <si>
    <t>1000*1.11=1110+40=1150</t>
  </si>
  <si>
    <t>ZZ 100*1.09=109：SZ 100*1.09=109</t>
  </si>
  <si>
    <t>已退</t>
  </si>
  <si>
    <t>11/14 管控</t>
  </si>
  <si>
    <t>GT&amp;papa 二不限</t>
  </si>
  <si>
    <t>ZZ 100*1.04=104</t>
  </si>
  <si>
    <t>SZ 200*1.04=208</t>
  </si>
  <si>
    <t>余额转谷歌了</t>
  </si>
  <si>
    <t>谷歌邮箱*5</t>
  </si>
  <si>
    <t>11/17 封控</t>
  </si>
  <si>
    <t>-1380.27*1.025=-1414.78</t>
  </si>
  <si>
    <t>20端口</t>
  </si>
  <si>
    <t>华飞-Alex（三不限）8+千分6</t>
  </si>
  <si>
    <t>退款</t>
  </si>
  <si>
    <t>BM：10</t>
  </si>
  <si>
    <t>wade shen 美金谷歌户25+5%</t>
  </si>
  <si>
    <t>SZ 1000-368.44*1.075-30=633.93</t>
  </si>
  <si>
    <t>开户费50</t>
  </si>
  <si>
    <t>换汇</t>
  </si>
  <si>
    <t>bc 的广告费</t>
  </si>
  <si>
    <t>ZZ 2000*1.11=2220</t>
  </si>
  <si>
    <t>Alex &amp; Doris_谷歌户</t>
  </si>
  <si>
    <t>ZZ 1000*1.11=1110</t>
  </si>
  <si>
    <t>B哥半年房租</t>
  </si>
  <si>
    <t>bc 的广告费退款</t>
  </si>
  <si>
    <t>德国单粉—summer FB180</t>
  </si>
  <si>
    <t>渠道BF 德国F</t>
  </si>
  <si>
    <t>新K4</t>
  </si>
  <si>
    <t>瑞典1梯队（蟑螂哥）结算群</t>
  </si>
  <si>
    <t>印尼二期</t>
  </si>
  <si>
    <t>B哥10月分红：133,519.66*0.45=60,083.847</t>
  </si>
  <si>
    <t>十月二不限</t>
  </si>
  <si>
    <t>总消耗：$1020.84
服务费15%: $153.13
金额：1020.84+153.13=$1173.97</t>
  </si>
  <si>
    <t>Alex_1011——谷歌原生户</t>
  </si>
  <si>
    <t>SZ公司支出报销</t>
  </si>
  <si>
    <t>泰华 &amp; Bigad 谷歌老户 8+1</t>
  </si>
  <si>
    <t>日期：11.05
用途：瑞典1梯队蟑螂哥渠道
单价：90
有效：4个
金额：90*4=360</t>
  </si>
  <si>
    <t>400*1.08+开户费20*2=472</t>
  </si>
  <si>
    <t>明细：老主页：1;  复审老主页：56； 认证主页：7；个号：41；二解号：1</t>
  </si>
  <si>
    <t>开户费-4*20-BC2*30-800*1.08=-1004</t>
  </si>
  <si>
    <t>开户费200</t>
  </si>
  <si>
    <t>11；28</t>
  </si>
  <si>
    <t>ZZ （1500-497.56）*1.11=1112.70</t>
  </si>
  <si>
    <t>日期：11.08
用途：瑞典1梯队蟑螂哥渠道
单价：90
有效：18个
金额：90*18=1620</t>
  </si>
  <si>
    <t>-500*1.07=-535</t>
  </si>
  <si>
    <t>ZZ 1500* 1.1/0.99=1,666.67；SZ 2000* 1.1/0.99-927.66=1,294.56</t>
  </si>
  <si>
    <t>日期：11.09
用途：瑞典1梯队蟑螂哥渠道
单价：90
有效：2个
金额：90*2=180</t>
  </si>
  <si>
    <t>8720.22+707.62-3647.95=5779.89</t>
  </si>
  <si>
    <t>张总10月分红：133,519.66*0.45=60,083.847</t>
  </si>
  <si>
    <t>开户费-2*20-BC30-600*1.08=-718</t>
  </si>
  <si>
    <t>ZZ(1000-414.15)*1.11= 650.29</t>
  </si>
  <si>
    <t>开户费50*2</t>
  </si>
  <si>
    <t>明细：谷歌邮箱*10</t>
  </si>
  <si>
    <t>开户费-2*20-(195.31-400)*1.08=-261.07</t>
  </si>
  <si>
    <t>500-147.61=352.39*1.1=387.63</t>
  </si>
  <si>
    <t>500*1.11*3=1665</t>
  </si>
  <si>
    <t>3500+(3500-949.78)*0.0908+开户费30*13-3712.4=409.16</t>
  </si>
  <si>
    <t>500*1.0908=545.4</t>
  </si>
  <si>
    <t>1000*1.1-647.12=452.87</t>
  </si>
  <si>
    <t>(1500-130.93)*1.08+开户费20*6=1,598.60</t>
  </si>
  <si>
    <t>200*1.08=216.00</t>
  </si>
  <si>
    <t>(清零5.85+5.59-150)*1.07-开户费50*5+(7.38-130)*1.1-开户费40=573.14</t>
  </si>
  <si>
    <t>明细：主页：3；认证主页：11；老主页：65 ；个号：55</t>
  </si>
  <si>
    <t>开户费20*2+200*1.06=252</t>
  </si>
  <si>
    <t>谷歌邮箱*7</t>
  </si>
  <si>
    <t>TK德国中介费</t>
  </si>
  <si>
    <t>开户费20+100*1.06=126</t>
  </si>
  <si>
    <t>（398.4+368.42-900）*1.08-开户费200=-343.83</t>
  </si>
  <si>
    <t>1300*1.08=1404</t>
  </si>
  <si>
    <t>矿工费</t>
  </si>
  <si>
    <t>500*2*1.1=1100</t>
  </si>
  <si>
    <t>开户费20*2+200*2*1.06=464</t>
  </si>
  <si>
    <t>开户费105+150=255</t>
  </si>
  <si>
    <t>3500+244.21-2072.15=1672.06</t>
  </si>
  <si>
    <t>15：58</t>
  </si>
  <si>
    <t>(1600-400)*1.08=1296</t>
  </si>
  <si>
    <t>600*1.06=636</t>
  </si>
  <si>
    <t>开户费4*20=80</t>
  </si>
  <si>
    <t>开户费100</t>
  </si>
  <si>
    <t>日期：11.14
用途：瑞典1梯队蟑螂哥渠道
单价：90
有效：4个
金额：90*4=360</t>
  </si>
  <si>
    <t>4*40=160刀</t>
  </si>
  <si>
    <t>(1300-753.07)*1.06+20*4=659.75</t>
  </si>
  <si>
    <t>210*1.12*1.01=237.552</t>
  </si>
  <si>
    <t>600*1.01=606</t>
  </si>
  <si>
    <t>(2000-1130.86)*1.07=929.98</t>
  </si>
  <si>
    <t>(6000-2,273.12)*1.08=4,175.03</t>
  </si>
  <si>
    <t>500*1.06=530</t>
  </si>
  <si>
    <t>14：54</t>
  </si>
  <si>
    <t>(2500-2047.10)*1.0908+30*3开户费=584.03</t>
  </si>
  <si>
    <t>-1000*1.07=-1070</t>
  </si>
  <si>
    <t>1000*1.0908=1090.8</t>
  </si>
  <si>
    <t>谷歌邮箱*10</t>
  </si>
  <si>
    <t>明细：TK白号：1；人名认证主页：4；老主页：35；认证主页：7；个号：20</t>
  </si>
  <si>
    <t>(3000-413.62)*1.08+开户费50*5=3,043.29</t>
  </si>
  <si>
    <t xml:space="preserve">336.74，ZZY的周结算11/16-11/21 </t>
  </si>
  <si>
    <t>SZ的公司报销，合并转款￥20,308.72，2858.8u</t>
  </si>
  <si>
    <t>14：45</t>
  </si>
  <si>
    <t>(2300-1,052.16)*1.08+开户费(3*50+140+60)=1697.667</t>
  </si>
  <si>
    <t>ZZ (1800-1494.92)*1.11+300*1.06+开户费30*2=383.64</t>
  </si>
  <si>
    <t>GPT订阅</t>
  </si>
  <si>
    <t>(850-6.74-10-74.69)*1.07+开户费5*50+(510-7.29-8.5)*1.07=1605.3</t>
  </si>
  <si>
    <t>(900-406.12)*1.06+开户费20*2=563.51</t>
  </si>
  <si>
    <t>300*1.06=318</t>
  </si>
  <si>
    <t>(800-100)*1.06=742</t>
  </si>
  <si>
    <t>(5100-195.94)*1.08+开户费200=5496.3848</t>
  </si>
  <si>
    <t>800*1.11=888</t>
  </si>
  <si>
    <t>700*1.06=742</t>
  </si>
  <si>
    <t>(500*3-492.03)*1.1-525.95=582.82</t>
  </si>
  <si>
    <t>(200-89.91)*1.11=122.20</t>
  </si>
  <si>
    <t>2200*1.1+(110-105.9)*1.07+开户费50=2474.39</t>
  </si>
  <si>
    <t>3500*1.08+开户费60*4+50*2=4120</t>
  </si>
  <si>
    <t>（300-24.56）*1.05*1.01+开户费30=322.10</t>
  </si>
  <si>
    <t>清零(418.31-800)*1.06 开户费-20=-424.59</t>
  </si>
  <si>
    <t>300*1.05*1.01+开户费30=348.15</t>
  </si>
  <si>
    <t>个号：50；中文认证主页：2；认证主页：84；老主页：21</t>
  </si>
  <si>
    <t>欧意上换能量还有8U，用欧意转到TRON有两笔手续费大概是5U*2</t>
  </si>
  <si>
    <t>2025年10月收支财务报表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</si>
  <si>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</si>
  <si>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10月收支明细 </t>
    </r>
    <r>
      <rPr>
        <rFont val="Arial"/>
        <color rgb="FF3CBCAA"/>
        <sz val="20.0"/>
      </rPr>
      <t>DETAIL</t>
    </r>
  </si>
  <si>
    <t>10月</t>
  </si>
  <si>
    <t>9月结余</t>
  </si>
  <si>
    <t>白马4期</t>
  </si>
  <si>
    <t>Vcc-102524 服务费1（泰华）</t>
  </si>
  <si>
    <t>充值金额13649.06263+手续费1131.925011=14,780.99</t>
  </si>
  <si>
    <t>个号*10</t>
  </si>
  <si>
    <t>个号*5</t>
  </si>
  <si>
    <t>三不限美国户-8%小鱼</t>
  </si>
  <si>
    <t>500*1.08=540</t>
  </si>
  <si>
    <t>14：18</t>
  </si>
  <si>
    <t>充值金额5940.570042+手续费515.2456034=6,455.82</t>
  </si>
  <si>
    <t>12：08</t>
  </si>
  <si>
    <t>IP*40个</t>
  </si>
  <si>
    <t>20：22</t>
  </si>
  <si>
    <t>耐用号*5</t>
  </si>
  <si>
    <t>11：13</t>
  </si>
  <si>
    <t>HC ADS Agency 2 2026</t>
  </si>
  <si>
    <t>充值金额16678.84+手续费1384.31=18,063.14</t>
  </si>
  <si>
    <t>ZZ (100*3-295)*1.02+开户费30=35.1，SZ (100*5*-87)1.02+开户费30*2=481.26，合计516.36</t>
  </si>
  <si>
    <t>wade 谷歌户（阿水）</t>
  </si>
  <si>
    <t>15：41</t>
  </si>
  <si>
    <t>K26/印度股票</t>
  </si>
  <si>
    <t>400*1.01=404</t>
  </si>
  <si>
    <t>谷歌-otto</t>
  </si>
  <si>
    <t>充值金额12800.24+手续费1084.02=13,884.26</t>
  </si>
  <si>
    <t>12：51</t>
  </si>
  <si>
    <t>22：37</t>
  </si>
  <si>
    <t>13：44</t>
  </si>
  <si>
    <t>充值金额7781.16+手续费622.49=8,403.65</t>
  </si>
  <si>
    <t>SHEN@FLZ 2 群</t>
  </si>
  <si>
    <t>(800-381.08)*1.025=429.39，实转420.36，少转9.03</t>
  </si>
  <si>
    <t>22：28</t>
  </si>
  <si>
    <t>(清零1133.54-充值1087.06)*1.075-开户费190= -140.03</t>
  </si>
  <si>
    <t>11：43</t>
  </si>
  <si>
    <t>GT二不限新</t>
  </si>
  <si>
    <t>谷歌邮箱4个</t>
  </si>
  <si>
    <t>11：49</t>
  </si>
  <si>
    <t>印度20期</t>
  </si>
  <si>
    <t>GPT订阅19.8*1.01=20</t>
  </si>
  <si>
    <t>11：58</t>
  </si>
  <si>
    <t>GPT订阅50*1.01=50.5</t>
  </si>
  <si>
    <t>12：11</t>
  </si>
  <si>
    <t>海总-比利时单导测试</t>
  </si>
  <si>
    <t>15：19</t>
  </si>
  <si>
    <t>赵总</t>
  </si>
  <si>
    <t>15：23</t>
  </si>
  <si>
    <t>新K1/B哥</t>
  </si>
  <si>
    <t>15：37</t>
  </si>
  <si>
    <t>15：40</t>
  </si>
  <si>
    <t>15：42</t>
  </si>
  <si>
    <t>15：44</t>
  </si>
  <si>
    <t>B哥/马来英语粉</t>
  </si>
  <si>
    <t>1110+1120-855.69=1374.31</t>
  </si>
  <si>
    <t>16：23</t>
  </si>
  <si>
    <t>飞机会员</t>
  </si>
  <si>
    <t>18：20</t>
  </si>
  <si>
    <t>新K4/B哥</t>
  </si>
  <si>
    <t>18：54</t>
  </si>
  <si>
    <t>600*1.025=615</t>
  </si>
  <si>
    <t>10：20</t>
  </si>
  <si>
    <t>韩国维权粉测试</t>
  </si>
  <si>
    <t>谷歌邮箱*6</t>
  </si>
  <si>
    <t>10：36</t>
  </si>
  <si>
    <t>SZ报销</t>
  </si>
  <si>
    <t>12：06</t>
  </si>
  <si>
    <t>充值金额14664.33+手续费1213.15=15,877.47</t>
  </si>
  <si>
    <t>个号充值预存</t>
  </si>
  <si>
    <t>SZ 1200*1.025=1,230，ZZ 200*1.025=205</t>
  </si>
  <si>
    <t>16：53</t>
  </si>
  <si>
    <t>6% 海外户</t>
  </si>
  <si>
    <t>17：08</t>
  </si>
  <si>
    <t>谷歌邮箱*2</t>
  </si>
  <si>
    <t>飞机号</t>
  </si>
  <si>
    <t>20：10</t>
  </si>
  <si>
    <t>600*1.02+开户费30*2=672，少转2U</t>
  </si>
  <si>
    <t>20：26</t>
  </si>
  <si>
    <t>GT&amp;SHEN 欧洲户8+1</t>
  </si>
  <si>
    <t>明细：谷歌邮箱：1；主页：4；老主页：52；BM：30；个号：60</t>
  </si>
  <si>
    <t>印度企业户 欧洲美金户</t>
  </si>
  <si>
    <t>14727.27+1238.18=15,965.45</t>
  </si>
  <si>
    <t>SZ 400*1.02=408；ZZ 200*1.02=204</t>
  </si>
  <si>
    <t>潘安户</t>
  </si>
  <si>
    <t>19：10</t>
  </si>
  <si>
    <t>印度WhatsApp*5</t>
  </si>
  <si>
    <t>开户费(600+800)+400*1.08=1832</t>
  </si>
  <si>
    <t>800*1.02=816</t>
  </si>
  <si>
    <t>17641.23+1501.30=19,142.53</t>
  </si>
  <si>
    <t>12：40</t>
  </si>
  <si>
    <t>ZZ 8000*1.11=8880，SZ 2000*1.11=2220</t>
  </si>
  <si>
    <t>15：04</t>
  </si>
  <si>
    <t>ZZ 开户费30+200*1.02=234 ，SZ 400*1.02=408</t>
  </si>
  <si>
    <t>15：34</t>
  </si>
  <si>
    <t>18：03</t>
  </si>
  <si>
    <t>ZZ 400*1.02=408；SZ 500*1.02=510</t>
  </si>
  <si>
    <t>20：09</t>
  </si>
  <si>
    <t>矿工费TRX</t>
  </si>
  <si>
    <t>20：15</t>
  </si>
  <si>
    <t>-759.4*1.025=-778.39</t>
  </si>
  <si>
    <t>100*1.07+开户费60=167</t>
  </si>
  <si>
    <t>21：31</t>
  </si>
  <si>
    <t>21：48</t>
  </si>
  <si>
    <t>ZZ 5000*1.11=5550</t>
  </si>
  <si>
    <t>10：16</t>
  </si>
  <si>
    <t>10：46</t>
  </si>
  <si>
    <t>8783.13+732.65=9,515.78</t>
  </si>
  <si>
    <t>12：17</t>
  </si>
  <si>
    <t>50*1.07=53.5</t>
  </si>
  <si>
    <t>16：21</t>
  </si>
  <si>
    <t>500*4*1.0807+开户费650*2=3461.4</t>
  </si>
  <si>
    <t>17：12</t>
  </si>
  <si>
    <t>18：01</t>
  </si>
  <si>
    <t>SZ 600*1.02=612；ZZ 100*1.02=102</t>
  </si>
  <si>
    <t>19：00</t>
  </si>
  <si>
    <t>ZZ (1000-97.74)*1.025=924.82</t>
  </si>
  <si>
    <t>SZ 1000*1.11=1110；ZZ 3000*1.11=3330</t>
  </si>
  <si>
    <t>10：14</t>
  </si>
  <si>
    <t>谷歌邮箱*9</t>
  </si>
  <si>
    <t>10：18</t>
  </si>
  <si>
    <t>谷歌邮箱*12</t>
  </si>
  <si>
    <t>vpn</t>
  </si>
  <si>
    <t>ZZ 3000*1.11=3330</t>
  </si>
  <si>
    <t>个号预存</t>
  </si>
  <si>
    <t>6830.92+566.47=7,397.39</t>
  </si>
  <si>
    <t>域名*2</t>
  </si>
  <si>
    <t>业务验证300</t>
  </si>
  <si>
    <t>开户费250+100*1.09=359</t>
  </si>
  <si>
    <t>500*1.07=535</t>
  </si>
  <si>
    <t>ZZ 6000*1.11=6660</t>
  </si>
  <si>
    <t>SZ 500*1.11112=555.56；ZZ 500*1.11112=555.56</t>
  </si>
  <si>
    <t>7814.66+645.17=8,459.83</t>
  </si>
  <si>
    <t>100*2*0.07+开户费60*2=334</t>
  </si>
  <si>
    <t>ZZ 14996.1*1.11+0.01=16,645.68</t>
  </si>
  <si>
    <t>主页：43；老主页：4；个号：50；老BM：20；申诉分享BM：1</t>
  </si>
  <si>
    <t>300*1.09=327</t>
  </si>
  <si>
    <t>8807.62+734.61=9,542.23</t>
  </si>
  <si>
    <t>ZZ 9000*1.11=9990</t>
  </si>
  <si>
    <t>飞机会员3个月</t>
  </si>
  <si>
    <t>10715.49+887.24=11,602.73</t>
  </si>
  <si>
    <t>ZZ 340-300=备用金 40, SZ (400-40)*1.02=367.2</t>
  </si>
  <si>
    <t>谷歌邮箱*4</t>
  </si>
  <si>
    <t>9759.20+810.74=10,569.94</t>
  </si>
  <si>
    <t>ZZ 8024.15*1.11=8,906.81；SZ 812.79*1.11=902.20</t>
  </si>
  <si>
    <t>741.49*1.025=760.03</t>
  </si>
  <si>
    <t>计数号</t>
  </si>
  <si>
    <t>14：12</t>
  </si>
  <si>
    <t>7793.60+643.49=8,437.09</t>
  </si>
  <si>
    <t>ZZ 13000*1.11=14430</t>
  </si>
  <si>
    <t>700+45+开户费25-714.51=55.47</t>
  </si>
  <si>
    <t>14；38</t>
  </si>
  <si>
    <t>500*1.08*1.01+开户费30*2=605.4</t>
  </si>
  <si>
    <t>SZ 300*1.025=307.50；ZZ (700-213.85)*1.025=498.30</t>
  </si>
  <si>
    <t>欧洲户3630+二不限754</t>
  </si>
  <si>
    <t>16900.30+1492.02=18,392.33</t>
  </si>
  <si>
    <t>计数号*2</t>
  </si>
  <si>
    <t>500*1.08*1.01=545.4</t>
  </si>
  <si>
    <t>TD 没算手续费（1000-CAP的清零968.48）=31.52；CapitalV  都算了手续费，6000*1.11=6660，6660-AC的清零1638=5022；31.52+5022=5053.52</t>
  </si>
  <si>
    <t>CAP清零968.48 AC清零1638 ；ZZ (7000-968.48)*1.11+500-1638=5556.99；SZ 500，备用金抵扣0手续费；SZSZ 1000*1.11=1110；；5556.99+565+1110-已转款5053.52=2113.47</t>
  </si>
  <si>
    <t>2*500*1.08*1.01+开户费30*3=1180.8</t>
  </si>
  <si>
    <t>11：12</t>
  </si>
  <si>
    <t>计数号*4</t>
  </si>
  <si>
    <t>2*500*1.08*1.01=1090.8</t>
  </si>
  <si>
    <t>主页：9；老主页：36；认证主页：24；个号：45；新个号：5；复审BM：25</t>
  </si>
  <si>
    <t>SZ (300-72.64)*1.025=233.04; ZZ 600*1.025=615.00</t>
  </si>
  <si>
    <t>ZZ 16000*1.11=17760；SZ 1000*1.11=1110</t>
  </si>
  <si>
    <t>21：00</t>
  </si>
  <si>
    <t>10：49</t>
  </si>
  <si>
    <t>开户费</t>
  </si>
  <si>
    <t>ZZ (15000-994.36)*1.11=15,546.26</t>
  </si>
  <si>
    <t>300*1.10*1.01=333.3</t>
  </si>
  <si>
    <t>1859.25*0.85=1580.36</t>
  </si>
  <si>
    <t>16：44</t>
  </si>
  <si>
    <t>手续费</t>
  </si>
  <si>
    <t>ZZ (9000-1000)*1.11=8880；SZ 2000*1.11=2220</t>
  </si>
  <si>
    <t>办公采购</t>
  </si>
  <si>
    <t>15461.28+1231.23=16,692.51</t>
  </si>
  <si>
    <t>1000*1.025=1025</t>
  </si>
  <si>
    <t>中原计数号*2</t>
  </si>
  <si>
    <t>2256.76*1.14*1.01=2598.42</t>
  </si>
  <si>
    <t>ZZ 10000*1.11-484.5=10,615.50</t>
  </si>
  <si>
    <t>SZ 500*1.08=540</t>
  </si>
  <si>
    <t>5000*1.14*1.01=5757</t>
  </si>
  <si>
    <t>计数号*3</t>
  </si>
  <si>
    <t>SZ 1000*1.11=1110；ZZ 13000*1.11=14430</t>
  </si>
  <si>
    <t>100*1.0908+开户费20*1.01=129.28</t>
  </si>
  <si>
    <t>200*1.09=218</t>
  </si>
  <si>
    <t>明细：老主页：5;  复审老主页：71；认证主页：28:；个号：30</t>
  </si>
  <si>
    <t>2025年9月收支财务报表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</si>
  <si>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</si>
  <si>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9月收支明细 </t>
    </r>
    <r>
      <rPr>
        <rFont val="Arial"/>
        <color rgb="FF3CBCAA"/>
        <sz val="20.0"/>
      </rPr>
      <t>DETAIL</t>
    </r>
  </si>
  <si>
    <t>9月</t>
  </si>
  <si>
    <t>8月结余</t>
  </si>
  <si>
    <t>GT&amp;SHEN 欧洲户８＋１ 港60+5+1</t>
  </si>
  <si>
    <t>IP</t>
  </si>
  <si>
    <t>17：01</t>
  </si>
  <si>
    <t>IP2</t>
  </si>
  <si>
    <t>马来英_阿稳</t>
  </si>
  <si>
    <t xml:space="preserve"> 500*1.08=540</t>
  </si>
  <si>
    <t>500*2*1.11=1110</t>
  </si>
  <si>
    <t>个号 10个</t>
  </si>
  <si>
    <t>营业执照</t>
  </si>
  <si>
    <t>个号 3个</t>
  </si>
  <si>
    <t>老主页2个</t>
  </si>
  <si>
    <t>GT二不限</t>
  </si>
  <si>
    <t>渠道L 英文L 马来</t>
  </si>
  <si>
    <t>19：22</t>
  </si>
  <si>
    <t>谷歌户（阿水）</t>
  </si>
  <si>
    <t>2640+422.1=3062.1</t>
  </si>
  <si>
    <t>BM：10个</t>
  </si>
  <si>
    <t>深圳芳林子</t>
  </si>
  <si>
    <t>7841.81+657.34=8499.15</t>
  </si>
  <si>
    <t>飞机号预存</t>
  </si>
  <si>
    <t>换汇RMB2</t>
  </si>
  <si>
    <t>14：30</t>
  </si>
  <si>
    <t xml:space="preserve">fbspider单月套餐A
</t>
  </si>
  <si>
    <t>企业户</t>
  </si>
  <si>
    <t>西班牙大区1组资源-张小强</t>
  </si>
  <si>
    <t>9月1-2日 西班牙大区1组资源-张小强
9/1   F50 有效 11
9/2   F50 有效25
合计: (11+25)*110=3960</t>
  </si>
  <si>
    <t>BM：10个，个号：10个</t>
  </si>
  <si>
    <t>Jay</t>
  </si>
  <si>
    <t>欧洲户10➕1-Nancy</t>
  </si>
  <si>
    <t>$0.48</t>
  </si>
  <si>
    <t>谷歌邮箱1个</t>
  </si>
  <si>
    <t>晨</t>
  </si>
  <si>
    <t>客户服务群-L0816</t>
  </si>
  <si>
    <t>意大利3期</t>
  </si>
  <si>
    <t>9月3日 西班牙大区1组资源-张小强
9/3  T5 有效 19
合计: 19*110=2090</t>
  </si>
  <si>
    <t>18：11</t>
  </si>
  <si>
    <t>(1020-9.45)*1.07+开户费60+500-500+2010*1.1=3,352.29</t>
  </si>
  <si>
    <t>23：08</t>
  </si>
  <si>
    <t>9月5日 西班牙大区1组资源-张小强
9/5  C68有效20
合计: 20*110=2200</t>
  </si>
  <si>
    <t>拉总（印度）</t>
  </si>
  <si>
    <t>渠道BF 新加坡L</t>
  </si>
  <si>
    <t>个号：15个</t>
  </si>
  <si>
    <t>15：57</t>
  </si>
  <si>
    <t>印度18期</t>
  </si>
  <si>
    <t>海总-德国；意大利</t>
  </si>
  <si>
    <t>2009意大利</t>
  </si>
  <si>
    <t>2009意大利总转款0，总有效17.5，0-1.5*120-16*130=-2260</t>
  </si>
  <si>
    <t>3917.97*1.08-10=4221.41</t>
  </si>
  <si>
    <t>2011意大利</t>
  </si>
  <si>
    <t>500*1.09+30开户费=575</t>
  </si>
  <si>
    <t>马来英语粉</t>
  </si>
  <si>
    <t>日本 FB人设</t>
  </si>
  <si>
    <t>尼日利亚</t>
  </si>
  <si>
    <t>-500*1.09=-545</t>
  </si>
  <si>
    <t>R|泰华&amp;云峰合作群美金企业户</t>
  </si>
  <si>
    <t xml:space="preserve">9月5日 西班牙大区1组资源-张小强
9/5  A17 有效13
合计:13*110=1430
</t>
  </si>
  <si>
    <t>15：49</t>
  </si>
  <si>
    <t>16：52</t>
  </si>
  <si>
    <t>626.62*1.09=683.02</t>
  </si>
  <si>
    <t>1000*1.09=1090</t>
  </si>
  <si>
    <t>22：32</t>
  </si>
  <si>
    <t>后勤支出：预支工资退回</t>
  </si>
  <si>
    <t>12：03</t>
  </si>
  <si>
    <t>500*1.09=545</t>
  </si>
  <si>
    <t>工资预支</t>
  </si>
  <si>
    <t>17：15</t>
  </si>
  <si>
    <t>300*1.1=330U</t>
  </si>
  <si>
    <t>(500*2-187.92/1.09)*1.09=902.08</t>
  </si>
  <si>
    <t>11：27</t>
  </si>
  <si>
    <t>1500*1.09=1635</t>
  </si>
  <si>
    <t>预支工资退回</t>
  </si>
  <si>
    <t>5320+526.33+60*3开户费-3615.85=2410.48</t>
  </si>
  <si>
    <t>2000*1.09=2180</t>
  </si>
  <si>
    <t>3623.4*1.13+30*4开户费=4,214.44</t>
  </si>
  <si>
    <t>22：06</t>
  </si>
  <si>
    <t>2500*1.09=2725</t>
  </si>
  <si>
    <t>11：04</t>
  </si>
  <si>
    <t>4434.08+359.82=4793.91</t>
  </si>
  <si>
    <t>11：44</t>
  </si>
  <si>
    <t>金海商务签973+床160+四件套35+洗衣机110+现金500预支工资</t>
  </si>
  <si>
    <t>VPN1季度9.11-12.11</t>
  </si>
  <si>
    <t>2100*1.09=2,289</t>
  </si>
  <si>
    <t>4500*1.09=4905</t>
  </si>
  <si>
    <t>开户费15*4=60</t>
  </si>
  <si>
    <t>500*1.0908+30开户费=575.4</t>
  </si>
  <si>
    <t>谷歌邮箱3个</t>
  </si>
  <si>
    <t>千粉主页：1；复审老主页：7；认证主页：47；个号：40</t>
  </si>
  <si>
    <t>(3000-567.62)*1.09=2651.29</t>
  </si>
  <si>
    <t>2500*1.09=2,725</t>
  </si>
  <si>
    <t>16：07</t>
  </si>
  <si>
    <t>B1710*1.07+开户费60-G清零105.6*1.1+E(300-100)*1.07=1987.54</t>
  </si>
  <si>
    <t>500*1.0908*2+30开户费=1120.8</t>
  </si>
  <si>
    <t>梯子</t>
  </si>
  <si>
    <t>400*1.075=430</t>
  </si>
  <si>
    <t>1000*1.11=1110</t>
  </si>
  <si>
    <t>(4500-98.85)*1.09=4,797.25</t>
  </si>
  <si>
    <t>(1500-456)*1.09+30开户费=1167.96</t>
  </si>
  <si>
    <t>2100*1.09=2289</t>
  </si>
  <si>
    <t>14：57</t>
  </si>
  <si>
    <t>1000*1.07=1070</t>
  </si>
  <si>
    <t>16：51</t>
  </si>
  <si>
    <t>-1000*1.09=-1090</t>
  </si>
  <si>
    <t>18：56</t>
  </si>
  <si>
    <t>500*1.075=537.5</t>
  </si>
  <si>
    <t>10：15</t>
  </si>
  <si>
    <t>BM:10个</t>
  </si>
  <si>
    <t>3488*1.09=3488</t>
  </si>
  <si>
    <t>矿工费（1,417.352235TRX）</t>
  </si>
  <si>
    <t>接码平台</t>
  </si>
  <si>
    <t>开户费10*2=20</t>
  </si>
  <si>
    <t>2000*1.07=2140</t>
  </si>
  <si>
    <t>600*1.04=624+40=664</t>
  </si>
  <si>
    <t>100*3*1.04+20开户费=332</t>
  </si>
  <si>
    <t>1500*1.07=1605</t>
  </si>
  <si>
    <t>ZZ3,451.49+SZ109=3560.49</t>
  </si>
  <si>
    <t>4100*1.09=4469</t>
  </si>
  <si>
    <t>耐用号*2</t>
  </si>
  <si>
    <t>6000*1.13+1000+500-1670.24=6609.76</t>
  </si>
  <si>
    <t>17：54</t>
  </si>
  <si>
    <t>SZ 71.4+1710*1.07+60=1961.1，实付1960.4</t>
  </si>
  <si>
    <t>9月11-15日 
9/11 H321 有效3
9/13  J420有效2
9/14  J420  有效10
9/15  J420  有效1.5
合计: (3+2+11.5)*130=2145</t>
  </si>
  <si>
    <t>23：07</t>
  </si>
  <si>
    <t>ZZ（100*3-160.46）*1.04+SZ200*1.04=353.12</t>
  </si>
  <si>
    <t>ZZ200*1.04=208, SZ200*1.04=208</t>
  </si>
  <si>
    <t>3500*1.09=3815</t>
  </si>
  <si>
    <t>10335.23+851.92=11187.15</t>
  </si>
  <si>
    <t>500*2*1.09+开户费30=1120</t>
  </si>
  <si>
    <t>(2000-1284.29)*1.13=808.75</t>
  </si>
  <si>
    <t>SZ 100*3*1.09=327，ZZ (2700-99.19)*1.09=2,834.88</t>
  </si>
  <si>
    <t>个号：10个</t>
  </si>
  <si>
    <t>ZZ(3500-427.19)*1.09=3,349.36</t>
  </si>
  <si>
    <t>22：38</t>
  </si>
  <si>
    <t>10：09</t>
  </si>
  <si>
    <t>10：28</t>
  </si>
  <si>
    <t>10：39</t>
  </si>
  <si>
    <t>10：57</t>
  </si>
  <si>
    <t>11：03</t>
  </si>
  <si>
    <t>12：13</t>
  </si>
  <si>
    <t>（500-394.97）*1.13=118.68U</t>
  </si>
  <si>
    <t>ZZ 2010*1.07+开户费60=2210.7，SZ 210*1.07+开户费60=284.7</t>
  </si>
  <si>
    <t>(18.21+400)*1.09=455.84</t>
  </si>
  <si>
    <t>1000*1.15=1150</t>
  </si>
  <si>
    <t>(2500-689.52)*1.09=1,973.42</t>
  </si>
  <si>
    <t>ZZ 1200*1.07=1284； SZ 200*1.07=214</t>
  </si>
  <si>
    <t>料子 50*1.5=75U，个号5*2=￥10</t>
  </si>
  <si>
    <t>5500*1.13-4661.9-130=1,423.10</t>
  </si>
  <si>
    <t>黑号：50个</t>
  </si>
  <si>
    <t>6000*1.15+500*1.07-1143.35*1.07=6211.62</t>
  </si>
  <si>
    <t>ZZ 3500*1.09=3815；SZ 500*1.09=545</t>
  </si>
  <si>
    <t>3000*1.14*1.01=3454.2</t>
  </si>
  <si>
    <t>万粉主页：4；主页：47；个号：25；老BM：2；老主页：1</t>
  </si>
  <si>
    <t>11：39</t>
  </si>
  <si>
    <t>15：26</t>
  </si>
  <si>
    <t xml:space="preserve">  个号60*2+耐用号200*2+主页40*1+千粉主页70*1=￥630  </t>
  </si>
  <si>
    <t>接送人</t>
  </si>
  <si>
    <t>5865.09+469.21=6334.30</t>
  </si>
  <si>
    <t>12：37</t>
  </si>
  <si>
    <t>开户费30*5=150</t>
  </si>
  <si>
    <t>2000*1.13-804.96=1,455.04</t>
  </si>
  <si>
    <t>料子 50*1.5=75U</t>
  </si>
  <si>
    <t>4×500×1.13=2260</t>
  </si>
  <si>
    <t>13：31</t>
  </si>
  <si>
    <t>6297.75+503.82+30开户费=6831.57</t>
  </si>
  <si>
    <t>300*2*1.11-58.38=607.62</t>
  </si>
  <si>
    <t>账单户*2</t>
  </si>
  <si>
    <t>200*1.08*1.006=217.296</t>
  </si>
  <si>
    <t>300*1.01=303</t>
  </si>
  <si>
    <t>100*1.025=102.5</t>
  </si>
  <si>
    <t>10：35</t>
  </si>
  <si>
    <t>(ZZ500+SZ100)*1.025=615</t>
  </si>
  <si>
    <t>6289.55+503.16=6792.72</t>
  </si>
  <si>
    <t>个号15个</t>
  </si>
  <si>
    <t>老个号*3+验证号*3</t>
  </si>
  <si>
    <t>明细：主页：33；老主页：16；老BM：5；账单户：5</t>
  </si>
  <si>
    <t>15：31</t>
  </si>
  <si>
    <t>100*1.08*1.01=109.08</t>
  </si>
  <si>
    <t>个号*2</t>
  </si>
  <si>
    <t>(200-92.03)*1.08*1.006=117.3</t>
  </si>
  <si>
    <t>老个号*2+验证号*2</t>
  </si>
  <si>
    <t>充值金额12527.54+手续费1012.20=13539.75</t>
  </si>
  <si>
    <t>个号*20</t>
  </si>
  <si>
    <t>16：38</t>
  </si>
  <si>
    <t>20：53</t>
  </si>
  <si>
    <t>充值金额12644.36+手续费1041.55=13685.91</t>
  </si>
  <si>
    <t>15：59</t>
  </si>
  <si>
    <t>9月份结款</t>
  </si>
  <si>
    <t>结9月尾款，充值金额13720.14+手续费1157.61=14877.76</t>
  </si>
  <si>
    <t>以上已核对</t>
  </si>
  <si>
    <t>2025年8月收支财务报表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</si>
  <si>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</si>
  <si>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8月收支明细 </t>
    </r>
    <r>
      <rPr>
        <rFont val="Arial"/>
        <color rgb="FF3CBCAA"/>
        <sz val="20.0"/>
      </rPr>
      <t>DETAIL</t>
    </r>
  </si>
  <si>
    <t>8月</t>
  </si>
  <si>
    <t>7月结余</t>
  </si>
  <si>
    <t>WS技术号3个</t>
  </si>
  <si>
    <t>德国股票粉（1）组【张小强】</t>
  </si>
  <si>
    <t>7月31日 德国股票粉（1）组【张小强】
7/31   F17群 有效12
7/31  Q3  有效8
7/31 A3 有效27
合计: （12+8+27）*160=7520</t>
  </si>
  <si>
    <t>(7115.57-1427.5)*1.15+30*2=6601.28</t>
  </si>
  <si>
    <t>(8441.3-1115.57)*1.15=8,424.59</t>
  </si>
  <si>
    <t>7月31日 德国股票粉（1）组【张小强】
7/31  J3  有效8
7/31  A1有效9
S5有效2
共计有效11
合计: （8+9+2）*160=3040</t>
  </si>
  <si>
    <t>0500*1.15=12075</t>
  </si>
  <si>
    <t>17：26</t>
  </si>
  <si>
    <t>🌹R|泰华&amp;云峰合作群美金企业户12+1</t>
  </si>
  <si>
    <t>4000*1.15=4600</t>
  </si>
  <si>
    <t>账单户2</t>
  </si>
  <si>
    <t>印尼企业户</t>
  </si>
  <si>
    <t>7月分红-LH，373754.27*10%=37375.427</t>
  </si>
  <si>
    <t>7月分红- B哥 373754.27*0.45=168189.4215</t>
  </si>
  <si>
    <t>老主页：5</t>
  </si>
  <si>
    <t>黑泽</t>
  </si>
  <si>
    <t>6500*1.15=7475</t>
  </si>
  <si>
    <t>主页：15 ；老主页：36；千粉主页：50；个号：45；三解：10；BM15</t>
  </si>
  <si>
    <t>(7000-2568.54)*1.15=5096.18</t>
  </si>
  <si>
    <t>22：31</t>
  </si>
  <si>
    <t>1000*1.12*1.01= 1,131.2</t>
  </si>
  <si>
    <t>德国德语-阿稳</t>
  </si>
  <si>
    <t>海总-小日子，意大利🇮🇹</t>
  </si>
  <si>
    <t>阿稳-IN</t>
  </si>
  <si>
    <t>印度23期</t>
  </si>
  <si>
    <t>B1印度</t>
  </si>
  <si>
    <t>印度驻场-lala(郑总）</t>
  </si>
  <si>
    <t>阿水 印度mom 11+1</t>
  </si>
  <si>
    <t>印度15期</t>
  </si>
  <si>
    <t>14期补粉</t>
  </si>
  <si>
    <t>15期补粉</t>
  </si>
  <si>
    <t>60+10*1.09=70.9U</t>
  </si>
  <si>
    <t>21：35</t>
  </si>
  <si>
    <t>8月4日 德国股票粉（1）组【张小强】
8/4  X2有效2
8/4  M6有效1
8/4 J4有效2
合计: （2+1+2）*160=800</t>
  </si>
  <si>
    <t>100*1.1=110</t>
  </si>
  <si>
    <t>17：39</t>
  </si>
  <si>
    <t>印度25期</t>
  </si>
  <si>
    <t>60*3开户费+10*3*1.06=211.8</t>
  </si>
  <si>
    <t>波贝6期</t>
  </si>
  <si>
    <t>住宅Ip 120G</t>
  </si>
  <si>
    <t>500*1.13*1.01=570.65</t>
  </si>
  <si>
    <t>意大利第5梯队610</t>
  </si>
  <si>
    <t>22：04</t>
  </si>
  <si>
    <t>印度16期</t>
  </si>
  <si>
    <t>11：37</t>
  </si>
  <si>
    <t>钱包差值</t>
  </si>
  <si>
    <t>4937.58+415.01=5352.58</t>
  </si>
  <si>
    <t>13：33</t>
  </si>
  <si>
    <t>500*1.1-445=105</t>
  </si>
  <si>
    <t>15：16</t>
  </si>
  <si>
    <t>印度17期</t>
  </si>
  <si>
    <t>15：20</t>
  </si>
  <si>
    <t>17：42</t>
  </si>
  <si>
    <t>8月7日 德国股票粉（1）组【张小强】
8/7
F16 有效17
X2 有效：17
J4 有效：19
共计53
合计: 53*160=8480</t>
  </si>
  <si>
    <t>500×1.1=550</t>
  </si>
  <si>
    <t>海总新渠道 10+1</t>
  </si>
  <si>
    <t>17：17</t>
  </si>
  <si>
    <t>济宁韦宁&amp;香港有意思 二不限 3%</t>
  </si>
  <si>
    <t>(500+4*10)*1.06+60*4=812.4</t>
  </si>
  <si>
    <t>18：25</t>
  </si>
  <si>
    <t>海总-MC开户对接群</t>
  </si>
  <si>
    <t>路人互动-海总（50-7）山</t>
  </si>
  <si>
    <t>8月8日 德国股票粉（1）组【张小强】
8/8  T19  有效20
T22有效18
Q3  有效17
S6 有效15
合计: (20+18+17+15)*160=11200</t>
  </si>
  <si>
    <t>1000*1.06=1060</t>
  </si>
  <si>
    <t>2000*1.06=2120</t>
  </si>
  <si>
    <t>60*2开户+(1500+10*2)*1.06=1731.2</t>
  </si>
  <si>
    <t>8月9日 德国股票粉（1）组【张小强】
8/9  A1  有效15
8/9  S7  有效3
合计: (15+3)*160=2880</t>
  </si>
  <si>
    <t>500*1.1=550U</t>
  </si>
  <si>
    <t>17：45</t>
  </si>
  <si>
    <t>(500+100*3)*1.09=872</t>
  </si>
  <si>
    <t>8月10日 德国股票粉（1）组【张小强】
8/10 F18有效1
8/10  S3有效3
8/10 C5有效22
8/10   T20有效19
8/10  有效17
合计: (1+3+22+19+17)*160=9920</t>
  </si>
  <si>
    <t>8月8日 有效1已结算
8月9日 有效3
8月10日 有效5
合计：8*120=960</t>
  </si>
  <si>
    <t>BM45*5</t>
  </si>
  <si>
    <t>明细：账单户：2；30主页：1；老主页：8；老主页：65；千粉主页：2；主页：6；BM：15；个号：35；耐用号：5</t>
  </si>
  <si>
    <t>（500-8.69）*1.1=540.44U</t>
  </si>
  <si>
    <t>开户费60*3，备用金510-充值30=480</t>
  </si>
  <si>
    <t>8月11日 德国股票粉（1）组【张小强】
8/11  A3  有效21
8/11  J7  有效24
8/11  M13  有效21
8/11 F18有效7
8/11 J5有效16
合计: (21+24+21+7+16)*160=14240</t>
  </si>
  <si>
    <t>20：12</t>
  </si>
  <si>
    <t>20：51</t>
  </si>
  <si>
    <t>开户费60*2，备用金480+9.61-充值20=469.61</t>
  </si>
  <si>
    <t xml:space="preserve">BM45*5; 个号40*5  </t>
  </si>
  <si>
    <t>14：29</t>
  </si>
  <si>
    <t>8月12日 德国股票粉（1）组【张小强】
8/12  F18  有效23
8/12  M13有效21
8/12  M13有效22
8/12  J4有效6
合计: (23+21+22+6)*160=11520</t>
  </si>
  <si>
    <t>1000×1.1=1100</t>
  </si>
  <si>
    <t>15：48</t>
  </si>
  <si>
    <t>10*1.5=11.5</t>
  </si>
  <si>
    <t>22：24</t>
  </si>
  <si>
    <t>490*1.5=563.5</t>
  </si>
  <si>
    <t>23：02</t>
  </si>
  <si>
    <t xml:space="preserve">8月11日 有效1
8月13日有效4
合计：5*120=600 </t>
  </si>
  <si>
    <t>07：23</t>
  </si>
  <si>
    <t>8月13日 德国股票粉（1）组【张小强】
8/13  C5有效24
8/13  A1有效18
8/13  S6  有效20
8/13  X2有效5
8/13   A41 有效19
8/13  Q5  有效20
8/13  J4有效1
合计: (24+18+20+5+19+20+1)*160=17120</t>
  </si>
  <si>
    <t xml:space="preserve">BM45*10; 个号40*5  </t>
  </si>
  <si>
    <t>1000×1.12=1120</t>
  </si>
  <si>
    <t>8月14日 德国股票粉（1）组【张小强】
8/14  B101有效21
8/14  A24有效22
8/14 B93有效33
8/14  A41有效21
合计: (21+22+33+21)*160=15520</t>
  </si>
  <si>
    <t>17：32</t>
  </si>
  <si>
    <t>500*1.13=565U</t>
  </si>
  <si>
    <t>18：07</t>
  </si>
  <si>
    <t>(500-6.16)*1.06=523.47</t>
  </si>
  <si>
    <t>19：54</t>
  </si>
  <si>
    <t>8月14日 有效1
8月15日 885群有效6
8月15日 336群 有效6
合计：13*120=1560</t>
  </si>
  <si>
    <t xml:space="preserve">个号10U*5=50U (110U合并付款，60U是开户费)
</t>
  </si>
  <si>
    <t>个号10U*5=50U (110U合并付款，60U是开户费)
客户服务群-L0816</t>
  </si>
  <si>
    <t>500*1.15=575U</t>
  </si>
  <si>
    <t>8月15日 德国股票粉（1）组【张小强】
8/15  A51  有效32
8/15  B111 有效6
8/15  A12 有效30
8/15 A31  有效17
合计: (32+6+30+17)*160=13600</t>
  </si>
  <si>
    <t>19：33</t>
  </si>
  <si>
    <t>240*1.1=264</t>
  </si>
  <si>
    <t>100*1.09=109u，BM 5*10，客户服务群-L0816</t>
  </si>
  <si>
    <t>开户费60*4=240</t>
  </si>
  <si>
    <t>500*1.13=565U，500*1.1=550U</t>
  </si>
  <si>
    <t>开户费60*2，60*2+500*1.1+10*2*1.07=691.4</t>
  </si>
  <si>
    <t>老主页：7；复审老主页：8；认证主页：17；千粉主页：9：个号：10</t>
  </si>
  <si>
    <t>个号35u  主页12u</t>
  </si>
  <si>
    <t>8月16日 A99有效4
8月17日 3342有效9
合计：13*120=1560</t>
  </si>
  <si>
    <t>04：12</t>
  </si>
  <si>
    <t>200*1.07+1000*1.1=1314</t>
  </si>
  <si>
    <t>开户费30*2=60</t>
  </si>
  <si>
    <t>BM10个</t>
  </si>
  <si>
    <t>个号5个</t>
  </si>
  <si>
    <t>597.46*1.06=633.31</t>
  </si>
  <si>
    <t>8月18日 德国股票粉（1）组【张小强】
8/18  B122  有效20
8/18 B111 有效4
8/18 A52 有效7
合计: (20+4+7)*160=4960</t>
  </si>
  <si>
    <t>60开户费+10*1.07+200*1.07+200*1.1=504.7</t>
  </si>
  <si>
    <t>500*1.11=555</t>
  </si>
  <si>
    <t>20个端口</t>
  </si>
  <si>
    <t>60*3=180u</t>
  </si>
  <si>
    <t>8月19日 德国股票粉（5）组【张小强】
8/19  B111有效8
8/19 A52 30
8/19  A31  有效9
8/19 B111群 有效4
8/19 B122 有效1
合计: (8+30+9+4+1)*160=8320</t>
  </si>
  <si>
    <t>15：53</t>
  </si>
  <si>
    <t>500*1.1+开户费60*3+30*1.07=762.1</t>
  </si>
  <si>
    <t>日期：8.20
用途：渠道L 英文L 马来
单价：90
预付：50个
金额：90*50=4500</t>
  </si>
  <si>
    <t>分2笔转，10+4990=5000</t>
  </si>
  <si>
    <t>预付申报
日期：8.20
用途：渠道BF 德国F
单价：160
预付：50个
金额：160*50=8000</t>
  </si>
  <si>
    <t>200*1.1=220</t>
  </si>
  <si>
    <t>500*1.07+500*1.1=1085</t>
  </si>
  <si>
    <t>17：14</t>
  </si>
  <si>
    <t>（500-485）*1.13=16.95U，（500-303.3）*1.13+16.95=239.22U</t>
  </si>
  <si>
    <t>17：58</t>
  </si>
  <si>
    <t>1000*1.08=1080</t>
  </si>
  <si>
    <t>18：45</t>
  </si>
  <si>
    <t>1000*1.07+500*1.1=1620</t>
  </si>
  <si>
    <t>7/22 户9和4的充值，(169.9*1.08+490.64*1.09)+988.26*1.08+1978.97*1.08=3,922.91</t>
  </si>
  <si>
    <t>14：35</t>
  </si>
  <si>
    <t>个号55*10</t>
  </si>
  <si>
    <t>开户费60*2=120</t>
  </si>
  <si>
    <t>18：14</t>
  </si>
  <si>
    <t xml:space="preserve">8月20日 德国股票粉（5）组【张小强】
8/20   B122有效2
合计: 2*160=320
</t>
  </si>
  <si>
    <t>预付申报
日期：8.22
用途：渠道L 英文L 马来
单价：90
预付：50个
金额：90*50=4500</t>
  </si>
  <si>
    <t>8月20-21日 意大利第5梯队610（蟑螂哥）
8/20  885  有效1
8/21  Accademia  PNC   （793）有效15.5
合计: (1+15.5)*120=1980</t>
  </si>
  <si>
    <t>13：45</t>
  </si>
  <si>
    <t>17：33</t>
  </si>
  <si>
    <t>2*500*1.1+(1000-7.71-7.5)*1.07+2*10*1.07+开户费60*2+2*1*1.1=2,297.33</t>
  </si>
  <si>
    <t>22：10</t>
  </si>
  <si>
    <t>10901.59*1.08=11773.72</t>
  </si>
  <si>
    <t>16：16</t>
  </si>
  <si>
    <t>500*1.13+1782(清零清多)=2347</t>
  </si>
  <si>
    <t>1000*1.13+100*1.12-565=677</t>
  </si>
  <si>
    <t>预付申报
日期：8.25
用途：渠道L 英文L 马来
单价：90
预付：50个
金额：90*50=4500</t>
  </si>
  <si>
    <t>7889.12*1.08=8520.25</t>
  </si>
  <si>
    <t>BM45*10</t>
  </si>
  <si>
    <t>预付申报
日期：8.26
用途：渠道L 英文L 马来
单价：90
预付：50个
金额：90*50=4500</t>
  </si>
  <si>
    <t>17：55</t>
  </si>
  <si>
    <t>(1730-737.08)*1.07+60*2开户费+(540-540)+100*1.15+50开户费=1,347.42</t>
  </si>
  <si>
    <t>8月26-27日 德国股票粉（5）组【张小强】
8/26  有效15
8/27  BN2有效9
合计: (15+9)*160=3840</t>
  </si>
  <si>
    <t>明细：复审老主页：13；认证主页：98；个号：15；个号2:15个</t>
  </si>
  <si>
    <t>1个主页 1个个号</t>
  </si>
  <si>
    <t>个号：5+1</t>
  </si>
  <si>
    <t>预存</t>
  </si>
  <si>
    <t>7月张总分红： 373,754.27*0.45=168,189.42-50000=118,189.42（7月张总预支5w分红）</t>
  </si>
  <si>
    <t>15：24</t>
  </si>
  <si>
    <t>(94.6-500)*1.09=-441.89</t>
  </si>
  <si>
    <t>2025年7月收支财务报表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</si>
  <si>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</si>
  <si>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7月收支明细 </t>
    </r>
    <r>
      <rPr>
        <rFont val="Arial"/>
        <color rgb="FF3CBCAA"/>
        <sz val="20.0"/>
      </rPr>
      <t>DETAIL</t>
    </r>
  </si>
  <si>
    <t>7月</t>
  </si>
  <si>
    <t>6月结余</t>
  </si>
  <si>
    <t>拉总（印度）24</t>
  </si>
  <si>
    <t>14193.26*1.18*1.01=16915.53</t>
  </si>
  <si>
    <t>德国股票粉（2）组【张小强】</t>
  </si>
  <si>
    <t>6月29-6/30日 德国股票粉（2）组【张小强】
6/29
C2确认有效3.33个
6/30
C2确认有效4个
M1确认有效6.33个
合计: （3.33+10.33）*160=2185.6</t>
  </si>
  <si>
    <t>Nancy-印度户15➕1</t>
  </si>
  <si>
    <t>印度12期</t>
  </si>
  <si>
    <t>1190.48*1.16*1.01=1394.76</t>
  </si>
  <si>
    <t>（1000-487.78）*1.16=594.18U</t>
  </si>
  <si>
    <t>启航广告费</t>
  </si>
  <si>
    <t>印度汤总</t>
  </si>
  <si>
    <t>200000/84*1.16*1.01=2789.52</t>
  </si>
  <si>
    <t>波贝3期</t>
  </si>
  <si>
    <t>1500*1.16=1740U</t>
  </si>
  <si>
    <t>海总/户合作mom</t>
  </si>
  <si>
    <t>40000*1.18*1.01=47672</t>
  </si>
  <si>
    <t>8189*1.15*1.01=9511.52</t>
  </si>
  <si>
    <t>6月分红- B哥138,682.47*0.45=62407.1115</t>
  </si>
  <si>
    <t>德国蟑螂哥渠道</t>
  </si>
  <si>
    <t>6/30  有效1，7/1 有效2</t>
  </si>
  <si>
    <t>15：09</t>
  </si>
  <si>
    <t>3000*1.16=3480U</t>
  </si>
  <si>
    <t>波贝5期</t>
  </si>
  <si>
    <t>29721.92*1.18*1.01=35422.58</t>
  </si>
  <si>
    <t>波贝4期</t>
  </si>
  <si>
    <t>预支</t>
  </si>
  <si>
    <t xml:space="preserve">(10000-395.07)*1.16=11141.72  </t>
  </si>
  <si>
    <t>10000*1.18*1.01=11918</t>
  </si>
  <si>
    <t>渠道BF 德国B</t>
  </si>
  <si>
    <t>7月1-2日 德国股票粉（2）组【张小强】
7/1
T3确认有效7.66个
K4确认有效1个
7/2 F6确认有效4
合计: （8.66+4）*160=2025.6</t>
  </si>
  <si>
    <t>7000*1.15=8050U</t>
  </si>
  <si>
    <t>(1000*1.13+150+5000*1.18)*1.01=7251.8</t>
  </si>
  <si>
    <t>1000*1.15=1150U</t>
  </si>
  <si>
    <t>2000*1.13=2260</t>
  </si>
  <si>
    <t>6/7-7/4 :   4100+544.45-2556.73=2087.72</t>
  </si>
  <si>
    <t>1000*1.13=1130</t>
  </si>
  <si>
    <t>德国股票粉（3）组【张小强】</t>
  </si>
  <si>
    <t>印度13期</t>
  </si>
  <si>
    <t>印度14期</t>
  </si>
  <si>
    <t>印度21期</t>
  </si>
  <si>
    <t>海总-西班牙测试</t>
  </si>
  <si>
    <t>印度22期</t>
  </si>
  <si>
    <t>印度24期</t>
  </si>
  <si>
    <t>德国（海哥）</t>
  </si>
  <si>
    <t>6月分红- LH，138,682.47*10%=13868.247</t>
  </si>
  <si>
    <t>1600*1.1/0.99-1600+600=2377.77</t>
  </si>
  <si>
    <t>老傅渠道</t>
  </si>
  <si>
    <t>开户美国三不限户</t>
  </si>
  <si>
    <t>泰华&amp;ME-FB海外户对接群</t>
  </si>
  <si>
    <t>黑泽-欧洲户对接</t>
  </si>
  <si>
    <t>（5000-619.77）*1.15=5037.26U</t>
  </si>
  <si>
    <t>13000*1.18*1.01=15493.4</t>
  </si>
  <si>
    <t>3000*1.13=3390</t>
  </si>
  <si>
    <t>6月分红- 张总138,682.47*0.45=62407.1115</t>
  </si>
  <si>
    <t>7898.02*1.18*1.01=9412.86</t>
  </si>
  <si>
    <t>3000*1.15=3450U</t>
  </si>
  <si>
    <t xml:space="preserve">7月6-7日德国股票粉（3）组【张小强】
7/6
G25  有效2.66
k33  有效8.33
共计11
7/7
G-25有效6.33
合计: （11+6.33）*160=2772.8
</t>
  </si>
  <si>
    <t>2000*1.1/0.99=2222.23</t>
  </si>
  <si>
    <t>(15000+3000)*1.18*1.01=21452.4</t>
  </si>
  <si>
    <t>3000*1.11+10000*1.13=14630</t>
  </si>
  <si>
    <t>7月张总预支5w分红</t>
  </si>
  <si>
    <t>10000*1.13-3000*1.11=7970</t>
  </si>
  <si>
    <t>20577.57*1.18*1.01=24524.35</t>
  </si>
  <si>
    <t>7月8-9日德国股票粉（3）组【张小强】
7/8  k33  有效2
7/9  k33有效3
G25  有效6
共计有效9
合计: （2+3+6）*160=1760</t>
  </si>
  <si>
    <t xml:space="preserve">7/7   有效10个
7/8 有效8个
7/9 有效4
合计：(10+8+4)*160=3520
</t>
  </si>
  <si>
    <t>4000*1.13=4,520</t>
  </si>
  <si>
    <t>31000*1.18*1.01=36945.8</t>
  </si>
  <si>
    <t>7/10 
9*160=1440</t>
  </si>
  <si>
    <t>1000*1.15*1.01=1161.5</t>
  </si>
  <si>
    <t>(2600-1,483.17)*1.01+21*4=1212</t>
  </si>
  <si>
    <t>16000*1.13=18,080</t>
  </si>
  <si>
    <t>7/11 有效10
10*160=1600</t>
  </si>
  <si>
    <t>14：10</t>
  </si>
  <si>
    <t>500*1.16*1.01=585.8，20000*1.18*1.01=23836,585.8+23836=24,421.80</t>
  </si>
  <si>
    <t>1000×1.13=1130U</t>
  </si>
  <si>
    <t>10000*1.13=11,300</t>
  </si>
  <si>
    <t>7月10-12日德国股票粉（3）组【张小强】
7/10
L39  有效2
G25  有效2.66
共计有效4.66
7/11
G25有效2
7/12
G25  有效10.33
L39  有效16.33
共计26.66
合计: （4.66+2+26.66）*160=5331.2</t>
  </si>
  <si>
    <t>(1800-805)*1.01=1005</t>
  </si>
  <si>
    <t>7/12 有效4
4*160=640</t>
  </si>
  <si>
    <t>20000*1.13=22600</t>
  </si>
  <si>
    <t>30000*1.18*1.01=35754</t>
  </si>
  <si>
    <t>(3500-2822.94)+456.3225+210+1500*1.15=3068.38</t>
  </si>
  <si>
    <t>7月13日德国股票粉（3）组【张小强】
7/13
E20有效1
008D有效27
共计有效28
合计: 28*160=4480</t>
  </si>
  <si>
    <t>6月18-30日 海总-西班牙测试
6/18 有效2
6/27  有效1
6/30  有效1
合计: (2+1+1)*80=320</t>
  </si>
  <si>
    <t>800*1.01=808</t>
  </si>
  <si>
    <t>4000*1.15+30=4630</t>
  </si>
  <si>
    <t>11：55</t>
  </si>
  <si>
    <t>15：21</t>
  </si>
  <si>
    <t>7月14日德国股票粉（3）组【张小强】
7/14  E20  有效6
7/14   
F25  有效32
005A有效2
016群 有效17
共计有效51
合计: (6+51)*160=9120</t>
  </si>
  <si>
    <t>WS计数号9个</t>
  </si>
  <si>
    <t>（1000-493.14）*1.11=562.61U</t>
  </si>
  <si>
    <t>18：33</t>
  </si>
  <si>
    <t>2000*1.15+60=2360</t>
  </si>
  <si>
    <t>20：45</t>
  </si>
  <si>
    <t>7/14 有效11
7/15 有效13
共计有效24*160=3840</t>
  </si>
  <si>
    <t>12：00</t>
  </si>
  <si>
    <t>3500*1.15=4025</t>
  </si>
  <si>
    <t>5000×1.13=5650+100=5750U</t>
  </si>
  <si>
    <t>7月15日德国股票粉（3）组【张小强】
7/15
E20  有效35
H32  有效29
L39  有效2
016群 有效8
005Aq群  有效12
共计有效86
合计: (86-1)*160=13600</t>
  </si>
  <si>
    <t>1500*1.09=1,635</t>
  </si>
  <si>
    <t>4500*1.15+30*2=5235</t>
  </si>
  <si>
    <t>7/16 有效3
3*160=480</t>
  </si>
  <si>
    <t>7月16日德国股票粉（3）组【张小强】
7/16
L39 有效19
D016群 有效9
C012  有效3
G48  有效7
H-46   有效19
005A  有效13
共计有效70
合计: 70*160=11200</t>
  </si>
  <si>
    <t>主页：39 ；老主页：16；千粉主页：5；BM：40；个号：65</t>
  </si>
  <si>
    <t>2000*1.09=2,180</t>
  </si>
  <si>
    <t>4000*1.09=4360</t>
  </si>
  <si>
    <t>7/17 有效4
4*160=640</t>
  </si>
  <si>
    <t>3500*1.15+30*2=4085</t>
  </si>
  <si>
    <t>8000*1.13=9040</t>
  </si>
  <si>
    <t>（5000-665.55）*1.13=4897.93U</t>
  </si>
  <si>
    <t>7月17日德国股票粉（3）组【张小强】
7/17 
 C012群 有效8
K45  有效23
Z44  有效6
L40  有效21
G-48    H-32  无进粉
共计有效58
合计: 58*160=9280</t>
  </si>
  <si>
    <t>3000*1.09=3,270</t>
  </si>
  <si>
    <t>18：57</t>
  </si>
  <si>
    <t>3496.6*1.15+30*3=4111.09</t>
  </si>
  <si>
    <t>（3000-984.33）*1.09=2,197.08</t>
  </si>
  <si>
    <t>11000*1.13=12,430</t>
  </si>
  <si>
    <t>6000*1.15+30*2=6960</t>
  </si>
  <si>
    <t>7/18  有效15
15*160=2400</t>
  </si>
  <si>
    <t>TRX</t>
  </si>
  <si>
    <t>7月18日德国股票粉（3）组【张小强】
7/18
G48有效7
Z44有效1
H32有效4
共计有效12-昨日多付一个=有效11
合计: 11*160=1760</t>
  </si>
  <si>
    <t>6000*1.15=6900</t>
  </si>
  <si>
    <t>7*30+3000*1.15=3660</t>
  </si>
  <si>
    <t>23：54</t>
  </si>
  <si>
    <t>17000*1.13=19,210</t>
  </si>
  <si>
    <t>12：48</t>
  </si>
  <si>
    <t>主页：2 ；老主页：16；千粉主页：3；个号：15</t>
  </si>
  <si>
    <t>5379.65-3296.86-838.65=1,244.14</t>
  </si>
  <si>
    <t>9000*1.15-30=10320</t>
  </si>
  <si>
    <t>7/20  有效8
7/21 有效13
共计：8+13=21
21*160=3360</t>
  </si>
  <si>
    <t>WS计数，2个63，2个91</t>
  </si>
  <si>
    <t>7月21日德国股票粉（3）组【张小强】
7/21
005A有效6
K-45有效19
E66有效17
共计有效42
合计: 21*160=3360</t>
  </si>
  <si>
    <t>492.31*1.08+30*2=591.69</t>
  </si>
  <si>
    <t xml:space="preserve">7月21-22日德国股票粉（3）组【张小强】
7/21
005A有效6
K-45有效19
E66有效17
共计有效42
7/22
G26有效10
7/21 有效少算了21个
合计:( 42+10-21)*160=4960
</t>
  </si>
  <si>
    <t>（5000-498）*1.15=5177.3</t>
  </si>
  <si>
    <t>17：27</t>
  </si>
  <si>
    <t>18：58</t>
  </si>
  <si>
    <t>11：48</t>
  </si>
  <si>
    <t>5941.321804+485.31=6,426.63</t>
  </si>
  <si>
    <t>12000*1.13=13560</t>
  </si>
  <si>
    <t>7000*1.15=8050</t>
  </si>
  <si>
    <t>14：38</t>
  </si>
  <si>
    <t>预付30个</t>
  </si>
  <si>
    <t>8883.41*1.08=9,594.08</t>
  </si>
  <si>
    <t>12：02</t>
  </si>
  <si>
    <t>(9000-2186.15)*1.15+30*5=7985.93</t>
  </si>
  <si>
    <t>16：33</t>
  </si>
  <si>
    <t>1000×1.1+500×1.09=1645</t>
  </si>
  <si>
    <t>IP续费</t>
  </si>
  <si>
    <t>4000*1.15+60*2=4720</t>
  </si>
  <si>
    <t>2500+376.97-548.09=2328.88</t>
  </si>
  <si>
    <t>日期：7.25
用途：德国（海哥）
单价：160
有效：15个
金额：15*160-预付剩余款120=2280</t>
  </si>
  <si>
    <t>6905.06*1.08=7457.46</t>
  </si>
  <si>
    <t>-50-500*1.1=-600</t>
  </si>
  <si>
    <t>17：04</t>
  </si>
  <si>
    <t>19：04</t>
  </si>
  <si>
    <t>15,815.77+1,295.26=17,111.04</t>
  </si>
  <si>
    <t>4000*1.15+500*1.12=5160</t>
  </si>
  <si>
    <t>9,901.23+812.10=10,713.33</t>
  </si>
  <si>
    <t>(11000-2506.37)*1.16*1.01=9951.14</t>
  </si>
  <si>
    <t>主页：8；老主页：21；千粉主页：2；个号：20；老BM: 10</t>
  </si>
  <si>
    <t>2500*1.15+500*1.12+3*30=3525</t>
  </si>
  <si>
    <t>（20000-983.46)*1.16*1.01=22279.78</t>
  </si>
  <si>
    <t>(4500-707.54)*1.15+1000*1.12=5,481.33</t>
  </si>
  <si>
    <t>尾款</t>
  </si>
  <si>
    <t>-2000*1.1=-2200</t>
  </si>
  <si>
    <t>(5994.97-1180)+1,030.41=5,845.38</t>
  </si>
  <si>
    <t>5000*1.15=5750</t>
  </si>
  <si>
    <t>2000*1.16*1.01=2343.2</t>
  </si>
  <si>
    <t>500*1.14=570</t>
  </si>
  <si>
    <t>5000-866.12-500=3633.88*1.15=4178.962</t>
  </si>
  <si>
    <t>5000*1.12=5600</t>
  </si>
  <si>
    <t>18：41</t>
  </si>
  <si>
    <t>7500*1.15=8625</t>
  </si>
  <si>
    <t>-1000*1.1=-1100</t>
  </si>
  <si>
    <t>4500*1.15-455.2=4719.8</t>
  </si>
  <si>
    <t>2000+311.31-0.01=2,311.30</t>
  </si>
  <si>
    <t>9,864.22+809.14=10,673.36</t>
  </si>
  <si>
    <t>3500*1.15+6*30=4205</t>
  </si>
  <si>
    <t>2025年6月收支财务报表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</si>
  <si>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</si>
  <si>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6月收支明细 </t>
    </r>
    <r>
      <rPr>
        <rFont val="Arial"/>
        <color rgb="FF3CBCAA"/>
        <sz val="20.0"/>
      </rPr>
      <t>DETAIL</t>
    </r>
  </si>
  <si>
    <t>6月</t>
  </si>
  <si>
    <t>5月结余</t>
  </si>
  <si>
    <t>白马2期</t>
  </si>
  <si>
    <t>海总-MC开户对接群（果果）</t>
  </si>
  <si>
    <t>德国 张总（王总）</t>
  </si>
  <si>
    <t>5月29-31日 德国 张总（王总）
5/29  有效5
5/30 有效3
5/31  有效9
合计：(5+3+9)*135=2295</t>
  </si>
  <si>
    <t>5月分红- B哥396,123.00 *0.45=178255.35</t>
  </si>
  <si>
    <t>15000-11448.25=3551.75*1.1*1.01=3945.99</t>
  </si>
  <si>
    <t>白马3期</t>
  </si>
  <si>
    <t>15000*1.1*1.01=16665</t>
  </si>
  <si>
    <t>ALEX&amp;西班牙</t>
  </si>
  <si>
    <t>6/2  有效3
合计：3*135=405</t>
  </si>
  <si>
    <t>（10000-853.32）*1.1918+开户费150*2*1.01=11204.01</t>
  </si>
  <si>
    <t>印度006对接—henry</t>
  </si>
  <si>
    <t>16：29</t>
  </si>
  <si>
    <t>(1400-611)*1.01+42=838.89</t>
  </si>
  <si>
    <t>海哥-奥地利</t>
  </si>
  <si>
    <t>500*1.12=560U</t>
  </si>
  <si>
    <t>印度十期</t>
  </si>
  <si>
    <t>印度11期</t>
  </si>
  <si>
    <t>蟑螂哥西班牙渠道（3梯队）</t>
  </si>
  <si>
    <t>5月分红- LH，396,123.00*10%=39612.3</t>
  </si>
  <si>
    <t>GT海总欧洲金融户20+9+1</t>
  </si>
  <si>
    <t>1000*1.01+21=1031</t>
  </si>
  <si>
    <t>GT-HY&amp;papa 二不限</t>
  </si>
  <si>
    <t>(15000-409.52)*1.1*1.01=16210.02</t>
  </si>
  <si>
    <t>（5000-3938.24）+530+320=1911.76</t>
  </si>
  <si>
    <t>10000*1.1*1.01=11110</t>
  </si>
  <si>
    <t>(2000-774)*1.01+21=1259.26</t>
  </si>
  <si>
    <t>15000*1.10*1.01+20000*1.18*1.01=40501</t>
  </si>
  <si>
    <t>5000*1.1*1.01=5555</t>
  </si>
  <si>
    <t>(500-231.91)*1.01=270.77</t>
  </si>
  <si>
    <t>12000*1.10*1.01+25000*1.18*1.01=43127</t>
  </si>
  <si>
    <t>900*1.01+21*3=972</t>
  </si>
  <si>
    <t>12000*1.18*1.01+15000*1.10*1.01+150*2*1.01=31269.6</t>
  </si>
  <si>
    <t>余款</t>
  </si>
  <si>
    <t>11000*1.18*1.01+11000*1.10*1.01=25330.8</t>
  </si>
  <si>
    <t>(1000-370.95)*1.01=635.34</t>
  </si>
  <si>
    <t>4000*1.01*1.1=4444</t>
  </si>
  <si>
    <t>(2300-514)*1.01=1803.86</t>
  </si>
  <si>
    <t>33000*1.18*1.01+10000*1.10*1.01=50439.4</t>
  </si>
  <si>
    <t>5月分红- 张总396,123.00 *0.45=178255.35</t>
  </si>
  <si>
    <t>3000-1435+420=1985+0.76=1985.76</t>
  </si>
  <si>
    <t>（1300-1118.81）*1.01=183.0019</t>
  </si>
  <si>
    <t>WS计数号13个</t>
  </si>
  <si>
    <t>1100*1.01+42=1153</t>
  </si>
  <si>
    <t>(1700-685)*1.01=1025.15</t>
  </si>
  <si>
    <t>6月15日 德国股票粉（2）组【张小强】
6/15  C2有效4
F1有效5
共计有效9
合计: 9*150=1350</t>
  </si>
  <si>
    <t>4000*2*1.18*1.01+4000*1.10*1.01=13978.4</t>
  </si>
  <si>
    <t>换TRX</t>
  </si>
  <si>
    <t>12：59</t>
  </si>
  <si>
    <t>3000*1.18*1.01+5000*1.10*1.01=9130.4</t>
  </si>
  <si>
    <t>（500*2-432.16）*1.01=573.52</t>
  </si>
  <si>
    <t>2000*1.16+50-1086.8=1283.2</t>
  </si>
  <si>
    <t>(1400-106)*1.01=1306.94</t>
  </si>
  <si>
    <t>2000*1.16=2320</t>
  </si>
  <si>
    <t>(9000-5482.83)*1.18*1.01=4191.76</t>
  </si>
  <si>
    <t>6月16-17 日 德国股票粉（2）组【张小强】
6/16  M1群有效1
6/17 T2有效7
H1有效2
合计: （1+7+2）*150=1500</t>
  </si>
  <si>
    <t>(2000-1461.19)*1.12=603.47</t>
  </si>
  <si>
    <t>(1500-326.2)*1.01=1185.53</t>
  </si>
  <si>
    <t>(2100-1146)*1.01=963.54</t>
  </si>
  <si>
    <t>3000*1.18*1.01=3575.4</t>
  </si>
  <si>
    <t>6月18-19 日 德国股票粉（2）组【张小强】
6/18 L2有效2
J2有效3
6/19 M5有效1  
     K3有效3
合计: （2+3+1+3）*150=1350</t>
  </si>
  <si>
    <t>1000*1.18*1.01+150*1.01=1343.3</t>
  </si>
  <si>
    <t>(3500-3285.30)*1.0908+30*4=354.20</t>
  </si>
  <si>
    <t>6月20-23日 德国股票粉（2）组【张小强】
6/20
B5有效1
A3有效2   
6/21
B5确认有效1
A3确认有效1
6/22
A5确认有效5个
合计: （3+2+5）*150=1500</t>
  </si>
  <si>
    <t>16：22</t>
  </si>
  <si>
    <t>17：19</t>
  </si>
  <si>
    <t>（1000-573.7）*1.01=430.56</t>
  </si>
  <si>
    <t>6\23  有效33</t>
  </si>
  <si>
    <t>04：21</t>
  </si>
  <si>
    <t>(1300-489)*1.01=819.11</t>
  </si>
  <si>
    <t>（1000-101.43）*1.01=907.56</t>
  </si>
  <si>
    <t>6/24 有效23</t>
  </si>
  <si>
    <t>6月23-24日 德国股票粉（2）组【张小强】
6/23
B5  有效3
J3  有效2
C1  有效1
6/24 
J3确认有效2个
B5确认有效4个
合计: （6+6）*150=1800</t>
  </si>
  <si>
    <t>6/25 有效2</t>
  </si>
  <si>
    <t>6月35-26日 德国股票粉（2）组【张小强】
6/25
B5确认有效2
J3确认有效2
6/26
L2确认有效1
H6确认有效17  重粉4=1.33个
合计: （4+18.33）*150=3349.5</t>
  </si>
  <si>
    <t>(3000-1425)*1.1918=1877.09</t>
  </si>
  <si>
    <t>(1000-472.62)*1.12=590.66</t>
  </si>
  <si>
    <t>500*1.08*1.01=545.4-30=515.4</t>
  </si>
  <si>
    <t>（500-43.74）*1.12=511</t>
  </si>
  <si>
    <t>WS计数号2个，IP续费50个</t>
  </si>
  <si>
    <t>100*1.04=104</t>
  </si>
  <si>
    <t>6月27-28日 德国股票粉（2）组【张小强】
6/27 A3群有效6
L2群有效2
6/28
K3确认有效2.66个
L2确认有效7.33个
总计有效2.66+7.33=9.99个   算10个
合计: （8+10）*150=2700</t>
  </si>
  <si>
    <t>200*1.04=208</t>
  </si>
  <si>
    <t>主页：11 ；老主页：2６；千粉主页：2；BM：10</t>
  </si>
  <si>
    <t>（500-395.52）*1.12+60*1.01*2=238U</t>
  </si>
  <si>
    <t>2025年5月收支财务报表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</si>
  <si>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</si>
  <si>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5月收支明细 </t>
    </r>
    <r>
      <rPr>
        <rFont val="Arial"/>
        <color rgb="FF3CBCAA"/>
        <sz val="20.0"/>
      </rPr>
      <t>DETAIL</t>
    </r>
  </si>
  <si>
    <t>5月</t>
  </si>
  <si>
    <t>4月结余</t>
  </si>
  <si>
    <t>18000*1.1*1.01=19998</t>
  </si>
  <si>
    <t>意大利（海哥）</t>
  </si>
  <si>
    <t>30000-75*120=21000（退款）</t>
  </si>
  <si>
    <t>海总-黑泽-欧洲户对接</t>
  </si>
  <si>
    <t>4月30日 德国 张总（王总）
4/30 德国单导 有效26
4/30  H1  有效3
合计：(26+3)*135=3915</t>
  </si>
  <si>
    <t>开电报会员一年测试</t>
  </si>
  <si>
    <t>IP+ws计数号</t>
  </si>
  <si>
    <t>泰华&amp;ME-FB海外户对接群-Mark</t>
  </si>
  <si>
    <t>T86 共享额度户P6</t>
  </si>
  <si>
    <t>10000*1.11=11100U，转多了10U</t>
  </si>
  <si>
    <t>8000*1.1*1.01=8888</t>
  </si>
  <si>
    <t>3000×1.09=3270</t>
  </si>
  <si>
    <t>印度6期</t>
  </si>
  <si>
    <t>5.1  德国单导
4915215411390  7
4915213020236  5
4915217743336  12
4915219367517  5
4915212897643  5
4915210591435  7
4915510564480  5
共计46
合计：46*135=6210</t>
  </si>
  <si>
    <t>4月分红- B哥116,246*0.45=52310.7</t>
  </si>
  <si>
    <t>渠道F 马来K</t>
  </si>
  <si>
    <t>900-162=738*1.01=745.38+202=947.38</t>
  </si>
  <si>
    <t>21000*1.1*1.01=23331，1500*1.18*1.01=1787.7，合计：25118.7</t>
  </si>
  <si>
    <t>6000*1.11=6660-10=6650U</t>
  </si>
  <si>
    <t>日本001对接_Chirs</t>
  </si>
  <si>
    <t>5月2日 德国 张总（王总）
5/2  德国单导
4915215411390  5
4915213020236  5
4915217743336  5
4915219367517  3
4915212897643  2
4915210678752  6
4915210276617  5
4915210756851  6
4915217927758  5
4915217743410  2
4915213086520  6
4915212392118  1
4917686639880  5
4915510461712  5
4915210797499  5
4917673986846  5
4915510564480  6
4915210746583   0
总 77
合计：77*135=10395</t>
  </si>
  <si>
    <t>25000*1.1*1.01=27775</t>
  </si>
  <si>
    <t>印度7期</t>
  </si>
  <si>
    <t>5600*1.11=6216U</t>
  </si>
  <si>
    <t>(17500+3500)*1.10*1.01=23331</t>
  </si>
  <si>
    <t>渠道30 日股粉（张总） 谷歌</t>
  </si>
  <si>
    <t>德国股票粉3组【张小强】</t>
  </si>
  <si>
    <t>德国股票粉4组【张小强】</t>
  </si>
  <si>
    <t>印度8期</t>
  </si>
  <si>
    <t>印度B1</t>
  </si>
  <si>
    <t>印度BB1</t>
  </si>
  <si>
    <t>印度9期</t>
  </si>
  <si>
    <t>波贝2期</t>
  </si>
  <si>
    <t>4月分红- LH，116,246*10%= 11624.6</t>
  </si>
  <si>
    <t>印度8期补群</t>
  </si>
  <si>
    <t>5月5日 德国 张总（王总）
5/5
邀请码：3EZVVU1NE  
工单链接：https://dash.qukazhen.com/web#/accountshow/3EZVVU1NE  
访问密码：WZ430  
备注信息：王总德国  
4915210678752  6
4917686639880  5
4915210276617  6
4915217927758  6
4915210797499  5
4917673986846  5
4915213125027  6
4915210756851  3
4915210746583   0
共计有效 42
合计：42*135=5670</t>
  </si>
  <si>
    <t>欧洲户&amp;hz唐</t>
  </si>
  <si>
    <t>1593.76*1.10*1.01=1770.67</t>
  </si>
  <si>
    <t>2500*1.11=2775U</t>
  </si>
  <si>
    <t>CH加白户14➕1-Nancy</t>
  </si>
  <si>
    <t>VPN续费明细：续费1季度</t>
  </si>
  <si>
    <t>5月6日 德国 张总（王总）
5/6
4915217927758  5
4915210797499  6
4917673986846  6
4915213125027  7
4915210756851  1
4915210276617  2
4915210746583  1
总计28
合计：28*135=3780</t>
  </si>
  <si>
    <t>80+500×1.11=635</t>
  </si>
  <si>
    <t>20000*1.10*1.01=22220</t>
  </si>
  <si>
    <t>500×1.12=560U</t>
  </si>
  <si>
    <t>5月7-8日 德国股票粉二组【张小强】
5/7  55群  有效11
5/8  55群   有效20
合计 (11+20)*135=4185</t>
  </si>
  <si>
    <t>主页</t>
  </si>
  <si>
    <t>500*1.12=560u</t>
  </si>
  <si>
    <t>5月9日 德国股票粉二组【张小强】
5/9  55群  有效13
5/9  59群  有效18
合计: (13+18)*135=4185</t>
  </si>
  <si>
    <t>14999.6*1.1*1.01=16664.55</t>
  </si>
  <si>
    <t>5月7-9日 德国 张总（王总）
"5/7
4915210746583   4
4915210756851   1
4915210276617    1
共计有效6"
"5/8
4915258379487 3
4917686639880  2
共计有效5"
"5/9
4915213086520 4
4915210797499 5
4917673986846 5
4915210276617  1
4915210746583   1
共计有效16"
合计：(6+5+16)*135=3645</t>
  </si>
  <si>
    <t>5月10日 德国股票粉二组【张小强】
5/10  81群  有效21
5/10  45群  有效30
合计: (21+30)*135=6885</t>
  </si>
  <si>
    <t>20000*1.10*1.01=22220+.01=22220.01</t>
  </si>
  <si>
    <t>5月11日 德国股票粉二组【张小强】
5/11   44群  有效29
5/11  24群  有效2
合计: (29+2)*135=4185</t>
  </si>
  <si>
    <t>1647.99*1.10*1.01=1830.92</t>
  </si>
  <si>
    <t>2000-372.38=1627.62*1.01=1644</t>
  </si>
  <si>
    <t>22000*1.10*1.01=24442</t>
  </si>
  <si>
    <t>40+1000×1.12-(618.01+460.19)=81.8</t>
  </si>
  <si>
    <t>32000-15000-8072.64=8927.36，8927.36*1.10*1.01=9918.3</t>
  </si>
  <si>
    <t>(500*1.0908)-91.36=454.04</t>
  </si>
  <si>
    <t>5月12-14日 德国股票粉二组【张小强】
5/12  61群  有效13
5/12   24群  有效9
5/13  61群 有效28
5/14 24群 有效13
合计: (13+9+28+13)*135=8505</t>
  </si>
  <si>
    <t>16000*1.10*1.01+1000*1.18*1.01=18967.8</t>
  </si>
  <si>
    <t>1000*1.10*1.01=1111</t>
  </si>
  <si>
    <t>1000-823.32=176.68*1.01=178.45</t>
  </si>
  <si>
    <t>(1200-602)*1.01+21=624.98</t>
  </si>
  <si>
    <t>5个BM</t>
  </si>
  <si>
    <t>5月10-14日 德国 张总（王总）
5/10
4917686639880   1
4915210276617   1
共计有效2
5/12
4915213086520 5
4917673986846 0
4915217927758  2
有效7
5/13   K3群   有效13
5/14
F7  有效12
E8  有效2
共计有效14
合计：(2+7+13+14)*135=4860</t>
  </si>
  <si>
    <t>24000*1.10*1.01=26664</t>
  </si>
  <si>
    <t>10000*1.10*1.01=11110</t>
  </si>
  <si>
    <t>17：44</t>
  </si>
  <si>
    <t>1500*1.01+42*2=1599</t>
  </si>
  <si>
    <t>3个bm</t>
  </si>
  <si>
    <t>60（开户费）+500*1.08*1.01=605.4</t>
  </si>
  <si>
    <t>12000*1.1*1.01=13332</t>
  </si>
  <si>
    <t>5月16日 德国股票粉二组【张小强】
5/16
W3  有效3
6群  有效2
共计有效5
5/16  W3  有效1
5/16 6群 有效2
合计: (5+1+2)*135=1080</t>
  </si>
  <si>
    <t>18：29</t>
  </si>
  <si>
    <t>18：30</t>
  </si>
  <si>
    <t>24000*1.1*1.01=26664</t>
  </si>
  <si>
    <t>500*1.11+80+30=665</t>
  </si>
  <si>
    <t>1500*1.01=1515</t>
  </si>
  <si>
    <t>4352.01*1.10*1.01=4835.08</t>
  </si>
  <si>
    <t>(12000+10000+5000)*1.10*1.01=29997</t>
  </si>
  <si>
    <t>7个bm</t>
  </si>
  <si>
    <t>续费电报2个</t>
  </si>
  <si>
    <t>1700*1.1/0.99+300-997.2=1191.68</t>
  </si>
  <si>
    <t>（10927.27+19000）*1.10*1.01=33249.2</t>
  </si>
  <si>
    <t>5000-2205=2795*1.16=3242.2</t>
  </si>
  <si>
    <t>3000*1.10*1.01=3333</t>
  </si>
  <si>
    <t>500*2*1.11+80*2-550=720</t>
  </si>
  <si>
    <t>10000*1.16=11600</t>
  </si>
  <si>
    <t>4月分红- 张总116,246*0.45=52310.7</t>
  </si>
  <si>
    <t>30000*1.10*1.01=33330</t>
  </si>
  <si>
    <t>5月19-21日 德国股票粉二组【张小强】
5/19 
K1群有效1.33
G100群有效7"
5/20 K1群有效1
5/21 G100群 有效1
      K1 有效4
合计: (8.33+1+5)*135=1934</t>
  </si>
  <si>
    <t>1500*1.1/0.99-1500+300开户费=1,966.67</t>
  </si>
  <si>
    <t>14545.45+10000=24545.45*1.10*1.01=27270</t>
  </si>
  <si>
    <t>1492-518×1.01=968.82</t>
  </si>
  <si>
    <t>500-52.72=447.28*1.01=451.75</t>
  </si>
  <si>
    <t>5000*1.16=5800</t>
  </si>
  <si>
    <t>(1000-85)*1.01+42=966.15</t>
  </si>
  <si>
    <t>1000x1.10🟰1100</t>
  </si>
  <si>
    <t>1100*1.01=1111</t>
  </si>
  <si>
    <t>5月22-25日 德国股票粉4组【张小强】
5/22  G100  有效2
5/23  K1   有效1
5/24 K1群有效1
5/25 G100 有效12
合计: (2+1+1+12)*135=2160</t>
  </si>
  <si>
    <t>14554.31*1.10*1.01=16169.84</t>
  </si>
  <si>
    <t>1400*1.01=1414</t>
  </si>
  <si>
    <t>（2500-2012.018702）*1.0908+开户费210=742.29</t>
  </si>
  <si>
    <t>10个BM</t>
  </si>
  <si>
    <t>15：01</t>
  </si>
  <si>
    <t>1000*1.08*1.01=1090.8</t>
  </si>
  <si>
    <t>(1400-495)*1.01+42=956</t>
  </si>
  <si>
    <t>(900-95)*1.01=813</t>
  </si>
  <si>
    <t>5月27-28日 德国股票粉4组【张小强】
5/27  k1  有效3.33
5/27  k1有效3.16
5/27 T1群 有效4.33
5/28  k1  有效2
合计: (10+2)*135=1620</t>
  </si>
  <si>
    <t>耐用号*3</t>
  </si>
  <si>
    <t>5月15-28日 德国 张总（王总）
"5/15
4915510612630   有效1"  1
5/27  有效1  1
5月28日有效1  1
合计：(1+1+1)*135=405</t>
  </si>
  <si>
    <t>（40+500*1.13）*1.01=611.05</t>
  </si>
  <si>
    <t>(20000-853.32)*1.18*1.01+开户费300*1.01=23122.01</t>
  </si>
  <si>
    <t>(500-426.65)*1.01=74.08</t>
  </si>
  <si>
    <t>老主页：19；复审老主页：14 ；五星主页：3；复审bm：20</t>
  </si>
  <si>
    <t>900*1.01+21=930</t>
  </si>
  <si>
    <t>以上已核对，无遗漏</t>
  </si>
  <si>
    <t>2025年4月收支财务报表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</si>
  <si>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</si>
  <si>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2025年4月收支明细 </t>
    </r>
    <r>
      <rPr>
        <rFont val="Arial"/>
        <color rgb="FF3CBCAA"/>
        <sz val="20.0"/>
      </rPr>
      <t>DETAIL</t>
    </r>
  </si>
  <si>
    <t>4月</t>
  </si>
  <si>
    <t>3月结余</t>
  </si>
  <si>
    <t>渠道30 日股粉（张总） FB</t>
  </si>
  <si>
    <t>海总- BM户对接</t>
  </si>
  <si>
    <t>预付100个</t>
  </si>
  <si>
    <t>大表哥 FB&amp;意大利</t>
  </si>
  <si>
    <t>海总-全球户</t>
  </si>
  <si>
    <t>-500*1.06=-530</t>
  </si>
  <si>
    <t>28*399=11172</t>
  </si>
  <si>
    <t>6个主页</t>
  </si>
  <si>
    <t>账单户充值</t>
  </si>
  <si>
    <t>浩天 意大利对接群</t>
  </si>
  <si>
    <t>印度003对接—胖鱼</t>
  </si>
  <si>
    <t>3月分红- B哥</t>
  </si>
  <si>
    <t>HY&amp;papa 二不限</t>
  </si>
  <si>
    <t>ZJL&amp;Shen 印度企业户 15+1/MY &amp;Shen SSS户 70+13%U1</t>
  </si>
  <si>
    <t>海总-德国🇩🇪粉</t>
  </si>
  <si>
    <t xml:space="preserve">R9GT&amp;SHEN 欧 </t>
  </si>
  <si>
    <t>Andy- 美金谷歌户25+5%</t>
  </si>
  <si>
    <t>动态IP2个、计数号*2</t>
  </si>
  <si>
    <t>钱包转款小额测试</t>
  </si>
  <si>
    <t>印度4期-啊光</t>
  </si>
  <si>
    <t>海总-🌙日本🇯🇵-岳</t>
  </si>
  <si>
    <t>IP*30</t>
  </si>
  <si>
    <t>7个主页</t>
  </si>
  <si>
    <t>150*2*1.01+2000*1.18*1.01=2686.6</t>
  </si>
  <si>
    <t>渠道30 日股粉（张总） FB退款</t>
  </si>
  <si>
    <t>4/21已退</t>
  </si>
  <si>
    <t>9个主页</t>
  </si>
  <si>
    <t>德国股民单粉——summer退款</t>
  </si>
  <si>
    <t>4/10已退</t>
  </si>
  <si>
    <t>预付50个</t>
  </si>
  <si>
    <t>海哥一期（印度1500）</t>
  </si>
  <si>
    <t>4/26已退</t>
  </si>
  <si>
    <t>3月分红- LH</t>
  </si>
  <si>
    <t>欧洲三不限-泰华3➕1（0.84）</t>
  </si>
  <si>
    <t>机器人防护</t>
  </si>
  <si>
    <t>5/1 退21000</t>
  </si>
  <si>
    <t>德国股民单粉——summer</t>
  </si>
  <si>
    <t>4/10退12150</t>
  </si>
  <si>
    <t>预付200个</t>
  </si>
  <si>
    <t>意大利二期</t>
  </si>
  <si>
    <t>德国股票粉1组【张小强】4/10开始</t>
  </si>
  <si>
    <t>印度5期-阿光4/14开始</t>
  </si>
  <si>
    <t>印度19期</t>
  </si>
  <si>
    <t>印度B哥（汤总）</t>
  </si>
  <si>
    <t>1000-278.4=721.6×1.09=786.5</t>
  </si>
  <si>
    <t>2000×1.16+200=2520</t>
  </si>
  <si>
    <t>主页 4</t>
  </si>
  <si>
    <t>BM 1</t>
  </si>
  <si>
    <t>1000×1.09=1090</t>
  </si>
  <si>
    <t>主页 6</t>
  </si>
  <si>
    <t>计数器</t>
  </si>
  <si>
    <t>166.1*1.10*1.01=184.54</t>
  </si>
  <si>
    <t>4套开户费</t>
  </si>
  <si>
    <t>耐用号*1</t>
  </si>
  <si>
    <t>主页：3;BM：5;主页；1</t>
  </si>
  <si>
    <t>耐用BM*4</t>
  </si>
  <si>
    <t>10000*1.10*1.01+1000*1.18*1.01=12301.8</t>
  </si>
  <si>
    <t>申诉个号1个</t>
  </si>
  <si>
    <t>1000×1.09=1090，1090+80.3=1170.3</t>
  </si>
  <si>
    <t>主页：5</t>
  </si>
  <si>
    <t>11000*1.10*1.01=12221</t>
  </si>
  <si>
    <t>4月10日 德国股票粉二组【张小强】
F6  有效27
B2  有效28
合计 (27+28)*135=7425</t>
  </si>
  <si>
    <t>20+1000*1.16=1180U</t>
  </si>
  <si>
    <t>主页：7</t>
  </si>
  <si>
    <t>13000*1.1*1.01=14443</t>
  </si>
  <si>
    <t>开户费80，1000*1.15*1.01=1161.5+80=1241.5</t>
  </si>
  <si>
    <t>3000*1.1*1.01=3333</t>
  </si>
  <si>
    <t>4月11日 德国股票粉二组【张小强】
4/11  M8群 有效10
合计10*135=1350</t>
  </si>
  <si>
    <t>MY &amp;Shen SSS户 70+13%U1</t>
  </si>
  <si>
    <t>1000×1.16=1160</t>
  </si>
  <si>
    <t>18000*1.10*1.01=19998</t>
  </si>
  <si>
    <t>2,220.97*1.03=2,287.6</t>
  </si>
  <si>
    <t>500*1.03=515</t>
  </si>
  <si>
    <t>印度5期-阿光</t>
  </si>
  <si>
    <t>4/14  C8  有效15
V1 有效20</t>
  </si>
  <si>
    <t>13000*1.10*1.01+500*2*1.10*1.01=15554</t>
  </si>
  <si>
    <t>5000*1.15*1.01=5807.5</t>
  </si>
  <si>
    <t>老主页：10，千粉主页：2</t>
  </si>
  <si>
    <t>70+500*1.14=640</t>
  </si>
  <si>
    <t>8000*1.15*1.01=9292➕150开户费=9442</t>
  </si>
  <si>
    <t>2000*1.15*1.01=2323</t>
  </si>
  <si>
    <t>462.80*1.03=476.68</t>
  </si>
  <si>
    <t>4273*1.15*1.01=4963</t>
  </si>
  <si>
    <t>160*1.01=161.6</t>
  </si>
  <si>
    <t>2×500×1.14=1140</t>
  </si>
  <si>
    <t>4月16日 德国股票粉二组【张小强】
A6群 有效17
合计17*135= 2295</t>
  </si>
  <si>
    <t>15000*1.15*1.01=17422.5</t>
  </si>
  <si>
    <t>4月17日 德国股票粉二组【张小强】
Q9有效10
合计10*135= 1350</t>
  </si>
  <si>
    <t>3878.69*1.10*1.01=4309.23</t>
  </si>
  <si>
    <t>1761.1*1.11=1954.8U，1954.8+155=2109.8U</t>
  </si>
  <si>
    <t>4月18日 德国股票粉二组【张小强】
Q9 有效21
合计21*135=2835</t>
  </si>
  <si>
    <t>6000*1.11=6660U</t>
  </si>
  <si>
    <t>6000*1.15*1.01=6969➕80=7049</t>
  </si>
  <si>
    <t>50+50+270=370</t>
  </si>
  <si>
    <t>4月18日 德国股票粉二组【张小强】
W2 有效21
H9群 有效7
合计(21+7)*135=3780</t>
  </si>
  <si>
    <t>4月19日 德国股票粉二组【张小强】
4/19  J4  有效25
4/19 K6群 有效28
4/19  L6 有效1
合计(25+28+1)*135= 7290</t>
  </si>
  <si>
    <t>3月分红- 张总</t>
  </si>
  <si>
    <t>新防护</t>
  </si>
  <si>
    <t>4月20-22日 德国股票粉二组【张小强】
4/20  M7 有效4
4/21 L6群 有效7
4/21 M7 有效9
4/22  A10群  有效21
4/22 M7群 有效17
合计(4+7+9+21+17)*135=7830</t>
  </si>
  <si>
    <t>19000*1.10*1.01=21109</t>
  </si>
  <si>
    <t>10000*1.11=11100U</t>
  </si>
  <si>
    <t>5000*1.10*1.01=5555</t>
  </si>
  <si>
    <t>7000*1.11=7770U</t>
  </si>
  <si>
    <t>4月23-24日 德国股票粉二组【张小强】
4/23  U2群 有效4
4/23 S3 有效4
4/24  W8  有效3
4/24  S3  有效5
合计(4+4+3+5)*135=2160</t>
  </si>
  <si>
    <t>29000*1.10*1.01=32219</t>
  </si>
  <si>
    <t>12000*1.11=13320U</t>
  </si>
  <si>
    <t>1500*1.12*1.01=1696.8</t>
  </si>
  <si>
    <t>老主页：32，千粉主页：4，百粉主页：1，五星主页：7</t>
  </si>
  <si>
    <t>8000*1.11=8880U</t>
  </si>
  <si>
    <t>35000*1.1*1.01=38885</t>
  </si>
  <si>
    <t>4月25日 德国股票粉二组【张小强】
4/25  W2群  有效26
4/25   J1  有效1
合计(26+1)*135=3645</t>
  </si>
  <si>
    <t>388089.86/80=4851.12*1.1*1.01=5389.59</t>
  </si>
  <si>
    <t>WS计数号（+91）（+63）</t>
  </si>
  <si>
    <t>越南户2000×1.09=2180，欧洲户清零496.7，2180-496.7=1683.3</t>
  </si>
  <si>
    <t>5993.13*1.10*1.01=6658.37</t>
  </si>
  <si>
    <t>1500*1.08*1.01=1636.2</t>
  </si>
  <si>
    <t>4月29日 德国 张总（王总）
4/29 S8-1群 有效35
合计：35*135=4725</t>
  </si>
  <si>
    <t>（8000-2423）*1.11=6190.5U</t>
  </si>
  <si>
    <t>1500*1.18*1.01+23000*1.10*1.01=27340.7</t>
  </si>
  <si>
    <t>2000×1.09=2180</t>
  </si>
  <si>
    <t>2025年3月收支财务报表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</si>
  <si>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</si>
  <si>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2025年3月收支明细 </t>
    </r>
    <r>
      <rPr>
        <rFont val="Arial"/>
        <color rgb="FF3CBCAA"/>
        <sz val="20.0"/>
      </rPr>
      <t>DETAIL</t>
    </r>
  </si>
  <si>
    <t>3月</t>
  </si>
  <si>
    <t>2月结余</t>
  </si>
  <si>
    <t>CH加白户14➕1</t>
  </si>
  <si>
    <t>意大利张总单导</t>
  </si>
  <si>
    <t>2/27        有效9        1080
2/28        有效31        3720
合计        4800        
TLimy52jPz279TiS2LDfpCUYsim33dHTew，地址不变，2/27未结</t>
  </si>
  <si>
    <t>巴西测试粉</t>
  </si>
  <si>
    <t>服务费15%，1440.92*1.15= 1657.06</t>
  </si>
  <si>
    <t>深圳芳林子@SHEN 户</t>
  </si>
  <si>
    <t>分红B哥2月分红，220,136.40*0.45= 99061.38</t>
  </si>
  <si>
    <t>印度2期</t>
  </si>
  <si>
    <t>印度（10）金山</t>
  </si>
  <si>
    <t>GTHY&amp;papa 二不限 10+2+1</t>
  </si>
  <si>
    <t>GT&amp;SHEN 欧 2%+u1</t>
  </si>
  <si>
    <t>2/27 9
3/1 29
未结算 38*120=4560</t>
  </si>
  <si>
    <t>哪吒-FB企业海外户</t>
  </si>
  <si>
    <t>意大利打群-fa</t>
  </si>
  <si>
    <t>Chris Ryan MYM美金户&amp;麦芽-西柚</t>
  </si>
  <si>
    <t>4000*1.18/0.99=4767.68</t>
  </si>
  <si>
    <t>海总-越南电信户</t>
  </si>
  <si>
    <t>济宁韦宁&amp;香港有意思</t>
  </si>
  <si>
    <t>凤凰渠道2-泰华</t>
  </si>
  <si>
    <t>意大利第4梯队（蟑螂哥）</t>
  </si>
  <si>
    <t>3月2日蟑螂哥
867群 有效3，3*120=360
397群 有效11，11*120=1320
合计 360+1320=1680</t>
  </si>
  <si>
    <t>印度FB天叶（2/24）</t>
  </si>
  <si>
    <t>技术学习费</t>
  </si>
  <si>
    <t>项目退款：印度FB天叶（2/24）</t>
  </si>
  <si>
    <t>项目退款：凯旋城7期退款</t>
  </si>
  <si>
    <t>500*1.07/0.99+3000*1.18/0.99=4116.16</t>
  </si>
  <si>
    <t>项目退款：渠道F 英文J</t>
  </si>
  <si>
    <t>分红张总2月分红，220,136.40*0.45= 99061.38</t>
  </si>
  <si>
    <t>印度FB——哈密瓜</t>
  </si>
  <si>
    <t>分红刘辉2月分红，220,136.40*10%=22013.64</t>
  </si>
  <si>
    <t>马来打群-fa</t>
  </si>
  <si>
    <t>德国打群-fa</t>
  </si>
  <si>
    <t>500*1.09*1.01=550.45</t>
  </si>
  <si>
    <t>代投退款：浩天 意大利对接群</t>
  </si>
  <si>
    <t>代投退款：印度006对接—henry</t>
  </si>
  <si>
    <t>代投退款：海总-德国🇩🇪粉</t>
  </si>
  <si>
    <t>代投退款：海总-越南电信户</t>
  </si>
  <si>
    <t>户商退款：十月二不限</t>
  </si>
  <si>
    <t>户商退款：凤凰&amp;洛阳</t>
  </si>
  <si>
    <t>户商退款：海总-全球户</t>
  </si>
  <si>
    <t>户商退款：印度企业户 欧洲美金户下户</t>
  </si>
  <si>
    <t>户商退款：CH加白户14➕1</t>
  </si>
  <si>
    <t>户商退款：Y-5208 FB欧/美户</t>
  </si>
  <si>
    <t>1000*1.13=1130U</t>
  </si>
  <si>
    <t>3/4 有效17-4=13	13*120=1560
3/5 有效2	2*120=240</t>
  </si>
  <si>
    <t>德国股票粉二组【张小强】</t>
  </si>
  <si>
    <t xml:space="preserve">G3群有效33 33*135=4455
B4群有效37 37*135=4995
合计  4455+4995=9450 </t>
  </si>
  <si>
    <t>30个IP续费</t>
  </si>
  <si>
    <t>印度2期2/7开始</t>
  </si>
  <si>
    <t>印度（10）金山2/22</t>
  </si>
  <si>
    <t>其中已退款$26,976</t>
  </si>
  <si>
    <t>80开户费
1000*1.1*1.01=1111➕80=1191</t>
  </si>
  <si>
    <t>5000+626.26=5626.26</t>
  </si>
  <si>
    <t>印度3期</t>
  </si>
  <si>
    <t>印度（10）金山3/17开始</t>
  </si>
  <si>
    <t>10000*1.1*1.01=11100</t>
  </si>
  <si>
    <t>韩国刷单粉对接</t>
  </si>
  <si>
    <t>渠道F 英文J</t>
  </si>
  <si>
    <t>马来</t>
  </si>
  <si>
    <t>3/6 F2 有效31
      D2 有效19
3/7  Q1有效36
合计  31+19+36=86*135=11610</t>
  </si>
  <si>
    <t>（蟑螂哥）英国结算群</t>
  </si>
  <si>
    <t>印度L2期-强森</t>
  </si>
  <si>
    <t>3/7  c2群  有效37
3/7 A5群 有效23
合计  （23+37）*135=8100</t>
  </si>
  <si>
    <t>印度14期-么么</t>
  </si>
  <si>
    <t>4000-543.56=3456.44*1.1*1.01=3840.1</t>
  </si>
  <si>
    <t>4000*1.1*1.01=4444</t>
  </si>
  <si>
    <t>渠道B 德国A</t>
  </si>
  <si>
    <t>3000*1.11=3330U</t>
  </si>
  <si>
    <t>100*3*1.08+30=354U</t>
  </si>
  <si>
    <t>¥300*5=¥1500（207.35U实时汇率）</t>
  </si>
  <si>
    <t>主页3*15+百粉2*30=105    15U</t>
  </si>
  <si>
    <t>5000*1.1*1.01=5555，5555-1161.5=4393.5</t>
  </si>
  <si>
    <t>防护升级套餐</t>
  </si>
  <si>
    <t>1500*1.15*1.01=1742.25</t>
  </si>
  <si>
    <t>主页1*15+百粉5*30=165    24U</t>
  </si>
  <si>
    <t>3月10-11日 德国股票粉二组【张小强】
3/10  D3 有效7
3/11 B6群 有效13
T2群 有效1
X3群 有效7
合计 （7+13+1+7）*135=3780</t>
  </si>
  <si>
    <t>40*2+500*1.14*2=1220U</t>
  </si>
  <si>
    <t>3月12日 德国股票粉二组【张小强】
D4 32
K1 14
Q2 21
合计（32+14+21） *135=9045</t>
  </si>
  <si>
    <t>向南</t>
  </si>
  <si>
    <t>账单户*4</t>
  </si>
  <si>
    <t>2套开户费</t>
  </si>
  <si>
    <t>3/6 有效1 ，1*120=120</t>
  </si>
  <si>
    <t>50*2=100</t>
  </si>
  <si>
    <t>500*1.1*1.01=555.5➕50开户费=605.5</t>
  </si>
  <si>
    <t>3月12日 德国股票粉二组【张小强】
G3群  有效40
F4群  有效18
c1群  有效5
T2 群 有效19
合计 82 *135=11070</t>
  </si>
  <si>
    <t>2000*1.18/0.99=2383.84</t>
  </si>
  <si>
    <t>3*15+1*30=¥75（11U）</t>
  </si>
  <si>
    <t>2X500=1000X1.09=1090</t>
  </si>
  <si>
    <t>账单户*2+BM*5</t>
  </si>
  <si>
    <t>500×1.15×4=2300u</t>
  </si>
  <si>
    <t>凯旋城7期退款</t>
  </si>
  <si>
    <t>500*1.1*1.01=555.5➕开户费50=605.5</t>
  </si>
  <si>
    <t>3月17日 德国股票粉二组【张小强】  
L4群  有效2
Z4群  有效2
J4群  有效21  
合计 25 *135=3375</t>
  </si>
  <si>
    <t>（3000-2629.6）*1.10*1.01+3000*1.15*1.01=3896.01</t>
  </si>
  <si>
    <t>1000*1.04=1040</t>
  </si>
  <si>
    <t>账单户*1</t>
  </si>
  <si>
    <t>（6000-5121.3）*1.10*1.01=976.24</t>
  </si>
  <si>
    <t>1000*1.1*1.01=1111</t>
  </si>
  <si>
    <t>3000*1.15*1.01=3484.5</t>
  </si>
  <si>
    <t>987.65/0.84*1.03=1,211.05</t>
  </si>
  <si>
    <t>50个预付</t>
  </si>
  <si>
    <t xml:space="preserve">3月18日 德国股票粉二组【张小强】  
L2群  有效12
X2群  有效9
Z4群  有效2
合计 23 *135=3105  </t>
  </si>
  <si>
    <t>3/10-3/19结款</t>
  </si>
  <si>
    <t>6000*1.15*1.01+22000*1.10*1.01=31411</t>
  </si>
  <si>
    <t>300*1.03=309</t>
  </si>
  <si>
    <t>3/19 有效12
3/20 有效12 
未结算 24*135=3240</t>
  </si>
  <si>
    <t>32000*1.10*1.01=35552</t>
  </si>
  <si>
    <t>百粉3*30=90    13U</t>
  </si>
  <si>
    <t>300*1.07+12=333</t>
  </si>
  <si>
    <t>300*1.07=321</t>
  </si>
  <si>
    <t>1个耐用号</t>
  </si>
  <si>
    <t>28000*1.1*1.01=31108</t>
  </si>
  <si>
    <t>6个老主页</t>
  </si>
  <si>
    <t>3000*1.12*1.01=3393.6，转多了3U，下次充值抵扣</t>
  </si>
  <si>
    <t>2000*1.12*1.01=2262.4</t>
  </si>
  <si>
    <t>凤凰&amp;洛阳</t>
  </si>
  <si>
    <t>远程投手周结工资（3/22-3/24）</t>
  </si>
  <si>
    <t>200✖️23=4600</t>
  </si>
  <si>
    <t>500×3×1.09=1635</t>
  </si>
  <si>
    <t>开户费150+300*1.1=480</t>
  </si>
  <si>
    <t>9个BM</t>
  </si>
  <si>
    <t>退款，扣了2美金手续费</t>
  </si>
  <si>
    <t>7×500×1.09=3815</t>
  </si>
  <si>
    <t>1500×1.09=1635</t>
  </si>
  <si>
    <t>20*65=1300+90=1390</t>
  </si>
  <si>
    <t>申诉个号4个</t>
  </si>
  <si>
    <t>退款，100-（7+23+25+13）=32*75=2400</t>
  </si>
  <si>
    <t>海王工单</t>
  </si>
  <si>
    <t>10783.45*1.10*1.01=11980.41</t>
  </si>
  <si>
    <t>BM5</t>
  </si>
  <si>
    <t>5个主页</t>
  </si>
  <si>
    <t>28684.51*1.1*1.01=31868.49</t>
  </si>
  <si>
    <t>13个bm</t>
  </si>
  <si>
    <t>短信验证</t>
  </si>
  <si>
    <t>谷歌账号1个</t>
  </si>
  <si>
    <t>60*2=120+500*1.12=680</t>
  </si>
  <si>
    <t>9000*1.10*1.01=9999</t>
  </si>
  <si>
    <t>VPN续费1个季度</t>
  </si>
  <si>
    <t>5个耐用号</t>
  </si>
  <si>
    <t>XW周结算工资</t>
  </si>
  <si>
    <t>500-221.25=278.75*1.04=289.9</t>
  </si>
  <si>
    <t>2025年2月收支财务报表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</si>
  <si>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</si>
  <si>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2025年2月收支明细 </t>
    </r>
    <r>
      <rPr>
        <rFont val="Arial"/>
        <color rgb="FF3CBCAA"/>
        <sz val="20.0"/>
      </rPr>
      <t>DETAIL</t>
    </r>
  </si>
  <si>
    <t>2月</t>
  </si>
  <si>
    <t>2025.1结余</t>
  </si>
  <si>
    <t>凤凰&amp;洛阳&amp;白户14</t>
  </si>
  <si>
    <t>意大利蟑螂哥2月</t>
  </si>
  <si>
    <t>1/30 258群 有效34
1/31 638群 有效31
        328群 有效20，85*120=10200</t>
  </si>
  <si>
    <t>400*22=8800</t>
  </si>
  <si>
    <t>10000*1.13+5000*1.15=17050</t>
  </si>
  <si>
    <t>意大利-（岳总）</t>
  </si>
  <si>
    <t>尾款18×100=1800，预付3个群180×100=18000，一共19800</t>
  </si>
  <si>
    <t>Fb 白户</t>
  </si>
  <si>
    <t>分红B哥1月分红</t>
  </si>
  <si>
    <t>6000*1.13+2000*1.15=9080</t>
  </si>
  <si>
    <t>桃子熊充值</t>
  </si>
  <si>
    <t>Alex 法国TMI户&amp;11+1 麦芽-西柚</t>
  </si>
  <si>
    <t>2000*1.10*1.01=2222</t>
  </si>
  <si>
    <t>600*22=13200</t>
  </si>
  <si>
    <t>2647*23=60881</t>
  </si>
  <si>
    <t>西班牙70A-xingxing</t>
  </si>
  <si>
    <t>200*90=18000</t>
  </si>
  <si>
    <t>30*70=2100</t>
  </si>
  <si>
    <t>预付剩余180-25-70-60=25个，预付4个群240×100=24000，一共26500，剩余290个预付</t>
  </si>
  <si>
    <t>7000*1.13+2000*1.15=10210</t>
  </si>
  <si>
    <t>2/2 A96 有效55-同行5-350 351（3）-异国1=46*0.85=39，2/2 867群 有效37，39+37=76*120=9120</t>
  </si>
  <si>
    <t>1000*1.14*1.01=1151.4</t>
  </si>
  <si>
    <t>小额确认新地址</t>
  </si>
  <si>
    <t>3000*1.10*1.01=3333
3333+59.76=3392.76</t>
  </si>
  <si>
    <t>意大利（2000）阿光</t>
  </si>
  <si>
    <t>850*23=19550</t>
  </si>
  <si>
    <t>9000＊1.13=10170</t>
  </si>
  <si>
    <t>731*23=16813</t>
  </si>
  <si>
    <t>意大利第三梯队608（蟑螂哥）</t>
  </si>
  <si>
    <t>120*9=1080</t>
  </si>
  <si>
    <t>7500*1.13=8475</t>
  </si>
  <si>
    <t>意大利🇮🇹——海月</t>
  </si>
  <si>
    <t>Fb 白户-长夏</t>
  </si>
  <si>
    <t>110000-100645.4*1.1= -709.94</t>
  </si>
  <si>
    <t>9000*1.13=10170，500备用金已减</t>
  </si>
  <si>
    <t>（蟑螂哥）西班牙</t>
  </si>
  <si>
    <t>2/4 
渠道：
日期：2/4
粉类别：FB
有效粉：5
单价：80
金额：400</t>
  </si>
  <si>
    <t>西班牙/春兰/70A</t>
  </si>
  <si>
    <t>2/4 有效粉3，3*120=360</t>
  </si>
  <si>
    <t>987*23=22701</t>
  </si>
  <si>
    <t>工资发放</t>
  </si>
  <si>
    <t>渠道商退款：Alex 法国TMI户&amp;11+1 麦芽-西柚</t>
  </si>
  <si>
    <t>渠道商退款：桃子熊退款</t>
  </si>
  <si>
    <t>GD&amp;shen 欧洲美金户 10%u1</t>
  </si>
  <si>
    <t>GT&amp;Shen 欧洲美金低消户 12%u1</t>
  </si>
  <si>
    <t>GF&amp;SHEN美国户 开10u 10%+u1</t>
  </si>
  <si>
    <t>开户美国三不限户-Daisy</t>
  </si>
  <si>
    <t>GT (井号户）</t>
  </si>
  <si>
    <t>代投退款：意大利-（岳总）</t>
  </si>
  <si>
    <t>1134*23=26082</t>
  </si>
  <si>
    <t>代投退款：西班牙/春兰/70A</t>
  </si>
  <si>
    <t>1000-435=565*1.14*1.01=650.541</t>
  </si>
  <si>
    <t>代投退款：西班牙70A-xingxing</t>
  </si>
  <si>
    <t>机器人防护1个月</t>
  </si>
  <si>
    <t>1月结余</t>
  </si>
  <si>
    <t>五星主页1个</t>
  </si>
  <si>
    <t>分红刘辉1月分红，10U小额确认、杜总3000</t>
  </si>
  <si>
    <t>暂停</t>
  </si>
  <si>
    <t>（9000- 116）*1.13=10038.92，先转1W</t>
  </si>
  <si>
    <t>（7000-2000）*1.13+38.92=5688.92，实际转出是5689</t>
  </si>
  <si>
    <t>4000*1.13=4520</t>
  </si>
  <si>
    <t>印度1期总打款300,000-总有效10867*28=-4,276</t>
  </si>
  <si>
    <t>185*23=4255u</t>
  </si>
  <si>
    <t>购车款</t>
  </si>
  <si>
    <t>印度25期（印度1期）2/7结束</t>
  </si>
  <si>
    <t>4500*1.13=5085</t>
  </si>
  <si>
    <t>1158*23=26634</t>
  </si>
  <si>
    <t>VPN续费（一个季度）</t>
  </si>
  <si>
    <t>2个计数号+50个IP</t>
  </si>
  <si>
    <t>（7000-1000）*1.13=6780</t>
  </si>
  <si>
    <t>2827.14*1.1*1.01=3140.95</t>
  </si>
  <si>
    <t>Y-5208 FB欧/美户-Ivan（HX）</t>
  </si>
  <si>
    <t>500*1.12=560</t>
  </si>
  <si>
    <t>月度差值</t>
  </si>
  <si>
    <t>178*23=4094u</t>
  </si>
  <si>
    <t>6000＊1.13=6780</t>
  </si>
  <si>
    <t>30-7=23 23x70=1610</t>
  </si>
  <si>
    <t>562*23=12926</t>
  </si>
  <si>
    <t>3500＊1.13=3955</t>
  </si>
  <si>
    <t>1091*23=25093</t>
  </si>
  <si>
    <t>236*22=5192</t>
  </si>
  <si>
    <t>个号申诉（超30天）</t>
  </si>
  <si>
    <t>NN工资发放</t>
  </si>
  <si>
    <t>桃子熊退款</t>
  </si>
  <si>
    <t>2/5 B55群 有效2未结算；2/9 未结算J09群 有效8，2/10 A55群 有效4未结算，2+8+4=14*80=1120</t>
  </si>
  <si>
    <t>(30-8-4-1)*70=1190</t>
  </si>
  <si>
    <t>(10000-282)＊1.13=10981.34</t>
  </si>
  <si>
    <t>2/11  €6 有效粉1</t>
  </si>
  <si>
    <t>2000-1617.93=382.07*1.10*1.01=424.48</t>
  </si>
  <si>
    <t>（50+1000*1.11）*2=2320U</t>
  </si>
  <si>
    <t>海总-全球户-Milana</t>
  </si>
  <si>
    <t>500×1.01×1.12=565.6</t>
  </si>
  <si>
    <t>换汇1W</t>
  </si>
  <si>
    <t>CH户：450➕936=1386</t>
  </si>
  <si>
    <t>2000*1.14*1.01=2302.8</t>
  </si>
  <si>
    <t>21000*1.1*1.01=23331</t>
  </si>
  <si>
    <t>2000×1.11=2220U</t>
  </si>
  <si>
    <t>分红张总1月分红，46170.8315未出</t>
  </si>
  <si>
    <t>5000*1.11=5550U</t>
  </si>
  <si>
    <t>20,000*1.1*1.01=22,220</t>
  </si>
  <si>
    <t>968.92*1.1*1.01=1,076.47</t>
  </si>
  <si>
    <t>主页2个、五星主页1个</t>
  </si>
  <si>
    <t>2/16 866群 有效42
42*120=5040</t>
  </si>
  <si>
    <t>14：59</t>
  </si>
  <si>
    <t>防护续费（一个月）</t>
  </si>
  <si>
    <t>1462.6*0.8=1,170.08，退80%</t>
  </si>
  <si>
    <t>12578.22*0.8=10062.578,退80%</t>
  </si>
  <si>
    <t>2/17 536群 有效33
33*120=3960</t>
  </si>
  <si>
    <t>计数器(增加10个端口)</t>
  </si>
  <si>
    <t>(2000-470.88)*1.10*1.01+(3000-1000)*1.10*1.01=3920.85</t>
  </si>
  <si>
    <t>2/19 813群 有效粉3，剩余3个预付。2月18日蟑螂哥
27*120=3240</t>
  </si>
  <si>
    <t>充值手续费3.21</t>
  </si>
  <si>
    <t xml:space="preserve">主页3个、五星主页1个
</t>
  </si>
  <si>
    <t>ADA退款：1000+992=1992</t>
  </si>
  <si>
    <t>3个WS计数号</t>
  </si>
  <si>
    <t>GD&amp;shen 欧洲美金户 10%u1退剩余20%：292.6；GF&amp;SHEN美国户 开10u 10%+u1退15338.85</t>
  </si>
  <si>
    <t>600*1.05*1.01=636.3</t>
  </si>
  <si>
    <t>2月20日蟑螂哥
 813群 有效7，7-3（剩余预付）=4，4*120=480</t>
  </si>
  <si>
    <t>4000*1.11=4440U</t>
  </si>
  <si>
    <t>2000*1.11=2220U</t>
  </si>
  <si>
    <t>17：00</t>
  </si>
  <si>
    <t>17：02</t>
  </si>
  <si>
    <t>意大利219：7
意大利-泰:14，（7+14）*120=2520</t>
  </si>
  <si>
    <t>2月21日蟑螂哥
 620群 有效45
45*120=5400</t>
  </si>
  <si>
    <t>4*100=400</t>
  </si>
  <si>
    <t>2143*28=60004</t>
  </si>
  <si>
    <t>分红张总1月分红，46170.8315已出</t>
  </si>
  <si>
    <t>5000*1.11+2000*1.11=7770U</t>
  </si>
  <si>
    <t>500*5*1.12*1.01=2828</t>
  </si>
  <si>
    <t>2月23日蟑螂哥
 888群 有效29
29*120=3480</t>
  </si>
  <si>
    <t>100*90=9000</t>
  </si>
  <si>
    <t>366*23=8418</t>
  </si>
  <si>
    <t>1个WS计数号（+91）</t>
  </si>
  <si>
    <t>（5000+8000）*1.11=14430U</t>
  </si>
  <si>
    <t>计数号5</t>
  </si>
  <si>
    <t>2/25 3577群 有效30
30*120=3600</t>
  </si>
  <si>
    <t>2/24转少270</t>
  </si>
  <si>
    <t>11*100=1100</t>
  </si>
  <si>
    <t>2/22  有效4  480
2/24  有效11  1320
2/25  有效18 2160
2/26 有效19 2280
合计：3960+2280=6240</t>
  </si>
  <si>
    <t>14：36</t>
  </si>
  <si>
    <t>50*100=5000</t>
  </si>
  <si>
    <t>开户费21</t>
  </si>
  <si>
    <t>2/27 1个</t>
  </si>
  <si>
    <t>300*23=6900</t>
  </si>
  <si>
    <t>360*23=8280</t>
  </si>
  <si>
    <t>400*23=9200</t>
  </si>
  <si>
    <t>2025年1月收支财务报表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</si>
  <si>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</si>
  <si>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2025年1月月收支明细 </t>
    </r>
    <r>
      <rPr>
        <rFont val="Arial"/>
        <color rgb="FF3CBCAA"/>
        <sz val="20.0"/>
      </rPr>
      <t>DETAIL</t>
    </r>
  </si>
  <si>
    <t>1月</t>
  </si>
  <si>
    <t>2024.12结余</t>
  </si>
  <si>
    <t>Dong老虎退款</t>
  </si>
  <si>
    <t>Dong老虎</t>
  </si>
  <si>
    <t>6000*1.10*1.01=6666</t>
  </si>
  <si>
    <t>GT&amp;Shen (井号户）</t>
  </si>
  <si>
    <t>金融户印度-泰华</t>
  </si>
  <si>
    <t>德国股粉对接群</t>
  </si>
  <si>
    <t>29*135=3915，12月的尾款</t>
  </si>
  <si>
    <t>江小南＃字户10+1</t>
  </si>
  <si>
    <t>已退1000，手续费不退</t>
  </si>
  <si>
    <t>开户美国三不限户1月</t>
  </si>
  <si>
    <t>越南三不限-线条-泰华</t>
  </si>
  <si>
    <t>1/17已退1803</t>
  </si>
  <si>
    <t>13000*1.10*1.01=14443</t>
  </si>
  <si>
    <t>kk户（史塔克）913</t>
  </si>
  <si>
    <t>10000×1.13=11300</t>
  </si>
  <si>
    <t>🌹Y/量多多&amp;YF FB合作群-（海登）</t>
  </si>
  <si>
    <t>十月二不限-泰华</t>
  </si>
  <si>
    <t>扣了2U的手续费</t>
  </si>
  <si>
    <t>18000×1.13=20340</t>
  </si>
  <si>
    <t>15000*1.10*1.01=16665</t>
  </si>
  <si>
    <t>2500*1.111=2777.5</t>
  </si>
  <si>
    <t>10500*1.1*1.01=11665.5</t>
  </si>
  <si>
    <t>已结算1/10</t>
  </si>
  <si>
    <t>已结算1/13</t>
  </si>
  <si>
    <t>印度005对接_—李白</t>
  </si>
  <si>
    <t>部分退款：84×90=7560</t>
  </si>
  <si>
    <t>印度打群-fa</t>
  </si>
  <si>
    <t>德国；意大利-（岳总）</t>
  </si>
  <si>
    <t>德 LALA(郑总)</t>
  </si>
  <si>
    <t>已结算1/14</t>
  </si>
  <si>
    <t>印度测试菜总</t>
  </si>
  <si>
    <t>印度002对接 - Yao</t>
  </si>
  <si>
    <t>机器人斗篷防护</t>
  </si>
  <si>
    <t>电报号1个</t>
  </si>
  <si>
    <t>代投退款：印度002对接 - Yao</t>
  </si>
  <si>
    <t>代投退款：意大利打群-fa</t>
  </si>
  <si>
    <t>渠道商退款：江小南＃字户10+1</t>
  </si>
  <si>
    <t>电报会员1个（6个月）</t>
  </si>
  <si>
    <t>小额确认</t>
  </si>
  <si>
    <t>渠道商退款：金融户印度-泰华</t>
  </si>
  <si>
    <t>500*3*1.05=1575</t>
  </si>
  <si>
    <t>渠道商退款：越南三不限-线条-泰华</t>
  </si>
  <si>
    <t>五星主页4个</t>
  </si>
  <si>
    <t>渠道商退款：kk户（史塔克）913</t>
  </si>
  <si>
    <t>渠道商退款：启航广告费</t>
  </si>
  <si>
    <t>200*22=4400</t>
  </si>
  <si>
    <t>渠道商退款：🌹Y/量多多&amp;YF FB合作群-（海登）</t>
  </si>
  <si>
    <t>渠道商退款：印度企业户 欧洲美金户下户</t>
  </si>
  <si>
    <t>200*23=4600u</t>
  </si>
  <si>
    <t>200*23=4600</t>
  </si>
  <si>
    <t>（15000-3491.87）*1.111=12785.54</t>
  </si>
  <si>
    <t>12月结余</t>
  </si>
  <si>
    <t>月底需要加上后勤的结余</t>
  </si>
  <si>
    <t>5000*1.13=5650</t>
  </si>
  <si>
    <t>12月后勤剩余</t>
  </si>
  <si>
    <t>15000×1.13=16950</t>
  </si>
  <si>
    <t>已退6000</t>
  </si>
  <si>
    <t>19000*1.111=21109</t>
  </si>
  <si>
    <t>已结12/21的尾款$3,915</t>
  </si>
  <si>
    <t>4000*1.10*1.01=4444</t>
  </si>
  <si>
    <t>印度25期（印度1期）</t>
  </si>
  <si>
    <t>印度WS计数号1个，复接1次，2个菲律宾不留卡8U，5个美国IP（一个月）
合计：21+2+8U*2+5*9=84U</t>
  </si>
  <si>
    <t>5个不死号</t>
  </si>
  <si>
    <t>意大利蟑螂哥1月</t>
  </si>
  <si>
    <t>46*120=5520</t>
  </si>
  <si>
    <t>印度23期补群1/16开始的</t>
  </si>
  <si>
    <t>已结算1/11</t>
  </si>
  <si>
    <t>14*23= 322</t>
  </si>
  <si>
    <t>印度期权 （粉）</t>
  </si>
  <si>
    <t>尾款已结算1/9</t>
  </si>
  <si>
    <t>账单户*3</t>
  </si>
  <si>
    <t>L1印度</t>
  </si>
  <si>
    <t>实付2000</t>
  </si>
  <si>
    <t>个号短信验证</t>
  </si>
  <si>
    <t>K10期</t>
  </si>
  <si>
    <t>42*22=924</t>
  </si>
  <si>
    <t>(3000+8000+6000+2000-7285.72)*1.10*1.01=13014.57</t>
  </si>
  <si>
    <t>印度WS计数号1个21U，50个美国IP（一个月）</t>
  </si>
  <si>
    <t>账单户55U*10=550U</t>
  </si>
  <si>
    <t>2000*1.05=2100</t>
  </si>
  <si>
    <t>（6000+5000）*1.1*1.01=12221</t>
  </si>
  <si>
    <t>（3000+5000）*1.1*1.01=8888</t>
  </si>
  <si>
    <t>分红LH，同一笔转款分2次转</t>
  </si>
  <si>
    <t>6000*1.1*1.01=6666</t>
  </si>
  <si>
    <t>3000*1.05=3150</t>
  </si>
  <si>
    <t>钱包手机改为+8区的时间</t>
  </si>
  <si>
    <t>分红B哥12月分红</t>
  </si>
  <si>
    <t>122*23=2806</t>
  </si>
  <si>
    <t>78*120=9360</t>
  </si>
  <si>
    <t>"12198.12/1.1=11089.2
还需要补款
18000-11089.2=6910.8
6910.8*1.1*1.01=7677.9"</t>
  </si>
  <si>
    <t>500*1.07*6+50*6=3510</t>
  </si>
  <si>
    <t>500*3*1.10=1650</t>
  </si>
  <si>
    <t>3+10+31=44
44*135=5940</t>
  </si>
  <si>
    <t>50*95= 4750</t>
  </si>
  <si>
    <t>41*95=3,895</t>
  </si>
  <si>
    <t>500*1.01*1.11=560.55</t>
  </si>
  <si>
    <t>389×22=8558，结算1，预付1</t>
  </si>
  <si>
    <t>11000*1.1*1.01=12221</t>
  </si>
  <si>
    <t>6,762.18*1.1*1.01=7,512.78</t>
  </si>
  <si>
    <t>14,356.81*1.1*1.01=15,950.41</t>
  </si>
  <si>
    <t>退款84×90=7560</t>
  </si>
  <si>
    <t>2000*1.1*1.01=2222</t>
  </si>
  <si>
    <t>332*23=7636</t>
  </si>
  <si>
    <t>14000*1.10*1.01=15554</t>
  </si>
  <si>
    <t>（1000*1.14+20）*2=2320U</t>
  </si>
  <si>
    <t>印度23期补群</t>
  </si>
  <si>
    <t>20*3=60</t>
  </si>
  <si>
    <t>500*1.14*1.01=575.7</t>
  </si>
  <si>
    <t>50*95=4750</t>
  </si>
  <si>
    <t>28*135=3780</t>
  </si>
  <si>
    <t>换RMB</t>
  </si>
  <si>
    <t>7000*1.10*1.01=7777</t>
  </si>
  <si>
    <t>老BM5*30+主页1*30=¥180</t>
  </si>
  <si>
    <t>合并同一笔转的13400</t>
  </si>
  <si>
    <t>22×200=4400u</t>
  </si>
  <si>
    <t>90×100=9000u</t>
  </si>
  <si>
    <t>362*23=8326</t>
  </si>
  <si>
    <t>10500*1.13=11865</t>
  </si>
  <si>
    <t>(14+2)*120= 1920</t>
  </si>
  <si>
    <t>9000*1.13=10170</t>
  </si>
  <si>
    <t>47*23=1081</t>
  </si>
  <si>
    <t xml:space="preserve">12000*1.13=13,560 </t>
  </si>
  <si>
    <t>557*23=12811</t>
  </si>
  <si>
    <t>23*200=4600</t>
  </si>
  <si>
    <t>5000*1.13+500*2*1.15=6800</t>
  </si>
  <si>
    <t>未结算1/19+1/20
共计3360+3360=6720</t>
  </si>
  <si>
    <t xml:space="preserve">（7000+5000)*1.13+500*2*1.15=14,710 </t>
  </si>
  <si>
    <t>177-500=323*1.14*1.01=371.9022</t>
  </si>
  <si>
    <t>8000*1.13+6000*1.15=15940，先转其中的1.5W,剩下的后补</t>
  </si>
  <si>
    <t>300*4=¥1200，164.06U（实时汇率）</t>
  </si>
  <si>
    <t xml:space="preserve">防护续费（一个月）
</t>
  </si>
  <si>
    <t>主页3个</t>
  </si>
  <si>
    <t>3个菲律宾WS计数号</t>
  </si>
  <si>
    <t>耐用号1个</t>
  </si>
  <si>
    <t>500*1.12*1.01=565.6，少算了10.1，下次充值转账补</t>
  </si>
  <si>
    <t>1000*1.14*1.01=1151.4➕10.1=1161.5，加上10.1</t>
  </si>
  <si>
    <t>(6,500-1000)*1.13+1500*1.15=7940</t>
  </si>
  <si>
    <t>1/22 40*120=4800</t>
  </si>
  <si>
    <t>1240+9000=10240</t>
  </si>
  <si>
    <t>500*1.14*1.01=575.7➕20=595.7</t>
  </si>
  <si>
    <t>1/21 W2群 有效5
1/22 W2群 有效3
8*135=1080</t>
  </si>
  <si>
    <t>1255+ 9500=10755</t>
  </si>
  <si>
    <t>1/23 有效49*120=5880</t>
  </si>
  <si>
    <t>5400-（48+40）*90=-2520，结款+预付100个，128个</t>
  </si>
  <si>
    <t>188*23=4324</t>
  </si>
  <si>
    <t>（10000-1000）*1.13=10170</t>
  </si>
  <si>
    <t>1/24 有效58*120=6960</t>
  </si>
  <si>
    <t>33×23=759</t>
  </si>
  <si>
    <t>"9000-4937.5=4062.5
4062.5*1.1*1.01=4513.43"</t>
  </si>
  <si>
    <t>13500*1.13=15255</t>
  </si>
  <si>
    <t>180-(48+58)*90=-9360</t>
  </si>
  <si>
    <t>154*23=3542</t>
  </si>
  <si>
    <t>（5500-1000）*1.13=5085</t>
  </si>
  <si>
    <t>团建</t>
  </si>
  <si>
    <t>46*120=5520,1/25 827群 有效46</t>
  </si>
  <si>
    <t>1月25日
46+55.2=101.2
101.2*90=9108</t>
  </si>
  <si>
    <t>1922*23=44206-2634*23=-16376应补款</t>
  </si>
  <si>
    <t>印度23期补群：
总打款100,000 
有效人数：4153
需补欠款100,000-4153*28=-16284
麻烦核对下</t>
  </si>
  <si>
    <t>转错，下次扣</t>
  </si>
  <si>
    <t>补的是1/26的充值费用，还有未转的，等账单出了再转剩下</t>
  </si>
  <si>
    <t>20500*1.13+1000*1.15=24,315，已结2W，剩下转4315</t>
  </si>
  <si>
    <t>1/26 555群 有效53个
1/26 638群 有效49
102*120=12240</t>
  </si>
  <si>
    <t>185-500=-315*1.14*1.01=362.691</t>
  </si>
  <si>
    <t>1.25有效53.6
1.26有效54.4
53.6+54.4= 108×100= 10800-3520=7280，预付2个群，100*60*2=12000</t>
  </si>
  <si>
    <t>539*23=12397U</t>
  </si>
  <si>
    <t>556*23=12788</t>
  </si>
  <si>
    <t>638群 有效49群有效 52，A22 群有效 54，总有效：49+52+54=155个，155*90=13950</t>
  </si>
  <si>
    <t>1000*1.14*1.01=1,151.4</t>
  </si>
  <si>
    <t>10000*1.13+1000*1.15=12450</t>
  </si>
  <si>
    <t>8000*1.13+3000*1.15= 12490</t>
  </si>
  <si>
    <t>48+26=8880</t>
  </si>
  <si>
    <t>138+178=316*23=7268</t>
  </si>
  <si>
    <t>（188+177+159）*23= 12052</t>
  </si>
  <si>
    <t>其中扣了12U3个BM</t>
  </si>
  <si>
    <t>1208*23=27784</t>
  </si>
  <si>
    <t xml:space="preserve">2000*1.13+1000*1.15=3410
</t>
  </si>
  <si>
    <t>7500*1.14*1.01=8,635.5</t>
  </si>
  <si>
    <t>7000*1.13=7910</t>
  </si>
  <si>
    <t>60*100= 6000，预付1群</t>
  </si>
  <si>
    <t>1364.85*1.10*1.01=1516.35</t>
  </si>
  <si>
    <t>20*100= 2000，结1/28-1/29</t>
  </si>
  <si>
    <t>487*23=11201</t>
  </si>
  <si>
    <t>1449*23=33327</t>
  </si>
  <si>
    <t>总打款300000-13192*28=-69376</t>
  </si>
  <si>
    <t>2美金手续费</t>
  </si>
  <si>
    <t>分红张总，11-12月的已结清</t>
  </si>
  <si>
    <t>总打款50000-5365*28=-100220</t>
  </si>
  <si>
    <t>请记在2月新表</t>
  </si>
  <si>
    <t>12月收支财务报表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</si>
  <si>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</si>
  <si>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12月收支明细 </t>
    </r>
    <r>
      <rPr>
        <rFont val="Arial"/>
        <color rgb="FF3CBCAA"/>
        <sz val="20.0"/>
      </rPr>
      <t>DETAIL</t>
    </r>
  </si>
  <si>
    <t>11月剩余</t>
  </si>
  <si>
    <t>账单户广告费</t>
  </si>
  <si>
    <t>土耳其张总股票粉</t>
  </si>
  <si>
    <t>阿金300*65=19500</t>
  </si>
  <si>
    <t>(10000+15000+3000+5000+7000+3000+2000+7000)*1.10*1.01=57772</t>
  </si>
  <si>
    <t>印度测试</t>
  </si>
  <si>
    <t>770.74*1.10*1.01=856.29，补1000的款Vys_FBCLN27  1047010629339687</t>
  </si>
  <si>
    <t>GT欧洲</t>
  </si>
  <si>
    <t>12437-3863.36*0.7=€9,732.65/0.84*1.03=$11,934.08</t>
  </si>
  <si>
    <t>土耳其介绍费</t>
  </si>
  <si>
    <t>48000*1.10*1.01=53328</t>
  </si>
  <si>
    <t>退款土耳其张总股票粉12/8</t>
  </si>
  <si>
    <t>张总垫付</t>
  </si>
  <si>
    <t>后勤</t>
  </si>
  <si>
    <t>后勤转出</t>
  </si>
  <si>
    <t>直接发到SZ财务的地址上</t>
  </si>
  <si>
    <t>GT美国</t>
  </si>
  <si>
    <t>628.13*1.11=697.22</t>
  </si>
  <si>
    <t>(1000+1000+500+1000+1000)*1.11+80*1.01=5075.8</t>
  </si>
  <si>
    <t>14：44</t>
  </si>
  <si>
    <t>1000*1.11=1110
1110+20=1130</t>
  </si>
  <si>
    <t>斗篷防护</t>
  </si>
  <si>
    <t>FA-泰华印度1016（A-JIE）</t>
  </si>
  <si>
    <t>4008-2547.24*0.7=1,783.06*1.11=1,979.2</t>
  </si>
  <si>
    <t>19：02</t>
  </si>
  <si>
    <t>退款土耳其张总股票粉</t>
  </si>
  <si>
    <t>58500-820*65=5200</t>
  </si>
  <si>
    <t>渠道商退款：开户美国三不限户</t>
  </si>
  <si>
    <t>天叶三期（张老板）</t>
  </si>
  <si>
    <t>8000*1.03+107.35/0.84*1.03=8371.63</t>
  </si>
  <si>
    <t>渠道商退款：FA-泰华印度1016（A-JIE）</t>
  </si>
  <si>
    <t>"5306.63*0.7-2224.94-3000=-1510.29
1510.29*1.11=1676.43"</t>
  </si>
  <si>
    <t>土耳其张总股票粉（已减去退款的5200）</t>
  </si>
  <si>
    <t>待清5,306.63*0.7=3,714.64  ，19,714.65-3,714.64=16,000.01*1.11=17760.0111</t>
  </si>
  <si>
    <t>印度20期11/16</t>
  </si>
  <si>
    <t>5个WS计数号</t>
  </si>
  <si>
    <t>印度22期12/8</t>
  </si>
  <si>
    <t>天叶三期（张老板）12/9</t>
  </si>
  <si>
    <t>5000*1.03=5150</t>
  </si>
  <si>
    <t>凯旋城印度8期</t>
  </si>
  <si>
    <t>Vys_FBCLN26系统备用金1986.29；总充值（10000+6000+5000-1986.29）*1.10*1.01=21124.23</t>
  </si>
  <si>
    <t>1/2号结尾款</t>
  </si>
  <si>
    <t xml:space="preserve">"待清零是7412.72*0.7=5188.90
25714.64-5188.90=20525.74
需要打款20525.74*1.11=22783.57哈"	</t>
  </si>
  <si>
    <t>意大利蟑螂哥结算群</t>
  </si>
  <si>
    <t>印度10期孟德</t>
  </si>
  <si>
    <t>5574*27=150498</t>
  </si>
  <si>
    <t>1000*1.03=1030</t>
  </si>
  <si>
    <t>待清零7771.66*0.7=5440.16
(7315.08+1500*2)-5440.16=4874.92
4874.92*1.11+40开户费=5451.1612</t>
  </si>
  <si>
    <t>老锅广告费垫付</t>
  </si>
  <si>
    <t>凯旋城7期</t>
  </si>
  <si>
    <t>（2000-1115.41）*1.10*1.01=982.78</t>
  </si>
  <si>
    <t>包含退给土耳其张总股票粉的5200，还有11月的余款</t>
  </si>
  <si>
    <t>3000×1.11=3330</t>
  </si>
  <si>
    <t>98.12-1000=-901.88
-901.88*1.08=-974.03</t>
  </si>
  <si>
    <t>3000*1.03=3090</t>
  </si>
  <si>
    <t>需要打款17633.59-14102.64*0.7=7761.74
7761.74*1.11=8615.53哈</t>
  </si>
  <si>
    <t>需要打款2000*1.11=2220哈</t>
  </si>
  <si>
    <t>需要打款7000*1.11=7770哈</t>
  </si>
  <si>
    <t>10000*1.03=10300</t>
  </si>
  <si>
    <t>8000*1.11=8880</t>
  </si>
  <si>
    <t>-2000*1.08=-2160</t>
  </si>
  <si>
    <t>10000-2104.25=7,895.75*1.1*1.01=8,772.18</t>
  </si>
  <si>
    <t>1500*1.03=1545</t>
  </si>
  <si>
    <t xml:space="preserve">"6208.15-6233.74*0.7=1844.53
1844.53*1.11=2047.43"        </t>
  </si>
  <si>
    <t>(3+3+2+12)*135=2700</t>
  </si>
  <si>
    <t>2000*1.11=2220</t>
  </si>
  <si>
    <t xml:space="preserve">截止12/15 未结算23+2+17=42
42*135=5670    </t>
  </si>
  <si>
    <t>账单户1套（售后一个户减¥120）</t>
  </si>
  <si>
    <t xml:space="preserve">（7000+3500）*1.11=11655	</t>
  </si>
  <si>
    <t>50IP续费</t>
  </si>
  <si>
    <t>2854.24*1.10*1.01=3171.06</t>
  </si>
  <si>
    <t>11*110=1210</t>
  </si>
  <si>
    <t>10+4590=4600</t>
  </si>
  <si>
    <t>圣盾防护续费（一个月）</t>
  </si>
  <si>
    <t>2000*1.03=2060</t>
  </si>
  <si>
    <t>2000*1.14=2280，少转了40，下次补</t>
  </si>
  <si>
    <t>16997.4*1.1*1.01=18884.11</t>
  </si>
  <si>
    <t>（8000+3000+3000+8000）*1.10*1.01=24442</t>
  </si>
  <si>
    <t>8348.51*1.1*1.01=9,275.19</t>
  </si>
  <si>
    <t>200个</t>
  </si>
  <si>
    <t>2000*1.12=2240</t>
  </si>
  <si>
    <t>500*1.1=-550u</t>
  </si>
  <si>
    <t>(3000-489.5)*1.12=2811.76</t>
  </si>
  <si>
    <t>1500*1.12=1680</t>
  </si>
  <si>
    <t>500*5*1.12=2800</t>
  </si>
  <si>
    <t>241*23=5543</t>
  </si>
  <si>
    <t>8000*1.10*1.01=8888</t>
  </si>
  <si>
    <t>9000*1.12=10080</t>
  </si>
  <si>
    <t>(8000+5000+6000)*1.10*1.01=21109</t>
  </si>
  <si>
    <t>1000*1.065+100开户费=1165油</t>
  </si>
  <si>
    <t>3000*1.12=3360</t>
  </si>
  <si>
    <t>(3000+500)*1.12=3920</t>
  </si>
  <si>
    <t>1000*1.12=1120</t>
  </si>
  <si>
    <t>11*500*1.12=6160</t>
  </si>
  <si>
    <t>24000*1.12=26880</t>
  </si>
  <si>
    <t>14000*1.12=15680</t>
  </si>
  <si>
    <t>22500*1.12=25200</t>
  </si>
  <si>
    <t>193*23=4439</t>
  </si>
  <si>
    <t>13551+4000*1.12=18031</t>
  </si>
  <si>
    <t>6000*1.14=6,840</t>
  </si>
  <si>
    <t>14800*1.12=16576</t>
  </si>
  <si>
    <r>
      <rPr>
        <rFont val="SimHei"/>
        <color rgb="FFFF6C5F"/>
        <sz val="11.0"/>
      </rPr>
      <t>33000*1.12=36960（</t>
    </r>
    <r>
      <rPr>
        <rFont val="SimHei"/>
        <b/>
        <color rgb="FFFF6C5F"/>
        <sz val="11.0"/>
      </rPr>
      <t>其中的1W未结，29号结）</t>
    </r>
  </si>
  <si>
    <t>2套50主页</t>
  </si>
  <si>
    <r>
      <rPr>
        <rFont val="SimHei"/>
        <color rgb="FFFF6C5F"/>
        <sz val="11.0"/>
      </rPr>
      <t>8500*1.12=9520+12240=</t>
    </r>
    <r>
      <rPr>
        <rFont val="SimHei"/>
        <b/>
        <color rgb="FFFF6C5F"/>
        <sz val="11.0"/>
      </rPr>
      <t>21760（实际转款）</t>
    </r>
    <r>
      <rPr>
        <rFont val="SimHei"/>
        <color rgb="FFFF6C5F"/>
        <sz val="11.0"/>
      </rPr>
      <t>，加上未转的金额12240</t>
    </r>
  </si>
  <si>
    <t>19000*1.12=21280</t>
  </si>
  <si>
    <t>12000*1.12=13440</t>
  </si>
  <si>
    <t>7500*1.12=8400</t>
  </si>
  <si>
    <t>7000*1.12=7840</t>
  </si>
  <si>
    <t>17500*1.12=19600</t>
  </si>
  <si>
    <t>退款，扣了2U的手续费</t>
  </si>
  <si>
    <t>11000*1.12=12320</t>
  </si>
  <si>
    <t>7500*1.12+2000*1.13=10660</t>
  </si>
  <si>
    <t>（3000+2000+3000+4000-1562.81）*1.10*1.01=11595.72</t>
  </si>
  <si>
    <t>121907.09/80=1523.84</t>
  </si>
  <si>
    <t>（11,500-9293）*1.13=2493.91，实际转款2493</t>
  </si>
  <si>
    <t>补这笔手续费1523.84*0.111=169.15</t>
  </si>
  <si>
    <t>结12月的款，转账日是1/2，15+21*6= 141，合并付款，中部57+南部84=141U</t>
  </si>
  <si>
    <t>11月收支财务报表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</si>
  <si>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</si>
  <si>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11月收支明细 </t>
    </r>
    <r>
      <rPr>
        <rFont val="Arial"/>
        <color rgb="FF3CBCAA"/>
        <sz val="20.0"/>
      </rPr>
      <t>DETAIL</t>
    </r>
  </si>
  <si>
    <t>只有U的，需要加RMB的支出</t>
  </si>
  <si>
    <t>10月剩余</t>
  </si>
  <si>
    <t>Fb966半限户-啊噗</t>
  </si>
  <si>
    <t>一拖九半限户</t>
  </si>
  <si>
    <t>印度企业户100u➕14%扎克伯克</t>
  </si>
  <si>
    <t>1000×1.13+100=1230</t>
  </si>
  <si>
    <t>印度手工粉测试LS</t>
  </si>
  <si>
    <t>代投</t>
  </si>
  <si>
    <t>第1笔</t>
  </si>
  <si>
    <t>土耳其单导代投</t>
  </si>
  <si>
    <t>第2笔</t>
  </si>
  <si>
    <t>凤凰&amp;洛阳11月</t>
  </si>
  <si>
    <t>土耳其/A李信</t>
  </si>
  <si>
    <t>500*65=32500</t>
  </si>
  <si>
    <t>GT井号户</t>
  </si>
  <si>
    <t>GT台湾</t>
  </si>
  <si>
    <t>金融户印度-泰华Jennie</t>
  </si>
  <si>
    <t>新印度5期</t>
  </si>
  <si>
    <t>成成</t>
  </si>
  <si>
    <t>退款（渠道商：济宁韦宁&amp;香港有意思 二不限 3%</t>
  </si>
  <si>
    <t>后勤转入</t>
  </si>
  <si>
    <t>退款（渠道商：BH欧洲户-泰华-欧洲企业户-6+1</t>
  </si>
  <si>
    <t>退款（渠道商：欧洲三不限-泰华709-Sherry</t>
  </si>
  <si>
    <t>调整金额</t>
  </si>
  <si>
    <t>退款（渠道商：低消1万美金户</t>
  </si>
  <si>
    <t>退款（渠道商：印度企业户100u➕14%扎克伯克</t>
  </si>
  <si>
    <t>退款（渠道商：Chris Ryan&amp;二不限</t>
  </si>
  <si>
    <t>天叶印度2期</t>
  </si>
  <si>
    <t>退款（渠道商：FA-泰华印度1016（A-JIE）</t>
  </si>
  <si>
    <t>500*26=13000</t>
  </si>
  <si>
    <t>退款（代投：印度手工粉测试LS</t>
  </si>
  <si>
    <t>意大利蟑螂哥</t>
  </si>
  <si>
    <t>补群</t>
  </si>
  <si>
    <t>2500*1.05=2,625</t>
  </si>
  <si>
    <t>印度6期11/13</t>
  </si>
  <si>
    <t>3300×1.01=3333</t>
  </si>
  <si>
    <t>印度21期11/27</t>
  </si>
  <si>
    <t>印度期权</t>
  </si>
  <si>
    <t>美国IP*5</t>
  </si>
  <si>
    <t>海哥印度粉11/26</t>
  </si>
  <si>
    <t>小柒</t>
  </si>
  <si>
    <t>日本自媒体矩阵F B广告</t>
  </si>
  <si>
    <t>账单户*4套</t>
  </si>
  <si>
    <t>SMS邮箱验证手机</t>
  </si>
  <si>
    <t>4000×1.11=4440</t>
  </si>
  <si>
    <t>2000×1.11=2220</t>
  </si>
  <si>
    <t>100*27=2700</t>
  </si>
  <si>
    <t>10000*1.11=11,100</t>
  </si>
  <si>
    <t>7500*1.11=8325</t>
  </si>
  <si>
    <t>美国IP*5条</t>
  </si>
  <si>
    <t>WS计数号1个土耳其、2个印度（一个月）</t>
  </si>
  <si>
    <t>2套账单户</t>
  </si>
  <si>
    <t>3000*1.1+3000*1.19+3000*1.19+35*1.19</t>
  </si>
  <si>
    <t>200*27=5400</t>
  </si>
  <si>
    <t>10000*1.19=11900</t>
  </si>
  <si>
    <t>9500*1.11=10545</t>
  </si>
  <si>
    <t>8500*1.05=8925</t>
  </si>
  <si>
    <t>4000*1.11=4440</t>
  </si>
  <si>
    <t>1000*27=27000</t>
  </si>
  <si>
    <t>20000*1.19=23800</t>
  </si>
  <si>
    <t>BH欧洲户-泰华-欧洲企业户-6+1</t>
  </si>
  <si>
    <t>2000-152=1848×1.01=1866</t>
  </si>
  <si>
    <t>20000*1.19+11900=35700</t>
  </si>
  <si>
    <t>43000*1.19=51170</t>
  </si>
  <si>
    <t>总充值1200×1.01=1212</t>
  </si>
  <si>
    <t>23000*1.14=26220</t>
  </si>
  <si>
    <t>耐用号*6</t>
  </si>
  <si>
    <t>13000*1.14=14820</t>
  </si>
  <si>
    <t>6000*1.11=6660</t>
  </si>
  <si>
    <t>（600+1000*3*1.10）*1.01=3939</t>
  </si>
  <si>
    <t>欧洲三不限-泰华709-Sherry</t>
  </si>
  <si>
    <t>8000*1.10*1.01=8888，3000*1.14*1.01=3454.2</t>
  </si>
  <si>
    <t>自媒体矩阵F B广告</t>
  </si>
  <si>
    <t>2个耐用号</t>
  </si>
  <si>
    <t>50主页+一套账单户</t>
  </si>
  <si>
    <t>低消1万美金户</t>
  </si>
  <si>
    <t>-50-500*1.13=-615
已打款1070
1070-615=455
BIR：-50*3=-150
-1000*3-1000-1000-1000=-6000
欠款：455-150-6000*1.011=-5761</t>
  </si>
  <si>
    <t>旧钱包的余额</t>
  </si>
  <si>
    <t>1000*1.11=1110 
4737.38+1110=5847.38</t>
  </si>
  <si>
    <t>10:56   DX - BCC - OL 558868781840529充10000*1.15=11500
14:34  SAC-ALEXYSC-20 (1682282812615521)充值2000*1.1=2200
16.58  SG - Shopee  288276615949735充值23.4*1.15=26.97
17:02  Lazada (PH) HKD  389361935841549  充1000*1.15=1150
18:17  Havainas Mexico (Kronotime)   421154642225529  充1000+首充1000=2000*1.15=2300
23.14  DX - BCC - OL  558868781840529充10000*1.15=11500
23.20 SWW - BEN 14  567110719043630充1000*1.14=1140</t>
  </si>
  <si>
    <t>（1083.04+8307.76）*1.10*1.01=10433.18</t>
  </si>
  <si>
    <t>5000*1.14*=5700
一起5700+5500=11200*1.01=11312</t>
  </si>
  <si>
    <t>1500−509=991×1.01=1001+115+12=1128</t>
  </si>
  <si>
    <t>1700×1.01=1717</t>
  </si>
  <si>
    <t>10000×1.14=11400</t>
  </si>
  <si>
    <t>（10000-525）*1.15=10896</t>
  </si>
  <si>
    <t>20000*1.15+5000*1.10=28500</t>
  </si>
  <si>
    <t>一套账单户+50主页</t>
  </si>
  <si>
    <t>1400−1118=282×1.01=285+12=297</t>
  </si>
  <si>
    <t>Chris Ryan&amp;二不限</t>
  </si>
  <si>
    <t>-1000.27-3000=-4000.27
-4000.27*1.011=-4044.27</t>
  </si>
  <si>
    <t>1159.11/1.10=1053.74
1133.91/1.10=1030.83
7000-1053.74-1030.83=4915.43
需要补款
4915.43*1.10*1.01=5461.04</t>
  </si>
  <si>
    <t>9U*50=450U</t>
  </si>
  <si>
    <t>WS印度计数号</t>
  </si>
  <si>
    <t>636845.31/80=7960.57
7960.57*1.10*1.01=8844.19</t>
  </si>
  <si>
    <t>待清金额8544.9，需打款金额19,126.55-4270=14,856.55*1.11=16,490.77</t>
  </si>
  <si>
    <t>417531.84/80=5219.14
需要打款
5219.14*1.10*1.01=5798.46</t>
  </si>
  <si>
    <t>7000*1.03=7210，210未付，下次清零抵扣</t>
  </si>
  <si>
    <t>圣盾防护1个月</t>
  </si>
  <si>
    <t>待清零13384.32  29,768.00-6,692=25614.36u</t>
  </si>
  <si>
    <t>部门：南部
费用分类：广告配套
用途：海王工单
明细：20个端口
合计：200U
日期：11月22日
地址或账号：海王出海</t>
  </si>
  <si>
    <t>35000*1.11=38850</t>
  </si>
  <si>
    <t>阿金</t>
  </si>
  <si>
    <t>2000×1.03=2060</t>
  </si>
  <si>
    <t>2114*8=16912</t>
  </si>
  <si>
    <t>5000*1.14*1.01=5,757</t>
  </si>
  <si>
    <t>386*27=10422美</t>
  </si>
  <si>
    <t>26000*1.11=28860</t>
  </si>
  <si>
    <t>一拖九</t>
  </si>
  <si>
    <t>12000/0.84*1.03=14714.29</t>
  </si>
  <si>
    <t>部门：南部
费用分类：广告配套
用途：海王工单
明细：10个端口
合计：100.13U
日期：11月26日
地址或账号：海王出海</t>
  </si>
  <si>
    <t>VPN续费一个季度</t>
  </si>
  <si>
    <t>"待清零的3345左右 
6233-3345*0.7=3891.5
3891.5/0.84=4632.74
需要打款4632.74*1.03=4771.72"</t>
  </si>
  <si>
    <t>"其他户的备用金301.52/1.1=274.10
还需打款3000-126.18-274.10=2,599.72*1.1*1.01=2,888.28"</t>
  </si>
  <si>
    <t>（8000-2000）*1.10*1.01=6666</t>
  </si>
  <si>
    <t>16*53=848</t>
  </si>
  <si>
    <t>其他户备用金转入1849.65/1.10=1681.5；（5000+5000+3000+5000-1681.51）*1.10*1.01=18129.85</t>
  </si>
  <si>
    <t>（6000+5000）*1.10*1.01=12221</t>
  </si>
  <si>
    <t>2个ws菲律宾号</t>
  </si>
  <si>
    <t>阿金65*200=13000</t>
  </si>
  <si>
    <t>19：51</t>
  </si>
  <si>
    <t>备用金转入599.38；（6000+6000-599.38）*1.10*1.01=12666.08</t>
  </si>
  <si>
    <t>36*53=1908</t>
  </si>
  <si>
    <t>"11054.48*1.1=12,159.92
（12,159.92+3,450)*1.01=15,766.02"</t>
  </si>
  <si>
    <t>10月收支财务报表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</si>
  <si>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</si>
  <si>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10月收支明细 </t>
    </r>
    <r>
      <rPr>
        <rFont val="Arial"/>
        <color rgb="FF3CBCAA"/>
        <sz val="20.0"/>
      </rPr>
      <t>DETAIL</t>
    </r>
  </si>
  <si>
    <t>9月剩余</t>
  </si>
  <si>
    <t>凤凰&amp;洛阳&amp;15+1（1200）&amp;8+1（60）</t>
  </si>
  <si>
    <t>其中1400在10/1的合并付款，结9月的尾款</t>
  </si>
  <si>
    <t>EGM</t>
  </si>
  <si>
    <t>已付</t>
  </si>
  <si>
    <t>凯旋城三期印度</t>
  </si>
  <si>
    <t>转汇旺了</t>
  </si>
  <si>
    <t>SFA</t>
  </si>
  <si>
    <t>右边尾款+9/30</t>
  </si>
  <si>
    <t>海哥-印度粉9/22</t>
  </si>
  <si>
    <t>退款泰总，张总直出</t>
  </si>
  <si>
    <t>KE 33 (PDT) - YSC-Leigee-28</t>
  </si>
  <si>
    <t>印度一期9/19</t>
  </si>
  <si>
    <t>KE 33 (PDT) - YSC-Leigee-28（4480），SFA（23800），EGM （11900）</t>
  </si>
  <si>
    <t>4户*500+220手续费</t>
  </si>
  <si>
    <t>BM户测试大白&amp;</t>
  </si>
  <si>
    <t>4个开户费</t>
  </si>
  <si>
    <t>充值4K，手续费560</t>
  </si>
  <si>
    <t>退款（渠道商：斯特普思-泰华</t>
  </si>
  <si>
    <t>退款（渠道商：邻点美国三不限户</t>
  </si>
  <si>
    <t>退款（渠道商：FF139&amp;星辰-欧元户5%</t>
  </si>
  <si>
    <t>印度 金融，测户Old K</t>
  </si>
  <si>
    <t>退款（渠道商：印度测户-黑泽明</t>
  </si>
  <si>
    <t>发fa工资</t>
  </si>
  <si>
    <t>退款（渠道商：Shen wade&amp;BM户35+2+1江小南</t>
  </si>
  <si>
    <t>印度粉测试</t>
  </si>
  <si>
    <t>~K in</t>
  </si>
  <si>
    <t>退款（渠道商：凤凰&amp;洛阳&amp;15+1（1200）&amp;8+1（60）</t>
  </si>
  <si>
    <t>bm5-mingzihaha</t>
  </si>
  <si>
    <t>bm5户35*4=140</t>
  </si>
  <si>
    <t>退款（渠道商：印度 金融，测户Old K）</t>
  </si>
  <si>
    <t>bm5户35*5=175</t>
  </si>
  <si>
    <t>55手续费</t>
  </si>
  <si>
    <t>鼎盛专用广告费</t>
  </si>
  <si>
    <t>账单户</t>
  </si>
  <si>
    <t>新印度4期</t>
  </si>
  <si>
    <t>合并转款</t>
  </si>
  <si>
    <t xml:space="preserve">LT - 04469 - Gf-USD-22( 8) 332 </t>
  </si>
  <si>
    <t>LT - 04469 - Gf-USD-25(+8) 335 (1056817212636571)再充值3000
LT - 04469 - Gf-USD-22( 8) 332 (536985655554367)再充值2000</t>
  </si>
  <si>
    <t>Shen wade&amp;BM户35+2+1江小南</t>
  </si>
  <si>
    <t>35*4+1000*1.03=1170</t>
  </si>
  <si>
    <t>欧洲IP：9*10=90</t>
  </si>
  <si>
    <t>35*6+500*6*1.03=3300</t>
  </si>
  <si>
    <t>开户费35*6=210</t>
  </si>
  <si>
    <t>RF - 04469 Gf-USD-02(+8) 209 372505352366095</t>
  </si>
  <si>
    <t>谷歌邮箱</t>
  </si>
  <si>
    <t>Xingm-18
编号: 8869381796416185
充值：300
Xingm-19
编号: 459265433824967
充值：300
Xingm-20
编号: 2002146643576258
充值：300</t>
  </si>
  <si>
    <t>1000*1.11=1110   1110+20=1130</t>
  </si>
  <si>
    <t>凤凰&amp;洛阳&amp;10月</t>
  </si>
  <si>
    <t>Xingm-18
编号: 8869381796416185
充值500
Xingm-19
编号: 459265433824967
充值500
Xingm-20
编号: 2002146643576258
充值500</t>
  </si>
  <si>
    <t>开户费12</t>
  </si>
  <si>
    <t>GT2&amp;SHEN 欧 4%+u1</t>
  </si>
  <si>
    <t>LT - 04469 - Gf-USD-26(+8) 336 1000*1.11=1110</t>
  </si>
  <si>
    <t>LT - 04469 - Gf-USD-24(+8) 334 1588711295191636</t>
  </si>
  <si>
    <t>GT&amp;SHEN 台湾户 开 20 10%u1</t>
  </si>
  <si>
    <t xml:space="preserve">RF - 04469 Gf-USD-04(+8) 207 373635832294866 </t>
  </si>
  <si>
    <t>转款有一个点u损</t>
  </si>
  <si>
    <t>2个开户手续费</t>
  </si>
  <si>
    <t>印度粉测试代投</t>
  </si>
  <si>
    <t>03：41</t>
  </si>
  <si>
    <t>三不限-泰华709-Sherry</t>
  </si>
  <si>
    <t>18：15</t>
  </si>
  <si>
    <t>03：23</t>
  </si>
  <si>
    <t>欧洲三不限-泰华709</t>
  </si>
  <si>
    <t>LT - 04469 - Gf-USD-25(+8) 335 (1056817212636571)充值3000</t>
  </si>
  <si>
    <t>狗头账单户</t>
  </si>
  <si>
    <t>印度测户-黑泽明</t>
  </si>
  <si>
    <t>已退款</t>
  </si>
  <si>
    <t>RF - 04469 Gf-USD-07(+8) 204 (318533944174079)
LT - 04469 Gf-USD-342 (-8) 0401  2134746810316208</t>
  </si>
  <si>
    <t>越南户测试-船奇</t>
  </si>
  <si>
    <t>泡泡</t>
  </si>
  <si>
    <t>LT - 04469 Gf-USD-343 (-8) 0400  4054205168179144</t>
  </si>
  <si>
    <t>博程-欧洲美金户-泰华</t>
  </si>
  <si>
    <t>LT - 04469 - Gf-USD-24(+8) 334  1588711295191636</t>
  </si>
  <si>
    <t xml:space="preserve">FA-泰华印度1016（A-JIE） </t>
  </si>
  <si>
    <t>LT - 04469 Gf-USD-343 (-8) 0400  4054205168179144   充3000</t>
  </si>
  <si>
    <t>斯特普思-泰华</t>
  </si>
  <si>
    <t>LT - 04469 - Gf-USD-25(+8) 335 (1056817212636571)再充值2000</t>
  </si>
  <si>
    <t>RF - 04469 Gf-USD-07(+8) 204 (318533944174079)充值1000那就是目前的欠款 1.11+你充值的1000=1001.11*1.11=1111.23  打款这么多</t>
  </si>
  <si>
    <t>11/5号退款</t>
  </si>
  <si>
    <t>美国IP*10</t>
  </si>
  <si>
    <t>耐用号*10</t>
  </si>
  <si>
    <t>邻点美国三不限户</t>
  </si>
  <si>
    <t>已退款300</t>
  </si>
  <si>
    <t>下户费：180+充值3x500+服务费105=1785</t>
  </si>
  <si>
    <t>16：43</t>
  </si>
  <si>
    <t>5个半限</t>
  </si>
  <si>
    <t>2500*1.07*1.01=2701.75</t>
  </si>
  <si>
    <t>LT - 04469 Gf-USD-342 (-8) 0401  2134746810316208</t>
  </si>
  <si>
    <t>老九</t>
  </si>
  <si>
    <t>2500*1.05=2625+50=2675+200定金=2875</t>
  </si>
  <si>
    <t>50.8*15=762u</t>
  </si>
  <si>
    <t>美国IP*10续费</t>
  </si>
  <si>
    <t>540.35➕2000等于2540.35</t>
  </si>
  <si>
    <t>5000*1.15=5750+250=6000</t>
  </si>
  <si>
    <t>开户费10*10=100  5550+100=5650</t>
  </si>
  <si>
    <t>1000×1.11=1110+40=1150</t>
  </si>
  <si>
    <t>2000+500*1.07*1.01+250（开户费）=2790.5</t>
  </si>
  <si>
    <t>FA-泰华印度1016</t>
  </si>
  <si>
    <t>1000×1.10=1100</t>
  </si>
  <si>
    <t>17：36</t>
  </si>
  <si>
    <t>60*7=420</t>
  </si>
  <si>
    <t>19：19</t>
  </si>
  <si>
    <t>20：35</t>
  </si>
  <si>
    <t>打款890*1.11=987.9</t>
  </si>
  <si>
    <t>Chris Ryan&amp;二不限 麦芽互动 下户-西柚</t>
  </si>
  <si>
    <t>900*1.01=909+45*2=999</t>
  </si>
  <si>
    <t>防护，圣盾</t>
  </si>
  <si>
    <t>2500*1.08=2700，64 (1438923226716919)</t>
  </si>
  <si>
    <t>1200*1.11=1332</t>
  </si>
  <si>
    <t>16：41</t>
  </si>
  <si>
    <t>YLG-GT-SHEN-1019-01(+8) (1754657002021877)充值4000</t>
  </si>
  <si>
    <t>LT - 04469 - Gf-USD-12(+8) 423  1058145169313233充1000</t>
  </si>
  <si>
    <t>1500*1.1=1,650</t>
  </si>
  <si>
    <t>1000*1.06*1.01=1070.6</t>
  </si>
  <si>
    <t>1500/7.1=211.26</t>
  </si>
  <si>
    <t>23：40</t>
  </si>
  <si>
    <t>23：56</t>
  </si>
  <si>
    <t>美国IP*50</t>
  </si>
  <si>
    <t>14：41</t>
  </si>
  <si>
    <t>FF139&amp;星辰-欧元户5%</t>
  </si>
  <si>
    <t>2000*1.12=2240+1120=3360u</t>
  </si>
  <si>
    <t>个号申诉L736</t>
  </si>
  <si>
    <t>印度4期</t>
  </si>
  <si>
    <t>叶凡</t>
  </si>
  <si>
    <t>19：28</t>
  </si>
  <si>
    <t>22：53</t>
  </si>
  <si>
    <t>23：23</t>
  </si>
  <si>
    <t>10户</t>
  </si>
  <si>
    <t>19：16</t>
  </si>
  <si>
    <t>21：18</t>
  </si>
  <si>
    <t>白户</t>
  </si>
  <si>
    <t>21：13</t>
  </si>
  <si>
    <t>23：13</t>
  </si>
  <si>
    <t>09：46</t>
  </si>
  <si>
    <t>18：04</t>
  </si>
  <si>
    <t>18：12</t>
  </si>
  <si>
    <t>20*5=100  100+200*5*1.11=1210</t>
  </si>
  <si>
    <t>23：38</t>
  </si>
  <si>
    <t>23：43</t>
  </si>
  <si>
    <t>6009.23/0.84=7153.845238×1.05=7511.5375</t>
  </si>
  <si>
    <t>Vys_FBCL13，1000*1.10*1.01=1111</t>
  </si>
  <si>
    <t>Vys_FBCL11，1000*1.10*1.01=1111</t>
  </si>
  <si>
    <t>4000*1.12=4480</t>
  </si>
  <si>
    <t>19：44</t>
  </si>
  <si>
    <t>16：54</t>
  </si>
  <si>
    <t>22：03</t>
  </si>
  <si>
    <t>1600*1.11=1776</t>
  </si>
  <si>
    <t>65*100=6500</t>
  </si>
  <si>
    <t>3000*1.11=3330</t>
  </si>
  <si>
    <t>65*50=3250</t>
  </si>
  <si>
    <t>(904.22-70)*1.01=833.52u</t>
  </si>
  <si>
    <t>（5000+3000）*1.10*1.01=8888</t>
  </si>
  <si>
    <t>100*65=6500</t>
  </si>
  <si>
    <t>1000+14.9=1014.9×1.14=1156.986+100=1256.986</t>
  </si>
  <si>
    <t>（3000+5000+5000+3000）*1.10*1.01=17776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</si>
  <si>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</si>
  <si>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10月收支明细 </t>
    </r>
    <r>
      <rPr>
        <rFont val="Arial"/>
        <color rgb="FF3CBCAA"/>
        <sz val="20.0"/>
      </rPr>
      <t>DETAIL</t>
    </r>
  </si>
  <si>
    <t>金额（¥）</t>
  </si>
  <si>
    <t>转入总备用金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</si>
  <si>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</si>
  <si>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10月收支明细 </t>
    </r>
    <r>
      <rPr>
        <rFont val="Arial"/>
        <color rgb="FF3CBCAA"/>
        <sz val="20.0"/>
      </rPr>
      <t>DETAIL</t>
    </r>
  </si>
  <si>
    <t>100个浏览器环境（剩余6天）</t>
  </si>
  <si>
    <t>9月收支财务报表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</si>
  <si>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</si>
  <si>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9月收支明细 </t>
    </r>
    <r>
      <rPr>
        <rFont val="Arial"/>
        <color rgb="FF3CBCAA"/>
        <sz val="20.0"/>
      </rPr>
      <t>DETAIL</t>
    </r>
  </si>
  <si>
    <t>后勤发工资</t>
  </si>
  <si>
    <t>BBH ACC New 1</t>
  </si>
  <si>
    <t>wade- 海外户对接nancy</t>
  </si>
  <si>
    <t>深圳团队备用金</t>
  </si>
  <si>
    <t>算到后勤</t>
  </si>
  <si>
    <t>印度粉 FB 李修缘</t>
  </si>
  <si>
    <t>咖啡</t>
  </si>
  <si>
    <t>推特代投</t>
  </si>
  <si>
    <t>户对接-Nancy</t>
  </si>
  <si>
    <t>桃子熊</t>
  </si>
  <si>
    <t>FF139-KE户-对接</t>
  </si>
  <si>
    <t>土耳其的代投</t>
  </si>
  <si>
    <t>fafa土耳其代投</t>
  </si>
  <si>
    <t>BM户对接点一点</t>
  </si>
  <si>
    <t>土耳期（金边）</t>
  </si>
  <si>
    <t>谷歌邮箱*1</t>
  </si>
  <si>
    <t>8月+9月</t>
  </si>
  <si>
    <t>剩余</t>
  </si>
  <si>
    <t>凯旋城-印度-阿荣</t>
  </si>
  <si>
    <t>退款，wade 美国户6+1退款</t>
  </si>
  <si>
    <t>退款，wade- 海外户对接nancy退款</t>
  </si>
  <si>
    <t>Fa代投广告费</t>
  </si>
  <si>
    <t>Fa代投</t>
  </si>
  <si>
    <t>退款，深圳芳林子</t>
  </si>
  <si>
    <t>退款，FF139-KE户-对接</t>
  </si>
  <si>
    <t>L ynn 印度 fb 美国 fb 土耳其 fb 巴西 FB</t>
  </si>
  <si>
    <t>退款，户对接-Nancy</t>
  </si>
  <si>
    <t>13期上粉（20000)</t>
  </si>
  <si>
    <t>美国IP*1</t>
  </si>
  <si>
    <t>Z0007-R1</t>
  </si>
  <si>
    <t>凯旋城-印度-阿荣一期</t>
  </si>
  <si>
    <t>凯旋城二期印度</t>
  </si>
  <si>
    <t>土耳其打粉群1</t>
  </si>
  <si>
    <t>阿斗</t>
  </si>
  <si>
    <r>
      <rPr>
        <rFont val="SimHei"/>
        <color rgb="FFFF6C5F"/>
        <sz val="11.0"/>
      </rPr>
      <t xml:space="preserve">BBH ACC New </t>
    </r>
    <r>
      <rPr>
        <rFont val="SimHei"/>
        <b/>
        <color rgb="FFFF6C5F"/>
        <sz val="11.0"/>
      </rPr>
      <t>3W，</t>
    </r>
    <r>
      <rPr>
        <rFont val="SimHei"/>
        <color rgb="FFFF6C5F"/>
        <sz val="11.0"/>
      </rPr>
      <t xml:space="preserve">Z0007-R1 </t>
    </r>
    <r>
      <rPr>
        <rFont val="SimHei"/>
        <b/>
        <color rgb="FFFF6C5F"/>
        <sz val="11.0"/>
      </rPr>
      <t>1W</t>
    </r>
  </si>
  <si>
    <t>天叶印度引流8/22</t>
  </si>
  <si>
    <t>深圳团队备用金，老傅</t>
  </si>
  <si>
    <t>土耳其打粉群1西港</t>
  </si>
  <si>
    <t>美国股票粉（2）菲菲西港回款</t>
  </si>
  <si>
    <t>（其中1W转后勤钱包）</t>
  </si>
  <si>
    <t>土耳其西港2期</t>
  </si>
  <si>
    <t>浏览器充值</t>
  </si>
  <si>
    <t>EGM充2W+3800手续费，5000+20000*1.19=28800</t>
  </si>
  <si>
    <t>合并转款，同一笔</t>
  </si>
  <si>
    <t>3000的账户解封费和2000的开户费</t>
  </si>
  <si>
    <t>08：39</t>
  </si>
  <si>
    <t>14：50</t>
  </si>
  <si>
    <t>账单户*50预定</t>
  </si>
  <si>
    <t>同一笔</t>
  </si>
  <si>
    <t>天叶印度引流</t>
  </si>
  <si>
    <t>小花，天叶印度引流8/22</t>
  </si>
  <si>
    <t>00：09</t>
  </si>
  <si>
    <t>13：53</t>
  </si>
  <si>
    <t>19：09</t>
  </si>
  <si>
    <t>08：58</t>
  </si>
  <si>
    <t>fb广告费充值</t>
  </si>
  <si>
    <t>14：47</t>
  </si>
  <si>
    <t>15：33</t>
  </si>
  <si>
    <t>400+205=605*17=10285</t>
  </si>
  <si>
    <t>22：48</t>
  </si>
  <si>
    <t>15：25</t>
  </si>
  <si>
    <t xml:space="preserve">个号申诉12*5 </t>
  </si>
  <si>
    <t>退款，推特代投</t>
  </si>
  <si>
    <t>22：55</t>
  </si>
  <si>
    <t>17：18</t>
  </si>
  <si>
    <t>张总</t>
  </si>
  <si>
    <t>20：23</t>
  </si>
  <si>
    <t>20：27</t>
  </si>
  <si>
    <t>开户费 50
充值 1000*1.06=1060 一共1110</t>
  </si>
  <si>
    <t>开户费：＄100
充值费用：＄2000
手续费：180
合计需： ＄2280</t>
  </si>
  <si>
    <t>17：37</t>
  </si>
  <si>
    <t>解封费</t>
  </si>
  <si>
    <t>19：58</t>
  </si>
  <si>
    <t>上次有个解封费1500+这次开户费2000+新下户充值9203*1.19=10951.57+3500=14451.57</t>
  </si>
  <si>
    <r>
      <rPr>
        <rFont val="SimHei"/>
        <b/>
        <color rgb="FFFF6C5F"/>
        <sz val="11.0"/>
      </rPr>
      <t>Z0006-R1</t>
    </r>
    <r>
      <rPr>
        <rFont val="SimHei"/>
        <color rgb="FFFF6C5F"/>
        <sz val="11.0"/>
      </rPr>
      <t>；9203*1.19=10951.57</t>
    </r>
  </si>
  <si>
    <t>20：37</t>
  </si>
  <si>
    <t>17：56</t>
  </si>
  <si>
    <t>22：29</t>
  </si>
  <si>
    <t>22：30</t>
  </si>
  <si>
    <t>还款</t>
  </si>
  <si>
    <t>21：52</t>
  </si>
  <si>
    <t>个号受限申诉费</t>
  </si>
  <si>
    <t>14：32</t>
  </si>
  <si>
    <t>防护</t>
  </si>
  <si>
    <t>22：25</t>
  </si>
  <si>
    <t>wade 美国户6+1</t>
  </si>
  <si>
    <t>Jennie退款</t>
  </si>
  <si>
    <t>19：08</t>
  </si>
  <si>
    <t>20：58</t>
  </si>
  <si>
    <t>22：02</t>
  </si>
  <si>
    <t>开户费100+充值金额1000</t>
  </si>
  <si>
    <t>09：19</t>
  </si>
  <si>
    <t>10：06</t>
  </si>
  <si>
    <t>11：07</t>
  </si>
  <si>
    <t>账单户*6</t>
  </si>
  <si>
    <t>22：39</t>
  </si>
  <si>
    <t xml:space="preserve">ke户843*1.12=944
</t>
  </si>
  <si>
    <t>ke户5000*1.12=5600</t>
  </si>
  <si>
    <t>手续费没给</t>
  </si>
  <si>
    <t>WS号*2</t>
  </si>
  <si>
    <t>泰总</t>
  </si>
  <si>
    <t>EGM 充2W，SFA冲1W（9/22），SFA冲2W（9/23）</t>
  </si>
  <si>
    <t>土耳其</t>
  </si>
  <si>
    <t>18：06</t>
  </si>
  <si>
    <t>张总转出</t>
  </si>
  <si>
    <t>张总转入</t>
  </si>
  <si>
    <t>20：40</t>
  </si>
  <si>
    <t>小额核对</t>
  </si>
  <si>
    <t>Alex 3523 - P</t>
  </si>
  <si>
    <t>23800未付</t>
  </si>
  <si>
    <t>10：58</t>
  </si>
  <si>
    <t>差值</t>
  </si>
  <si>
    <t>11：24</t>
  </si>
  <si>
    <t>11：33</t>
  </si>
  <si>
    <t>18：59</t>
  </si>
  <si>
    <t>fafa</t>
  </si>
  <si>
    <t>KE 33 (PDT) - YSC-Leigee-28
OE-A-103
MK 18 (PDT) - YSC-Leigee-10</t>
  </si>
  <si>
    <t>14：21</t>
  </si>
  <si>
    <t>(100+1000+1000)*1.12</t>
  </si>
  <si>
    <t>OE-A-103</t>
  </si>
  <si>
    <t>18：49</t>
  </si>
  <si>
    <t>点一点</t>
  </si>
  <si>
    <t>~K in，打了250个</t>
  </si>
  <si>
    <t>BM户测试</t>
  </si>
  <si>
    <t>大白&amp;</t>
  </si>
  <si>
    <t>FB户商-欧洲美国三不限户</t>
  </si>
  <si>
    <t>20000*1.19+1000*1.12=24920（SFA 到账5000、EGM 到账5000、SFA充1万、E 33 (PDT) - YSC-Leigee-28 (544453334597690)充值1000、）</t>
  </si>
  <si>
    <t>13：43</t>
  </si>
  <si>
    <t>右边的已付4W</t>
  </si>
  <si>
    <t>2024-9-29 19：49充值到账</t>
  </si>
  <si>
    <t>OE-A-103 (1446417959541537)充值5000；SFA充2w</t>
  </si>
  <si>
    <t>2024-9-29 22：04充值到账</t>
  </si>
  <si>
    <t>2024-9-30 14:16充值到账</t>
  </si>
  <si>
    <t>右边的尾款</t>
  </si>
  <si>
    <t>13：38</t>
  </si>
  <si>
    <t>1400在10/1的合并付款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</si>
  <si>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</si>
  <si>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9月收支明细 </t>
    </r>
    <r>
      <rPr>
        <rFont val="Arial"/>
        <color rgb="FF3CBCAA"/>
        <sz val="20.0"/>
      </rPr>
      <t>DETAIL</t>
    </r>
  </si>
  <si>
    <t>fb个号*2</t>
  </si>
  <si>
    <t>fb个号*10</t>
  </si>
  <si>
    <t>fb个号*5</t>
  </si>
  <si>
    <t>BM*2</t>
  </si>
  <si>
    <t>13：06</t>
  </si>
  <si>
    <t>14：48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</si>
  <si>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</si>
  <si>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9月收支明细 </t>
    </r>
    <r>
      <rPr>
        <rFont val="Arial"/>
        <color rgb="FF3CBCAA"/>
        <sz val="20.0"/>
      </rPr>
      <t>DETAIL</t>
    </r>
  </si>
  <si>
    <t>推特粉丝号*5</t>
  </si>
  <si>
    <t>13：40</t>
  </si>
  <si>
    <t>8月收支财务报表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</si>
  <si>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</si>
  <si>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8月收支明细 </t>
    </r>
    <r>
      <rPr>
        <rFont val="Arial"/>
        <color rgb="FF3CBCAA"/>
        <sz val="20.0"/>
      </rPr>
      <t>DETAIL</t>
    </r>
  </si>
  <si>
    <t>扣了退款后的金额</t>
  </si>
  <si>
    <t>远程佣金</t>
  </si>
  <si>
    <t>wade 美国户6+1广告费Jennie</t>
  </si>
  <si>
    <t>nancy海外户广告费</t>
  </si>
  <si>
    <t>谷歌新主体户15+6</t>
  </si>
  <si>
    <t>江小南虚拟卡广告费</t>
  </si>
  <si>
    <t>su mmer$60；半限户*5</t>
  </si>
  <si>
    <t>深圳芳fb广告费充值</t>
  </si>
  <si>
    <t>36.299.88</t>
  </si>
  <si>
    <t>备用金转回</t>
  </si>
  <si>
    <t>09：05</t>
  </si>
  <si>
    <t>江小南</t>
  </si>
  <si>
    <t>su mmer$60；不限户*5</t>
  </si>
  <si>
    <t>fb代投广告费</t>
  </si>
  <si>
    <t>shen-🇮🇳对接群</t>
  </si>
  <si>
    <t>八期九期十期结款</t>
  </si>
  <si>
    <t>后勤转回</t>
  </si>
  <si>
    <t>美丽fb代投广告费</t>
  </si>
  <si>
    <t>shen-美丽🇺🇸对接群</t>
  </si>
  <si>
    <t>印度11期'（20000）</t>
  </si>
  <si>
    <t>su mmer$60；rip1500us $ 100  一个
rip1500 $80   一个
rip250us $70  一个
ttb1500 $80   2个</t>
  </si>
  <si>
    <t>谷歌代投</t>
  </si>
  <si>
    <t>bm5；个号*5</t>
  </si>
  <si>
    <t>欧洲户广告费</t>
  </si>
  <si>
    <t>谷歌新主体户15+6退款</t>
  </si>
  <si>
    <t xml:space="preserve">黑泽明 </t>
  </si>
  <si>
    <t>SW 印度 表单＋落地页40+前10城市</t>
  </si>
  <si>
    <t>欧洲户</t>
  </si>
  <si>
    <t>L ynn  fb 土耳其</t>
  </si>
  <si>
    <t>备用金</t>
  </si>
  <si>
    <t>nana</t>
  </si>
  <si>
    <t>土耳其蛋蛋小黄鸡</t>
  </si>
  <si>
    <t>黑泽明</t>
  </si>
  <si>
    <t>印度本土财经-测试</t>
  </si>
  <si>
    <t>印度打群（南山）</t>
  </si>
  <si>
    <t>美国单导 小黄鸡</t>
  </si>
  <si>
    <t>印度12期打粉（20000）</t>
  </si>
  <si>
    <t>12期</t>
  </si>
  <si>
    <t>nancy海外户广告费，20个北美户。20*70=1400。20*500=10000*1.03=10300➕1400=11700</t>
  </si>
  <si>
    <t>HUI&amp;HT_土耳其FB对接</t>
  </si>
  <si>
    <t>返款，黑泽明</t>
  </si>
  <si>
    <t>美盘打粉对接群（钱总群）7月</t>
  </si>
  <si>
    <t>美盘打粉对接群（钱总群）8月</t>
  </si>
  <si>
    <t>印度粉 FB 孟德</t>
  </si>
  <si>
    <t>Smit续费</t>
  </si>
  <si>
    <t>比特美国IP</t>
  </si>
  <si>
    <t>金边 美国 谷歌单导</t>
  </si>
  <si>
    <t>P哥1413</t>
  </si>
  <si>
    <t>新电脑x2、代账及开公户、水电费、新环境VPN</t>
  </si>
  <si>
    <t>谷歌测粉HT土耳其，Chris Ryan</t>
  </si>
  <si>
    <t>adspower续费</t>
  </si>
  <si>
    <t>shen-🇮🇳对接群，退款</t>
  </si>
  <si>
    <t>开户费，凤凰&amp;洛阳&amp;15+1（1200）&amp;8+1（60），P哥1413</t>
  </si>
  <si>
    <t>充值：45000*1.19=53550
新户首充：5000*1.19=5950
开户费：2000
53550+5950+2000=61500</t>
  </si>
  <si>
    <t>退款，谷歌测粉HT土耳其，Chris Ryan</t>
  </si>
  <si>
    <t>8/1-8/15史戈团队佣金</t>
  </si>
  <si>
    <t>土耳其预付50x42=2100</t>
  </si>
  <si>
    <t>印度预付500*17=8500，(Found Up) 超人</t>
  </si>
  <si>
    <t>蛋蛋小黄鸡</t>
  </si>
  <si>
    <r>
      <rPr>
        <rFont val="SimHei"/>
        <b/>
        <i/>
        <color rgb="FFFF6C5F"/>
        <sz val="11.0"/>
      </rPr>
      <t>开户费</t>
    </r>
    <r>
      <rPr>
        <rFont val="SimHei"/>
        <color rgb="FFFF6C5F"/>
        <sz val="11.0"/>
      </rPr>
      <t>，低消1万美金户，天子 出海</t>
    </r>
  </si>
  <si>
    <t>天子 出海</t>
  </si>
  <si>
    <t>风</t>
  </si>
  <si>
    <t>南山</t>
  </si>
  <si>
    <t>土耳其预付100x42=4200</t>
  </si>
  <si>
    <t>启航手续费8+1</t>
  </si>
  <si>
    <r>
      <rPr>
        <rFont val="SimHei"/>
        <b/>
        <color rgb="FF00A98F"/>
        <sz val="11.0"/>
      </rPr>
      <t>谷歌退费</t>
    </r>
    <r>
      <rPr>
        <rFont val="SimHei"/>
        <color rgb="FF00A98F"/>
        <sz val="11.0"/>
      </rPr>
      <t>，wade 美国户6+1广告费Jennie</t>
    </r>
  </si>
  <si>
    <t>10：44</t>
  </si>
  <si>
    <r>
      <rPr>
        <rFont val="SimHei"/>
        <color rgb="FFFF6C5F"/>
        <sz val="11.0"/>
      </rPr>
      <t>10*1000*1.06=10600,</t>
    </r>
    <r>
      <rPr>
        <rFont val="SimHei"/>
        <b/>
        <color rgb="FFFF6C5F"/>
        <sz val="11.0"/>
      </rPr>
      <t>每个充值1000，手续费5+1，10600</t>
    </r>
  </si>
  <si>
    <t>WS号，3个印度的，3个美国的</t>
  </si>
  <si>
    <t>土耳其预付500x42=21000</t>
  </si>
  <si>
    <t>4733.77×1.15=5444</t>
  </si>
  <si>
    <t>小花🌸</t>
  </si>
  <si>
    <t>2个企业账单户退款</t>
  </si>
  <si>
    <r>
      <rPr>
        <rFont val="SimHei"/>
        <b/>
        <color rgb="FFFF6C5F"/>
        <sz val="11.0"/>
      </rPr>
      <t>清零1000转入
3000*1.06=3180</t>
    </r>
    <r>
      <rPr>
        <rFont val="SimHei"/>
        <color rgb="FFFF6C5F"/>
        <sz val="11.0"/>
      </rPr>
      <t>；732937208957744
清零余额1000
转移充值到
1946292505888556  FH04-LY-1946292505888556+7
到账1000；</t>
    </r>
  </si>
  <si>
    <t>30000*1.19=35700</t>
  </si>
  <si>
    <t>GT&amp;Wshen欧洲户+3服务费；karl-FB三不限2不限户</t>
  </si>
  <si>
    <t>小h广告费</t>
  </si>
  <si>
    <t>3000*1.06=3180；FH04-LY-421989844190659  421989844190659</t>
  </si>
  <si>
    <t xml:space="preserve">3000*1.06=3180；FH04-LY-1946292505888556  1946292505888556      2000usd
FH03-LY-1563868291229090  1563868291229090      1000usd </t>
  </si>
  <si>
    <t>200*50=10000
；200个企业账单户</t>
  </si>
  <si>
    <t>50*90=4500美国</t>
  </si>
  <si>
    <t>个号*3</t>
  </si>
  <si>
    <t>转回</t>
  </si>
  <si>
    <t>7000*1.06=7420</t>
  </si>
  <si>
    <t xml:space="preserve">BBH ACC New 1  </t>
  </si>
  <si>
    <t>BBH ACC New 1  手续费</t>
  </si>
  <si>
    <t>个号*13</t>
  </si>
  <si>
    <t>艺吱吱IP</t>
  </si>
  <si>
    <t>5000*1.06=5300；FH04-LY-421989844190659，5K</t>
  </si>
  <si>
    <t>17*90=1530美国</t>
  </si>
  <si>
    <r>
      <rPr>
        <rFont val="SimHei"/>
        <b/>
        <color rgb="FFFF6C5F"/>
        <sz val="11.0"/>
      </rPr>
      <t>4000*1.06=4240</t>
    </r>
    <r>
      <rPr>
        <rFont val="SimHei"/>
        <color rgb="FFFF6C5F"/>
        <sz val="11.0"/>
      </rPr>
      <t>；FH04-LY-19462925..</t>
    </r>
  </si>
  <si>
    <t>ws印度*3</t>
  </si>
  <si>
    <t>合并转账同一笔</t>
  </si>
  <si>
    <t>5000*1.06=5300</t>
  </si>
  <si>
    <t>浏览器添加用户*5</t>
  </si>
  <si>
    <r>
      <rPr>
        <rFont val="SimHei"/>
        <b/>
        <color rgb="FFFF6C5F"/>
        <sz val="11.0"/>
      </rPr>
      <t>5000*1.06=5300</t>
    </r>
    <r>
      <rPr>
        <rFont val="SimHei"/>
        <color rgb="FFFF6C5F"/>
        <sz val="11.0"/>
      </rPr>
      <t>,FH04-LY-4219898</t>
    </r>
  </si>
  <si>
    <t>4000*1.06=4240;FH03-LY-1563868</t>
  </si>
  <si>
    <t>小天</t>
  </si>
  <si>
    <t>Chris Ryan</t>
  </si>
  <si>
    <t>狗头账单户*10</t>
  </si>
  <si>
    <t>狗头账单户*50</t>
  </si>
  <si>
    <t>备用金充值表$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</si>
  <si>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</si>
  <si>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收支明细 </t>
    </r>
    <r>
      <rPr>
        <rFont val="Arial"/>
        <color rgb="FF3CBCAA"/>
        <sz val="20.0"/>
      </rPr>
      <t>DETAIL</t>
    </r>
  </si>
  <si>
    <t>收入（$）</t>
  </si>
  <si>
    <t>支出（$）</t>
  </si>
  <si>
    <t>金额（$）</t>
  </si>
  <si>
    <t>01：15</t>
  </si>
  <si>
    <t>个号</t>
  </si>
  <si>
    <t>11：14</t>
  </si>
  <si>
    <t>飞书广告费</t>
  </si>
  <si>
    <t>14：15</t>
  </si>
  <si>
    <t>广告费</t>
  </si>
  <si>
    <t>11：36</t>
  </si>
  <si>
    <t>欧洲广告费</t>
  </si>
  <si>
    <t>美国户</t>
  </si>
  <si>
    <t>13：16</t>
  </si>
  <si>
    <t>浏览器</t>
  </si>
  <si>
    <t>谷歌户</t>
  </si>
  <si>
    <t xml:space="preserve"> 15：27</t>
  </si>
  <si>
    <t>15：30</t>
  </si>
  <si>
    <t>BM</t>
  </si>
  <si>
    <t>14：05</t>
  </si>
  <si>
    <t>21：04</t>
  </si>
  <si>
    <t>12：57</t>
  </si>
  <si>
    <t>斗篷</t>
  </si>
  <si>
    <t>20：36</t>
  </si>
  <si>
    <t>美金谷歌户</t>
  </si>
  <si>
    <t>22：20</t>
  </si>
  <si>
    <t>18：50</t>
  </si>
  <si>
    <t>Feetcard</t>
  </si>
  <si>
    <t>19：27</t>
  </si>
  <si>
    <t>14：03</t>
  </si>
  <si>
    <t>BM5,耐用号</t>
  </si>
  <si>
    <t>14：56</t>
  </si>
  <si>
    <t>BM5，BM</t>
  </si>
  <si>
    <t>18：39</t>
  </si>
  <si>
    <t>11：25</t>
  </si>
  <si>
    <t>15：11</t>
  </si>
  <si>
    <t>BM5/BM</t>
  </si>
  <si>
    <t>07：46</t>
  </si>
  <si>
    <t>09：18</t>
  </si>
  <si>
    <t>小南 江</t>
  </si>
  <si>
    <t>09：21</t>
  </si>
  <si>
    <t>BM5/耐用号</t>
  </si>
  <si>
    <t>12：27</t>
  </si>
  <si>
    <t>13：30</t>
  </si>
  <si>
    <t>IP费</t>
  </si>
  <si>
    <t>14：51</t>
  </si>
  <si>
    <t>15：08</t>
  </si>
  <si>
    <t>20：50</t>
  </si>
  <si>
    <t>23：17</t>
  </si>
  <si>
    <t>BM5/BM,个号</t>
  </si>
  <si>
    <t>14：20</t>
  </si>
  <si>
    <t>17：49</t>
  </si>
  <si>
    <t>21：51</t>
  </si>
  <si>
    <t>09：12</t>
  </si>
  <si>
    <t>16：04</t>
  </si>
  <si>
    <t>16：09</t>
  </si>
  <si>
    <t>21：01</t>
  </si>
  <si>
    <t>BM5：个号</t>
  </si>
  <si>
    <t>11：54</t>
  </si>
  <si>
    <t>21：42</t>
  </si>
  <si>
    <t>su mmer$60账单户</t>
  </si>
  <si>
    <t>7月收支财务报表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</si>
  <si>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</si>
  <si>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7月收支明细 </t>
    </r>
    <r>
      <rPr>
        <rFont val="Arial"/>
        <color rgb="FF3CBCAA"/>
        <sz val="20.0"/>
      </rPr>
      <t>DETAIL</t>
    </r>
  </si>
  <si>
    <t>谷歌广告费</t>
  </si>
  <si>
    <t>印度9期（20000）</t>
  </si>
  <si>
    <t>账单户备用金</t>
  </si>
  <si>
    <t>澳大利亚粉小牛</t>
  </si>
  <si>
    <t>代投广告费</t>
  </si>
  <si>
    <t>FA代投</t>
  </si>
  <si>
    <t>美国股票粉'：1成成金边</t>
  </si>
  <si>
    <t>美国股票粉（2）菲菲西港</t>
  </si>
  <si>
    <t>美盘打粉对接群（钱总群）</t>
  </si>
  <si>
    <t>史戈团队6/25-7/1佣金</t>
  </si>
  <si>
    <t>印度期权测试（土耳其）啊斗</t>
  </si>
  <si>
    <t>美国股票粉'：1成成</t>
  </si>
  <si>
    <t>美国股票粉（2）菲菲</t>
  </si>
  <si>
    <t>fb个号</t>
  </si>
  <si>
    <t>小严20个</t>
  </si>
  <si>
    <t>阿明20个</t>
  </si>
  <si>
    <t xml:space="preserve">饼子20、小暴20
</t>
  </si>
  <si>
    <t xml:space="preserve">中华20个 </t>
  </si>
  <si>
    <t>欧洲户Jennie</t>
  </si>
  <si>
    <t>指纹浏览器费用</t>
  </si>
  <si>
    <t>谷歌</t>
  </si>
  <si>
    <t>房租水费电费：¥7280；7/2-7/17佣金：¥195+¥3089</t>
  </si>
  <si>
    <t>换新地址7/18晚上八点</t>
  </si>
  <si>
    <t>Chris Ryan代投</t>
  </si>
  <si>
    <t>飞书</t>
  </si>
  <si>
    <t>美国三不限</t>
  </si>
  <si>
    <t>LH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</si>
  <si>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</si>
  <si>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7月收支明细 </t>
    </r>
    <r>
      <rPr>
        <rFont val="Arial"/>
        <color rgb="FF3CBCAA"/>
        <sz val="20.0"/>
      </rPr>
      <t>DETAIL</t>
    </r>
  </si>
  <si>
    <t>支付宝备用金</t>
  </si>
  <si>
    <t>20：25</t>
  </si>
  <si>
    <t>19：24</t>
  </si>
  <si>
    <t>13：28</t>
  </si>
  <si>
    <t>15：54</t>
  </si>
  <si>
    <t>12：34</t>
  </si>
  <si>
    <t>17：24</t>
  </si>
  <si>
    <t>20：19</t>
  </si>
  <si>
    <t>服务器</t>
  </si>
  <si>
    <t>21：59</t>
  </si>
  <si>
    <t>域名</t>
  </si>
  <si>
    <t>21：58</t>
  </si>
  <si>
    <t>微信备用金</t>
  </si>
  <si>
    <t>16：27</t>
  </si>
  <si>
    <t>18：32</t>
  </si>
  <si>
    <t>18：38</t>
  </si>
  <si>
    <t>19：32</t>
  </si>
  <si>
    <t>22：42</t>
  </si>
  <si>
    <t>19：36</t>
  </si>
  <si>
    <t>万粉主页20</t>
  </si>
  <si>
    <t>11：47</t>
  </si>
  <si>
    <t>17：34</t>
  </si>
  <si>
    <t>17；40</t>
  </si>
  <si>
    <t>14：26</t>
  </si>
  <si>
    <t>远程邮箱</t>
  </si>
  <si>
    <t>12：45</t>
  </si>
  <si>
    <t>账单户*10</t>
  </si>
  <si>
    <t>账单户*50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</si>
  <si>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</si>
  <si>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7月收支明细 </t>
    </r>
    <r>
      <rPr>
        <rFont val="Arial"/>
        <color rgb="FF3CBCAA"/>
        <sz val="20.0"/>
      </rPr>
      <t>DETAIL</t>
    </r>
  </si>
  <si>
    <t>20：28</t>
  </si>
  <si>
    <t>10：31</t>
  </si>
  <si>
    <t>老BM</t>
  </si>
  <si>
    <t>浏览器续费</t>
  </si>
  <si>
    <t>10：24</t>
  </si>
  <si>
    <t>00：47</t>
  </si>
  <si>
    <t>14：46</t>
  </si>
  <si>
    <t>21：44</t>
  </si>
  <si>
    <t>15：07</t>
  </si>
  <si>
    <t>18：22</t>
  </si>
  <si>
    <t>21：03</t>
  </si>
  <si>
    <t>22：23</t>
  </si>
  <si>
    <t>adspower窗口费</t>
  </si>
  <si>
    <t>16：14</t>
  </si>
  <si>
    <t>8月备用金充值表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</si>
  <si>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</si>
  <si>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8月备用金充值明细 </t>
    </r>
    <r>
      <rPr>
        <rFont val="Arial"/>
        <color rgb="FF3CBCAA"/>
        <sz val="20.0"/>
      </rPr>
      <t>DETAIL</t>
    </r>
  </si>
  <si>
    <t>退回</t>
  </si>
  <si>
    <t>转入备用金</t>
  </si>
  <si>
    <t>18：10</t>
  </si>
  <si>
    <t>狗头账单户30</t>
  </si>
  <si>
    <t>19：37</t>
  </si>
  <si>
    <t>15：27</t>
  </si>
  <si>
    <t>yanglin 防护</t>
  </si>
  <si>
    <t>17：28</t>
  </si>
  <si>
    <t>15：39</t>
  </si>
  <si>
    <t>启航充值表$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</si>
  <si>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</si>
  <si>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收支明细 </t>
    </r>
    <r>
      <rPr>
        <rFont val="Arial"/>
        <color rgb="FF3CBCAA"/>
        <sz val="20.0"/>
      </rPr>
      <t>DETAIL</t>
    </r>
  </si>
  <si>
    <t>13：49</t>
  </si>
  <si>
    <t>账单户16：59</t>
  </si>
  <si>
    <t>12：47</t>
  </si>
  <si>
    <t>15：43</t>
  </si>
  <si>
    <t>18：35</t>
  </si>
  <si>
    <t>19：43</t>
  </si>
  <si>
    <t>19：52</t>
  </si>
  <si>
    <t>20：03</t>
  </si>
  <si>
    <t>20：32</t>
  </si>
  <si>
    <t>21：50</t>
  </si>
  <si>
    <t>08：49</t>
  </si>
  <si>
    <t>09：22</t>
  </si>
  <si>
    <t>10：53</t>
  </si>
  <si>
    <t>13：51</t>
  </si>
  <si>
    <t>15：36</t>
  </si>
  <si>
    <t>19：40</t>
  </si>
  <si>
    <t>21：19</t>
  </si>
  <si>
    <t>08：43</t>
  </si>
  <si>
    <t>11：35</t>
  </si>
  <si>
    <t>17：31</t>
  </si>
  <si>
    <t>20：48</t>
  </si>
  <si>
    <t>20：52</t>
  </si>
  <si>
    <t>21：33</t>
  </si>
  <si>
    <t>22：15</t>
  </si>
  <si>
    <t>20：30</t>
  </si>
  <si>
    <t>20：59</t>
  </si>
  <si>
    <t>00：33</t>
  </si>
  <si>
    <t>09：44</t>
  </si>
  <si>
    <t>09;58</t>
  </si>
  <si>
    <t>09：58</t>
  </si>
  <si>
    <t>16：17</t>
  </si>
  <si>
    <t>17：52</t>
  </si>
  <si>
    <t>19：42</t>
  </si>
  <si>
    <t>19：53</t>
  </si>
  <si>
    <t>20：24</t>
  </si>
  <si>
    <t>00：23</t>
  </si>
  <si>
    <t>12：53</t>
  </si>
  <si>
    <t>13：23</t>
  </si>
  <si>
    <t>14：52</t>
  </si>
  <si>
    <t>15：46</t>
  </si>
  <si>
    <t>19：03</t>
  </si>
  <si>
    <t>18：47</t>
  </si>
  <si>
    <t>18：40</t>
  </si>
  <si>
    <t>09：52</t>
  </si>
  <si>
    <t>23：32</t>
  </si>
  <si>
    <t>01：10</t>
  </si>
  <si>
    <t>10：22</t>
  </si>
  <si>
    <t>14：00</t>
  </si>
  <si>
    <t>19：12</t>
  </si>
  <si>
    <t>17：22</t>
  </si>
  <si>
    <t>19：31</t>
  </si>
  <si>
    <t>账单户12：36</t>
  </si>
  <si>
    <t>ƒ</t>
  </si>
  <si>
    <t>6月收支财务报表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</si>
  <si>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</si>
  <si>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6月收支明细 </t>
    </r>
    <r>
      <rPr>
        <rFont val="Arial"/>
        <color rgb="FF3CBCAA"/>
        <sz val="20.0"/>
      </rPr>
      <t>DETAIL</t>
    </r>
  </si>
  <si>
    <t>启航备用金</t>
  </si>
  <si>
    <t>FB个号</t>
  </si>
  <si>
    <t>金鑫印度8期（16000）</t>
  </si>
  <si>
    <t>六亿(40000粉）6月</t>
  </si>
  <si>
    <t>总</t>
  </si>
  <si>
    <t>代理一期（5000）亚瑟</t>
  </si>
  <si>
    <t>澳大利亚，股票/二群—FB/6月</t>
  </si>
  <si>
    <t>叶凡（16800）6月</t>
  </si>
  <si>
    <t>英國精粉測試（zhang）</t>
  </si>
  <si>
    <t>印度一期（10000）</t>
  </si>
  <si>
    <t>郭大侠3期（10000）</t>
  </si>
  <si>
    <t>金鑫海哥5000粉 6.18</t>
  </si>
  <si>
    <t>印度度假村（发财组14000)</t>
  </si>
  <si>
    <t>发财（17000）</t>
  </si>
  <si>
    <t>印度10期（20000）阿乐</t>
  </si>
  <si>
    <t>工资</t>
  </si>
  <si>
    <t>老BM、申诉BM、个号</t>
  </si>
  <si>
    <t>史戈团队5月消耗提成：¥38652/$5332.93</t>
  </si>
  <si>
    <t>ip</t>
  </si>
  <si>
    <t>史戈团队6/1-6/9佣金</t>
  </si>
  <si>
    <t>小h</t>
  </si>
  <si>
    <t>退</t>
  </si>
  <si>
    <t>token转后勤</t>
  </si>
  <si>
    <t>史戈团队6/10-6/18佣金:¥14512+办公室支出:¥2454</t>
  </si>
  <si>
    <t>余额持平</t>
  </si>
  <si>
    <t>账单户+老BM备用金</t>
  </si>
  <si>
    <t>史戈团队6/19-6/24佣金</t>
  </si>
  <si>
    <t>个号+老BM</t>
  </si>
  <si>
    <t>/月收支财务报表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</si>
  <si>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</si>
  <si>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/月收支明细 </t>
    </r>
    <r>
      <rPr>
        <rFont val="Arial"/>
        <color rgb="FF3CBCAA"/>
        <sz val="20.0"/>
      </rPr>
      <t>DETAIL</t>
    </r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</si>
  <si>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</si>
  <si>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收支明细 </t>
    </r>
    <r>
      <rPr>
        <rFont val="Arial"/>
        <color rgb="FF3CBCAA"/>
        <sz val="20.0"/>
      </rPr>
      <t>DETAIL</t>
    </r>
  </si>
  <si>
    <t>转入</t>
  </si>
  <si>
    <t>14：40</t>
  </si>
  <si>
    <t>16;34</t>
  </si>
  <si>
    <t>11：29</t>
  </si>
  <si>
    <t>17：29</t>
  </si>
  <si>
    <t>09：14</t>
  </si>
  <si>
    <t>09：59</t>
  </si>
  <si>
    <t>09：01</t>
  </si>
  <si>
    <t>13：54</t>
  </si>
  <si>
    <t>16：03</t>
  </si>
  <si>
    <t>18：31</t>
  </si>
  <si>
    <t>11：23</t>
  </si>
  <si>
    <t>12：55</t>
  </si>
  <si>
    <t>13：58</t>
  </si>
  <si>
    <t>14：06</t>
  </si>
  <si>
    <t>15：29</t>
  </si>
  <si>
    <t>17：53</t>
  </si>
  <si>
    <t>21;42</t>
  </si>
  <si>
    <t>10：30</t>
  </si>
  <si>
    <t>13;14</t>
  </si>
  <si>
    <t>15：38</t>
  </si>
  <si>
    <t>18：16</t>
  </si>
  <si>
    <t>22：44</t>
  </si>
  <si>
    <t>23：00</t>
  </si>
  <si>
    <t>09：31</t>
  </si>
  <si>
    <t>16：31</t>
  </si>
  <si>
    <t>19：49</t>
  </si>
  <si>
    <t>21：25</t>
  </si>
  <si>
    <t>21：30</t>
  </si>
  <si>
    <t>08：42</t>
  </si>
  <si>
    <t>13：03</t>
  </si>
  <si>
    <t>19：20</t>
  </si>
  <si>
    <t>11：42</t>
  </si>
  <si>
    <t>12：52</t>
  </si>
  <si>
    <t>5月收支财务报表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</si>
  <si>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</si>
  <si>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5月收支明细 </t>
    </r>
    <r>
      <rPr>
        <rFont val="Arial"/>
        <color rgb="FF3CBCAA"/>
        <sz val="20.0"/>
      </rPr>
      <t>DETAIL</t>
    </r>
  </si>
  <si>
    <t>4月剩余</t>
  </si>
  <si>
    <t>5/3转了远程佣金</t>
  </si>
  <si>
    <t>阿光-印度六期</t>
  </si>
  <si>
    <t>16：00</t>
  </si>
  <si>
    <t>飞书16：16</t>
  </si>
  <si>
    <t>阿光-印度七期</t>
  </si>
  <si>
    <t>矿工费16：26</t>
  </si>
  <si>
    <t>金鑫海哥5月</t>
  </si>
  <si>
    <t>飞书18：33</t>
  </si>
  <si>
    <t>郭大侠1期</t>
  </si>
  <si>
    <t>郭大侠2期</t>
  </si>
  <si>
    <t>启航09：32</t>
  </si>
  <si>
    <t>印度，维权粉</t>
  </si>
  <si>
    <t>账单户09：32</t>
  </si>
  <si>
    <t>启航10：07</t>
  </si>
  <si>
    <t>澳大利亚，股票/二群—FB</t>
  </si>
  <si>
    <t>小h10：07</t>
  </si>
  <si>
    <t>欧美精聊交流</t>
  </si>
  <si>
    <t>阿修</t>
  </si>
  <si>
    <t>12：44</t>
  </si>
  <si>
    <t>FB个号13：36</t>
  </si>
  <si>
    <t>FB 股票-马腾飞</t>
  </si>
  <si>
    <t>小h14：23</t>
  </si>
  <si>
    <t>六亿(40000粉）</t>
  </si>
  <si>
    <t>飞书17：35</t>
  </si>
  <si>
    <t>叶凡（16800）</t>
  </si>
  <si>
    <t>飞书17：53</t>
  </si>
  <si>
    <t>启航18：25</t>
  </si>
  <si>
    <t>飞书21:01</t>
  </si>
  <si>
    <t>账单户09：17</t>
  </si>
  <si>
    <t>10：11</t>
  </si>
  <si>
    <t>飞书12:55</t>
  </si>
  <si>
    <t>FB个号13：01</t>
  </si>
  <si>
    <t>15：12</t>
  </si>
  <si>
    <t>账单户16:32</t>
  </si>
  <si>
    <t>启航16:49</t>
  </si>
  <si>
    <t>飞书17：55</t>
  </si>
  <si>
    <t>启航18：35</t>
  </si>
  <si>
    <t>小h19:47</t>
  </si>
  <si>
    <t>飞书22:54</t>
  </si>
  <si>
    <t>账单户23:48</t>
  </si>
  <si>
    <t>启航09：14</t>
  </si>
  <si>
    <t>汇旺15:30</t>
  </si>
  <si>
    <t>汇旺</t>
  </si>
  <si>
    <t>账单户16:48</t>
  </si>
  <si>
    <t>启航20:52</t>
  </si>
  <si>
    <t>启航21:29</t>
  </si>
  <si>
    <t>账单户08：20</t>
  </si>
  <si>
    <t>启航10:08</t>
  </si>
  <si>
    <t>汇旺11：20转进token</t>
  </si>
  <si>
    <t>账单户10:16</t>
  </si>
  <si>
    <t>汇旺11：21转进token</t>
  </si>
  <si>
    <t>飞书11：36</t>
  </si>
  <si>
    <t>启航14：06</t>
  </si>
  <si>
    <t>账单买户16：35</t>
  </si>
  <si>
    <t>飞书17:10</t>
  </si>
  <si>
    <t>账单户19:51</t>
  </si>
  <si>
    <t>账单户09：41</t>
  </si>
  <si>
    <t>FB个号10：55</t>
  </si>
  <si>
    <t>启航10：58</t>
  </si>
  <si>
    <t>账单户11：32</t>
  </si>
  <si>
    <t>佣金</t>
  </si>
  <si>
    <t>史戈4月份工资14：44</t>
  </si>
  <si>
    <t>飞书16：11</t>
  </si>
  <si>
    <t>账单户19：41</t>
  </si>
  <si>
    <t>账单买户20:50</t>
  </si>
  <si>
    <t>启航09:07</t>
  </si>
  <si>
    <t>账单户10:43</t>
  </si>
  <si>
    <t>飞书10:54</t>
  </si>
  <si>
    <t>启航11:51</t>
  </si>
  <si>
    <t>启航15:13</t>
  </si>
  <si>
    <t>启航15:58</t>
  </si>
  <si>
    <t>飞书16:24</t>
  </si>
  <si>
    <t>启航17:46</t>
  </si>
  <si>
    <t>启航18：24</t>
  </si>
  <si>
    <t>启航19:44</t>
  </si>
  <si>
    <t>锅大侠</t>
  </si>
  <si>
    <t>启航22:06</t>
  </si>
  <si>
    <t>启航22:31</t>
  </si>
  <si>
    <t>账单户23:09</t>
  </si>
  <si>
    <t>启航08:26</t>
  </si>
  <si>
    <t>账单户08:49</t>
  </si>
  <si>
    <t>启航09:56</t>
  </si>
  <si>
    <t>FB个号14:50</t>
  </si>
  <si>
    <t>汇旺15:51</t>
  </si>
  <si>
    <t>启航16:12</t>
  </si>
  <si>
    <t>启航16:25</t>
  </si>
  <si>
    <t>启航18:21</t>
  </si>
  <si>
    <t>启航19:16</t>
  </si>
  <si>
    <t>账单户19:31</t>
  </si>
  <si>
    <t>账单户21:16</t>
  </si>
  <si>
    <t>启航22:09</t>
  </si>
  <si>
    <t>启航09:00</t>
  </si>
  <si>
    <t>账单户13:53</t>
  </si>
  <si>
    <t>启航16:29</t>
  </si>
  <si>
    <t>启航退回</t>
  </si>
  <si>
    <t>启航16:50</t>
  </si>
  <si>
    <t>小h18:43</t>
  </si>
  <si>
    <t>启航20:17</t>
  </si>
  <si>
    <t>启航20:49</t>
  </si>
  <si>
    <t>小h21:15</t>
  </si>
  <si>
    <t>账单户21:42</t>
  </si>
  <si>
    <t>启航22:10</t>
  </si>
  <si>
    <t>启航22:18</t>
  </si>
  <si>
    <t>启航22:52</t>
  </si>
  <si>
    <t>小h23:00</t>
  </si>
  <si>
    <t>启航23:19</t>
  </si>
  <si>
    <t>账单户00:24</t>
  </si>
  <si>
    <t>账单户02:36</t>
  </si>
  <si>
    <t>BM个号02:43</t>
  </si>
  <si>
    <t>启航10:09</t>
  </si>
  <si>
    <t>启航10:20</t>
  </si>
  <si>
    <t>账单户11:19</t>
  </si>
  <si>
    <t>启航11:41</t>
  </si>
  <si>
    <t>小h14:50</t>
  </si>
  <si>
    <t>启航14:51</t>
  </si>
  <si>
    <t>启航15:40</t>
  </si>
  <si>
    <t>启航16:33</t>
  </si>
  <si>
    <t>分红</t>
  </si>
  <si>
    <t>账单户19:01</t>
  </si>
  <si>
    <t>启航19:26</t>
  </si>
  <si>
    <t>小h20:05</t>
  </si>
  <si>
    <t>启航20:37</t>
  </si>
  <si>
    <t>小h21:39</t>
  </si>
  <si>
    <t>账单户22:45</t>
  </si>
  <si>
    <t>史戈团队4/29-5/7佣金</t>
  </si>
  <si>
    <t>启航09:30</t>
  </si>
  <si>
    <t>账单户09:31</t>
  </si>
  <si>
    <t>启航13:50</t>
  </si>
  <si>
    <t>账单户15:00</t>
  </si>
  <si>
    <t>小h16:40</t>
  </si>
  <si>
    <t>账单户22:51</t>
  </si>
  <si>
    <t>账单户10:07</t>
  </si>
  <si>
    <t>启航11:59</t>
  </si>
  <si>
    <t>13：17</t>
  </si>
  <si>
    <t>19：01</t>
  </si>
  <si>
    <t>账单户19:28</t>
  </si>
  <si>
    <t>启航19：52</t>
  </si>
  <si>
    <t>启航19：54</t>
  </si>
  <si>
    <t>启航20：26</t>
  </si>
  <si>
    <t>22：08</t>
  </si>
  <si>
    <t>22：11</t>
  </si>
  <si>
    <t>启航08：36</t>
  </si>
  <si>
    <t>启航10：53</t>
  </si>
  <si>
    <t>账单户11：31</t>
  </si>
  <si>
    <t>矿工费12：15</t>
  </si>
  <si>
    <t>启航备用金12：25</t>
  </si>
  <si>
    <t>启航备用金12：37</t>
  </si>
  <si>
    <t>账单账户15：04</t>
  </si>
  <si>
    <t>账单户21：22</t>
  </si>
  <si>
    <t>IP费22：00</t>
  </si>
  <si>
    <t>09：17</t>
  </si>
  <si>
    <t>启航备用金23：32</t>
  </si>
  <si>
    <t>09：20</t>
  </si>
  <si>
    <t>账单户11：28</t>
  </si>
  <si>
    <t>个号12：54</t>
  </si>
  <si>
    <t>阿修退回</t>
  </si>
  <si>
    <t>启航备用金16：44</t>
  </si>
  <si>
    <t>个号21:17</t>
  </si>
  <si>
    <t>账单户23:02</t>
  </si>
  <si>
    <t>账单户09:28</t>
  </si>
  <si>
    <t>账单广告户20:54</t>
  </si>
  <si>
    <t>账单广告户22:05</t>
  </si>
  <si>
    <t>账单广告户22:15</t>
  </si>
  <si>
    <t>史戈团队5/8-5/13佣金</t>
  </si>
  <si>
    <t>郑州公司电脑费和电费</t>
  </si>
  <si>
    <t>19:40&amp;19:42</t>
  </si>
  <si>
    <t>个号17:17</t>
  </si>
  <si>
    <t>计数器14:39</t>
  </si>
  <si>
    <t>账单户15:15</t>
  </si>
  <si>
    <t>账单户+BM15:44</t>
  </si>
  <si>
    <t>启航备用金17:51</t>
  </si>
  <si>
    <t>金边</t>
  </si>
  <si>
    <t>账单户15:51</t>
  </si>
  <si>
    <t>账单户16:01</t>
  </si>
  <si>
    <t>矿工费18:14</t>
  </si>
  <si>
    <t>启航备用金18:16</t>
  </si>
  <si>
    <t>账单户18:20</t>
  </si>
  <si>
    <t>启航15:10</t>
  </si>
  <si>
    <t>启航备用金09:20</t>
  </si>
  <si>
    <t>账单户18:05</t>
  </si>
  <si>
    <t>小h19:39</t>
  </si>
  <si>
    <t>启航备用金20:26</t>
  </si>
  <si>
    <t>FB个号09:36</t>
  </si>
  <si>
    <t>账单户11:25</t>
  </si>
  <si>
    <t>小h14:19</t>
  </si>
  <si>
    <t>账单户14:20</t>
  </si>
  <si>
    <t>账单户14:25</t>
  </si>
  <si>
    <t>启航备用金15:23</t>
  </si>
  <si>
    <t>小h20:29</t>
  </si>
  <si>
    <t>账单户20:30</t>
  </si>
  <si>
    <t>账单户21:09</t>
  </si>
  <si>
    <t>老BM21:15</t>
  </si>
  <si>
    <t>账单户21:52</t>
  </si>
  <si>
    <t>singer团队5/21-5/31佣金</t>
  </si>
  <si>
    <t>4月收支财务报表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</si>
  <si>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</si>
  <si>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4月收支明细 </t>
    </r>
    <r>
      <rPr>
        <rFont val="Arial"/>
        <color rgb="FF3CBCAA"/>
        <sz val="20.0"/>
      </rPr>
      <t>DETAIL</t>
    </r>
  </si>
  <si>
    <t>阿光4期</t>
  </si>
  <si>
    <t>阿宝5期</t>
  </si>
  <si>
    <t>阿特</t>
  </si>
  <si>
    <t>FB个号11：07</t>
  </si>
  <si>
    <t>金鑫阿海</t>
  </si>
  <si>
    <t>18：17</t>
  </si>
  <si>
    <t>18：34</t>
  </si>
  <si>
    <t>阿亦印度</t>
  </si>
  <si>
    <t>10：27</t>
  </si>
  <si>
    <t>总计</t>
  </si>
  <si>
    <t>10：19</t>
  </si>
  <si>
    <t>15：56汇旺</t>
  </si>
  <si>
    <t>17：55汇旺</t>
  </si>
  <si>
    <t>FB个号16：20</t>
  </si>
  <si>
    <t>17：48</t>
  </si>
  <si>
    <t>17：46</t>
  </si>
  <si>
    <t>10：40</t>
  </si>
  <si>
    <t>佣金16：28</t>
  </si>
  <si>
    <t>史戈3/29-4/3代投佣金</t>
  </si>
  <si>
    <t>浏览器续费17：06</t>
  </si>
  <si>
    <t>18：13汇旺</t>
  </si>
  <si>
    <t>20:52汇旺</t>
  </si>
  <si>
    <t>汇旺22:11</t>
  </si>
  <si>
    <t>11：05</t>
  </si>
  <si>
    <t>12：10</t>
  </si>
  <si>
    <t>汇旺15：07</t>
  </si>
  <si>
    <t>17：25</t>
  </si>
  <si>
    <t>22:37汇旺</t>
  </si>
  <si>
    <t>11：10</t>
  </si>
  <si>
    <t>FB个号14：59</t>
  </si>
  <si>
    <t>FB个号15：04</t>
  </si>
  <si>
    <t>FB个号15：22/39.904</t>
  </si>
  <si>
    <t>佣金16：03</t>
  </si>
  <si>
    <t>FA3-4月代投费用</t>
  </si>
  <si>
    <t>FB个号13：30/39.923</t>
  </si>
  <si>
    <t>23：15</t>
  </si>
  <si>
    <t>FB个号11：50</t>
  </si>
  <si>
    <t>00：38</t>
  </si>
  <si>
    <t>FB个号13：23</t>
  </si>
  <si>
    <t>广告账户15：14</t>
  </si>
  <si>
    <t>广告账户18：10</t>
  </si>
  <si>
    <t>谷歌邮箱16：31</t>
  </si>
  <si>
    <t>佣金20：48</t>
  </si>
  <si>
    <t>singer4/4-4/14佣金</t>
  </si>
  <si>
    <t>佣金20：57</t>
  </si>
  <si>
    <t>singerterm4/11-4/14(史戈团队)佣金</t>
  </si>
  <si>
    <t>佣金18：11</t>
  </si>
  <si>
    <t>HT：3/27-4/14佣金</t>
  </si>
  <si>
    <t>FB个号12：56</t>
  </si>
  <si>
    <t>谷歌广告户13：16</t>
  </si>
  <si>
    <t>矿工费17：37</t>
  </si>
  <si>
    <t>域名17：51</t>
  </si>
  <si>
    <t>18：37</t>
  </si>
  <si>
    <t>19：35</t>
  </si>
  <si>
    <t>谷歌19：48</t>
  </si>
  <si>
    <t>郑州团队费用16：21</t>
  </si>
  <si>
    <t>FB广告户20：46</t>
  </si>
  <si>
    <t>23：22</t>
  </si>
  <si>
    <t>FB个号11：11</t>
  </si>
  <si>
    <t>FB广告户17：11</t>
  </si>
  <si>
    <t>FB广告户18：35</t>
  </si>
  <si>
    <t>FB个号18：38</t>
  </si>
  <si>
    <t>虚拟卡19：00</t>
  </si>
  <si>
    <t>泰国时间</t>
  </si>
  <si>
    <t>IP19：12</t>
  </si>
  <si>
    <t>谷歌00：08</t>
  </si>
  <si>
    <t>12：41</t>
  </si>
  <si>
    <t>18：10启航</t>
  </si>
  <si>
    <t>14：54小H</t>
  </si>
  <si>
    <t>18：00</t>
  </si>
  <si>
    <t>12：18虚拟卡</t>
  </si>
  <si>
    <t>09：03广告户2</t>
  </si>
  <si>
    <t>10：48</t>
  </si>
  <si>
    <t>13：32</t>
  </si>
  <si>
    <t>IP13：24</t>
  </si>
  <si>
    <t>14：23</t>
  </si>
  <si>
    <t>FB个号15：09</t>
  </si>
  <si>
    <t>08：27</t>
  </si>
  <si>
    <t>13：10</t>
  </si>
  <si>
    <t>15：14</t>
  </si>
  <si>
    <t>FB个号16：57</t>
  </si>
  <si>
    <t>17：30</t>
  </si>
  <si>
    <t>佣金22：14</t>
  </si>
  <si>
    <t>singer4/15-4/22佣金</t>
  </si>
  <si>
    <t>13：42</t>
  </si>
  <si>
    <t>13：48</t>
  </si>
  <si>
    <t>14：28</t>
  </si>
  <si>
    <t>01：43</t>
  </si>
  <si>
    <t>09：57</t>
  </si>
  <si>
    <t>FB个号14：17</t>
  </si>
  <si>
    <t>22：41</t>
  </si>
  <si>
    <t>10：07</t>
  </si>
  <si>
    <t>10：08</t>
  </si>
  <si>
    <t>FB个号16：33</t>
  </si>
  <si>
    <t>FB个号16：06</t>
  </si>
  <si>
    <t>18：02</t>
  </si>
  <si>
    <t>4/23-4/28（singerteam）已转</t>
  </si>
  <si>
    <t>3月收支财务报表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</si>
  <si>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</si>
  <si>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3月收支明细 </t>
    </r>
    <r>
      <rPr>
        <rFont val="Arial"/>
        <color rgb="FF3CBCAA"/>
        <sz val="20.0"/>
      </rPr>
      <t>DETAIL</t>
    </r>
  </si>
  <si>
    <t>阿宇</t>
  </si>
  <si>
    <t xml:space="preserve"> 金鑫</t>
  </si>
  <si>
    <t>豆豆三期</t>
  </si>
  <si>
    <t>广告账户</t>
  </si>
  <si>
    <t>豆豆2</t>
  </si>
  <si>
    <t>印度引流（九群）</t>
  </si>
  <si>
    <t>阿宇2</t>
  </si>
  <si>
    <t>01：17</t>
  </si>
  <si>
    <t>12：09</t>
  </si>
  <si>
    <t>13：27</t>
  </si>
  <si>
    <t>10：32</t>
  </si>
  <si>
    <t>22：57</t>
  </si>
  <si>
    <t>09：32</t>
  </si>
  <si>
    <t>12：35</t>
  </si>
  <si>
    <t>12：30</t>
  </si>
  <si>
    <t>Jimmy代投佣金</t>
  </si>
  <si>
    <t>08：25</t>
  </si>
  <si>
    <t>变更月套餐</t>
  </si>
  <si>
    <t>18：53</t>
  </si>
  <si>
    <t>16：55</t>
  </si>
  <si>
    <t>11：26</t>
  </si>
  <si>
    <t>15：02</t>
  </si>
  <si>
    <t>转账</t>
  </si>
  <si>
    <t>21:16张总</t>
  </si>
  <si>
    <t>07：59</t>
  </si>
  <si>
    <t>后勤钱包，已转回</t>
  </si>
  <si>
    <t>Singer16-21代投佣金</t>
  </si>
  <si>
    <t>08：21</t>
  </si>
  <si>
    <t>11：22</t>
  </si>
  <si>
    <t>13：18</t>
  </si>
  <si>
    <t>17：03</t>
  </si>
  <si>
    <t>19：06</t>
  </si>
  <si>
    <t>19：13</t>
  </si>
  <si>
    <t>14：17</t>
  </si>
  <si>
    <t>10：38</t>
  </si>
  <si>
    <t>14：04</t>
  </si>
  <si>
    <t>14：11</t>
  </si>
  <si>
    <t>15：13</t>
  </si>
  <si>
    <t>20：05</t>
  </si>
  <si>
    <t>20：38</t>
  </si>
  <si>
    <t>11：32</t>
  </si>
  <si>
    <t>14：37</t>
  </si>
  <si>
    <t>12：20</t>
  </si>
  <si>
    <t>20：14</t>
  </si>
  <si>
    <t>09：33</t>
  </si>
  <si>
    <t>11：11</t>
  </si>
  <si>
    <t>13：47</t>
  </si>
  <si>
    <t>19：17</t>
  </si>
  <si>
    <t>Black3/20-3/26代投佣金</t>
  </si>
  <si>
    <t>11：01</t>
  </si>
  <si>
    <t>15：18</t>
  </si>
  <si>
    <t>19：11</t>
  </si>
  <si>
    <t>史戈21-28号代投佣金</t>
  </si>
  <si>
    <t>08：47</t>
  </si>
  <si>
    <t>时间是泰国时区</t>
  </si>
  <si>
    <t>2月收支财务报表</t>
  </si>
  <si>
    <r>
      <rPr>
        <rFont val="黑体"/>
        <color theme="1"/>
        <sz val="18.0"/>
      </rPr>
      <t>财务统计</t>
    </r>
    <r>
      <rPr>
        <rFont val="黑体"/>
        <color rgb="FF3F3F3F"/>
        <sz val="14.0"/>
      </rPr>
      <t xml:space="preserve">
</t>
    </r>
    <r>
      <rPr>
        <rFont val="黑体"/>
        <color rgb="FF3CBCAA"/>
        <sz val="12.0"/>
      </rPr>
      <t>STATISTICS</t>
    </r>
  </si>
  <si>
    <r>
      <rPr>
        <rFont val="Arial"/>
        <color rgb="FF3F3F3F"/>
        <sz val="20.0"/>
      </rPr>
      <t xml:space="preserve">2月收支明细 </t>
    </r>
    <r>
      <rPr>
        <rFont val="Arial"/>
        <color rgb="FF3CBCAA"/>
        <sz val="20.0"/>
      </rPr>
      <t>DETAIL</t>
    </r>
  </si>
  <si>
    <t>金鑫</t>
  </si>
  <si>
    <t>订金</t>
  </si>
  <si>
    <t>汇旺订单号：FW1759862467299020801</t>
  </si>
  <si>
    <t>酷酷</t>
  </si>
  <si>
    <t>西港</t>
  </si>
  <si>
    <t xml:space="preserve">BM </t>
  </si>
  <si>
    <t>$3.48</t>
  </si>
  <si>
    <t>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</si>
</sst>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/mm/dd"/>
    <numFmt numFmtId="165" formatCode="[$$]#,##0.00"/>
    <numFmt numFmtId="166" formatCode="0&quot;月&quot;"/>
    <numFmt numFmtId="167" formatCode="m/d"/>
    <numFmt numFmtId="168" formatCode="hh:mm"/>
    <numFmt numFmtId="169" formatCode="#,##0.00_ "/>
    <numFmt numFmtId="170" formatCode="yyyy&quot;年&quot;m&quot;月&quot;d&quot;日&quot;"/>
    <numFmt numFmtId="171" formatCode="00,000"/>
    <numFmt numFmtId="172" formatCode="#,##0.000"/>
    <numFmt numFmtId="173" formatCode="yyyy&quot;/&quot;m&quot;/&quot;d"/>
    <numFmt numFmtId="174" formatCode="[$￥-804]#,##0.00"/>
    <numFmt numFmtId="175" formatCode="[$¥]#,##0.00"/>
    <numFmt numFmtId="176" formatCode="m/d hh:mm"/>
  </numFmts>
  <fonts count="29">
    <font>
      <sz val="10.0"/>
      <color rgb="FF000000"/>
      <name val="Arial"/>
      <scheme val="minor"/>
    </font>
    <font>
      <sz val="11.0"/>
      <color rgb="FF3F3F3F"/>
      <name val="SimHei"/>
    </font>
    <font>
      <sz val="24.0"/>
      <color theme="0"/>
      <name val="SimHei"/>
    </font>
    <font>
      <sz val="24.0"/>
      <color rgb="FFFFFFFF"/>
      <name val="SimHei"/>
    </font>
    <font/>
    <font>
      <sz val="11.0"/>
      <color rgb="FF00A98F"/>
      <name val="SimHei"/>
    </font>
    <font>
      <sz val="11.0"/>
      <color rgb="FFFF6C5F"/>
      <name val="SimHei"/>
    </font>
    <font>
      <sz val="18.0"/>
      <color theme="1"/>
      <name val="SimHei"/>
    </font>
    <font>
      <sz val="20.0"/>
      <color rgb="FF3F3F3F"/>
      <name val="SimHei"/>
    </font>
    <font>
      <sz val="11.0"/>
      <color rgb="FF7F7F7F"/>
      <name val="SimHei"/>
    </font>
    <font>
      <sz val="11.0"/>
      <color rgb="FF3CBCAA"/>
      <name val="SimHei"/>
    </font>
    <font>
      <sz val="22.0"/>
      <color rgb="FF3F3F3F"/>
      <name val="SimHei"/>
    </font>
    <font>
      <sz val="10.0"/>
      <color rgb="FF00A98F"/>
      <name val="SimHei"/>
    </font>
    <font>
      <sz val="18.0"/>
      <color rgb="FF00A98F"/>
      <name val="SimHei"/>
    </font>
    <font>
      <sz val="10.0"/>
      <color rgb="FFFF6C5F"/>
      <name val="SimHei"/>
    </font>
    <font>
      <sz val="18.0"/>
      <color rgb="FFFF6C5F"/>
      <name val="SimHei"/>
    </font>
    <font>
      <sz val="10.0"/>
      <color rgb="FF3F3F3F"/>
      <name val="SimHei"/>
    </font>
    <font>
      <sz val="18.0"/>
      <color rgb="FF3F3F3F"/>
      <name val="SimHei"/>
    </font>
    <font>
      <color theme="1"/>
      <name val="Arial"/>
      <scheme val="minor"/>
    </font>
    <font>
      <b/>
      <sz val="11.0"/>
      <color rgb="FF3F3F3F"/>
      <name val="SimHei"/>
    </font>
    <font>
      <sz val="11.0"/>
      <color rgb="FFFF9900"/>
      <name val="SimHei"/>
    </font>
    <font>
      <sz val="12.0"/>
      <color rgb="FF333333"/>
      <name val="微软雅黑"/>
    </font>
    <font>
      <color theme="1"/>
      <name val="Arial"/>
    </font>
    <font>
      <b/>
      <color theme="1"/>
      <name val="Arial"/>
      <scheme val="minor"/>
    </font>
    <font>
      <b/>
      <sz val="11.0"/>
      <color rgb="FFFF6C5F"/>
      <name val="SimHei"/>
    </font>
    <font>
      <strike/>
      <sz val="11.0"/>
      <color rgb="FF3F3F3F"/>
      <name val="SimHei"/>
    </font>
    <font>
      <strike/>
      <color theme="1"/>
      <name val="Arial"/>
      <scheme val="minor"/>
    </font>
    <font>
      <b/>
      <sz val="11.0"/>
      <color rgb="FFFF0000"/>
      <name val="SimHei"/>
    </font>
    <font>
      <strike/>
      <sz val="11.0"/>
      <color rgb="FF999999"/>
      <name val="SimHei"/>
    </font>
  </fonts>
  <fills count="14">
    <fill>
      <patternFill patternType="none"/>
    </fill>
    <fill>
      <patternFill patternType="lightGray"/>
    </fill>
    <fill>
      <patternFill patternType="solid">
        <fgColor rgb="FF3CBCAA"/>
        <bgColor rgb="FF3CBCA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E5F6F4"/>
        <bgColor rgb="FFE5F6F4"/>
      </patternFill>
    </fill>
    <fill>
      <patternFill patternType="solid">
        <fgColor rgb="FFFFF1EF"/>
        <bgColor rgb="FFFFF1E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3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medium">
        <color theme="0"/>
      </right>
      <top style="thick">
        <color rgb="FFBFBFBF"/>
      </top>
    </border>
    <border>
      <left style="medium">
        <color theme="0"/>
      </left>
      <right/>
      <top style="thick">
        <color rgb="FFBFBFBF"/>
      </top>
    </border>
    <border>
      <left style="medium">
        <color theme="0"/>
      </left>
      <top style="thick">
        <color rgb="FF3CBCAA"/>
      </top>
      <bottom style="thin">
        <color rgb="FF3CBCAA"/>
      </bottom>
    </border>
    <border>
      <top style="thick">
        <color rgb="FF3CBCAA"/>
      </top>
      <bottom style="thin">
        <color rgb="FF3CBCAA"/>
      </bottom>
    </border>
    <border>
      <right style="medium">
        <color theme="0"/>
      </right>
      <top style="thick">
        <color rgb="FF3CBCAA"/>
      </top>
      <bottom style="thin">
        <color rgb="FF3CBCAA"/>
      </bottom>
    </border>
    <border>
      <left/>
      <top style="thick">
        <color rgb="FFFF6C5F"/>
      </top>
      <bottom style="thin">
        <color rgb="FFFF6C5F"/>
      </bottom>
    </border>
    <border>
      <top style="thick">
        <color rgb="FFFF6C5F"/>
      </top>
      <bottom style="thin">
        <color rgb="FFFF6C5F"/>
      </bottom>
    </border>
    <border>
      <right style="thin">
        <color rgb="FFD8D8D8"/>
      </right>
      <top style="thick">
        <color rgb="FFFF6C5F"/>
      </top>
      <bottom style="thin">
        <color rgb="FFFF6C5F"/>
      </bottom>
    </border>
    <border>
      <left style="thin">
        <color rgb="FFD8D8D8"/>
      </left>
      <right style="medium">
        <color theme="0"/>
      </right>
      <bottom style="thin">
        <color rgb="FFBFBFBF"/>
      </bottom>
    </border>
    <border>
      <left style="medium">
        <color theme="0"/>
      </left>
      <right/>
      <bottom style="thin">
        <color rgb="FFBFBFBF"/>
      </bottom>
    </border>
    <border>
      <left style="medium">
        <color theme="0"/>
      </left>
      <right style="thin">
        <color rgb="FF3CBCAA"/>
      </right>
      <top style="thin">
        <color rgb="FF3CBCAA"/>
      </top>
      <bottom style="thin">
        <color rgb="FF3CBCAA"/>
      </bottom>
    </border>
    <border>
      <left style="thin">
        <color rgb="FF3CBCAA"/>
      </left>
      <right style="thin">
        <color rgb="FF3CBCAA"/>
      </right>
      <top style="thin">
        <color rgb="FF3CBCAA"/>
      </top>
      <bottom style="thin">
        <color rgb="FF3CBCAA"/>
      </bottom>
    </border>
    <border>
      <left style="thin">
        <color rgb="FF3CBCAA"/>
      </left>
      <right style="medium">
        <color theme="0"/>
      </right>
      <top style="thin">
        <color rgb="FF3CBCAA"/>
      </top>
      <bottom style="thin">
        <color rgb="FF3CBCAA"/>
      </bottom>
    </border>
    <border>
      <left/>
      <right style="thin">
        <color rgb="FFFF6C5F"/>
      </right>
      <top style="thin">
        <color rgb="FFFF6C5F"/>
      </top>
      <bottom style="thin">
        <color rgb="FFFF6C5F"/>
      </bottom>
    </border>
    <border>
      <left style="thin">
        <color rgb="FFFF6C5F"/>
      </left>
      <right style="thin">
        <color rgb="FFFF6C5F"/>
      </right>
      <top style="thin">
        <color rgb="FFFF6C5F"/>
      </top>
      <bottom style="thin">
        <color rgb="FFFF6C5F"/>
      </bottom>
    </border>
    <border>
      <left style="thin">
        <color rgb="FFFF6C5F"/>
      </left>
      <right style="thin">
        <color rgb="FFD8D8D8"/>
      </right>
      <top style="thin">
        <color rgb="FFFF6C5F"/>
      </top>
      <bottom style="thin">
        <color rgb="FFFF6C5F"/>
      </bottom>
    </border>
    <border>
      <left style="thin">
        <color rgb="FFD8D8D8"/>
      </left>
      <right/>
      <top/>
      <bottom/>
    </border>
    <border>
      <right style="thin">
        <color rgb="FFD9D9D9"/>
      </right>
    </border>
    <border>
      <left/>
      <right/>
      <top/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right style="thin">
        <color rgb="FFD9D9D9"/>
      </right>
      <top/>
      <bottom/>
    </border>
    <border>
      <bottom/>
    </border>
    <border>
      <right/>
      <bottom/>
    </border>
    <border>
      <left/>
      <right style="thin">
        <color rgb="FFD8D8D8"/>
      </right>
      <top/>
      <bottom/>
    </border>
    <border>
      <lef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/>
      <top/>
      <bottom/>
    </border>
    <border>
      <right/>
    </border>
    <border>
      <right/>
      <top/>
    </border>
    <border>
      <left/>
      <right/>
      <top/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vertical="bottom"/>
    </xf>
    <xf borderId="2" fillId="2" fontId="3" numFmtId="0" xfId="0" applyAlignment="1" applyBorder="1" applyFont="1">
      <alignment horizontal="center" readingOrder="0" vertical="bottom"/>
    </xf>
    <xf borderId="3" fillId="0" fontId="4" numFmtId="0" xfId="0" applyBorder="1" applyFont="1"/>
    <xf borderId="2" fillId="2" fontId="1" numFmtId="0" xfId="0" applyAlignment="1" applyBorder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165" xfId="0" applyAlignment="1" applyBorder="1" applyFont="1" applyNumberFormat="1">
      <alignment horizontal="center" shrinkToFit="1" vertical="center" wrapText="0"/>
    </xf>
    <xf borderId="1" fillId="2" fontId="6" numFmtId="0" xfId="0" applyAlignment="1" applyBorder="1" applyFont="1">
      <alignment horizontal="center" vertical="center"/>
    </xf>
    <xf borderId="1" fillId="2" fontId="6" numFmtId="165" xfId="0" applyAlignment="1" applyBorder="1" applyFont="1" applyNumberFormat="1">
      <alignment horizontal="center" shrinkToFit="1" vertical="center" wrapText="0"/>
    </xf>
    <xf borderId="1" fillId="3" fontId="1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5" numFmtId="165" xfId="0" applyAlignment="1" applyBorder="1" applyFont="1" applyNumberFormat="1">
      <alignment horizontal="center" shrinkToFit="1" vertical="center" wrapText="0"/>
    </xf>
    <xf borderId="1" fillId="3" fontId="6" numFmtId="0" xfId="0" applyAlignment="1" applyBorder="1" applyFont="1">
      <alignment horizontal="center" vertical="center"/>
    </xf>
    <xf borderId="1" fillId="3" fontId="6" numFmtId="165" xfId="0" applyAlignment="1" applyBorder="1" applyFont="1" applyNumberFormat="1">
      <alignment horizontal="center" shrinkToFit="1" vertical="center" wrapText="0"/>
    </xf>
    <xf borderId="1" fillId="2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shrinkToFit="0" vertical="bottom" wrapText="1"/>
    </xf>
    <xf borderId="2" fillId="3" fontId="8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left" vertical="center"/>
    </xf>
    <xf borderId="5" fillId="4" fontId="1" numFmtId="0" xfId="0" applyAlignment="1" applyBorder="1" applyFill="1" applyFont="1">
      <alignment horizontal="center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left" vertical="center"/>
    </xf>
    <xf borderId="4" fillId="3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6" fillId="5" fontId="9" numFmtId="0" xfId="0" applyAlignment="1" applyBorder="1" applyFill="1" applyFont="1">
      <alignment horizontal="center" shrinkToFit="0" vertical="center" wrapText="1"/>
    </xf>
    <xf borderId="7" fillId="5" fontId="9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7" fontId="6" numFmtId="0" xfId="0" applyAlignment="1" applyBorder="1" applyFill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6" fontId="5" numFmtId="0" xfId="0" applyAlignment="1" applyBorder="1" applyFont="1">
      <alignment horizontal="center" shrinkToFit="0" vertical="center" wrapText="1"/>
    </xf>
    <xf borderId="17" fillId="6" fontId="5" numFmtId="165" xfId="0" applyAlignment="1" applyBorder="1" applyFont="1" applyNumberFormat="1">
      <alignment horizontal="center" shrinkToFit="1" vertical="center" wrapText="0"/>
    </xf>
    <xf borderId="18" fillId="6" fontId="5" numFmtId="0" xfId="0" applyAlignment="1" applyBorder="1" applyFont="1">
      <alignment horizontal="center" readingOrder="0" shrinkToFit="0" vertical="center" wrapText="1"/>
    </xf>
    <xf borderId="18" fillId="6" fontId="5" numFmtId="0" xfId="0" applyAlignment="1" applyBorder="1" applyFont="1">
      <alignment horizontal="center" shrinkToFit="0" vertical="center" wrapText="1"/>
    </xf>
    <xf borderId="19" fillId="7" fontId="6" numFmtId="0" xfId="0" applyAlignment="1" applyBorder="1" applyFont="1">
      <alignment horizontal="center" shrinkToFit="0" vertical="center" wrapText="1"/>
    </xf>
    <xf borderId="20" fillId="7" fontId="6" numFmtId="165" xfId="0" applyAlignment="1" applyBorder="1" applyFont="1" applyNumberFormat="1">
      <alignment horizontal="center" shrinkToFit="1" vertical="center" wrapText="0"/>
    </xf>
    <xf borderId="21" fillId="7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0" fontId="11" numFmtId="166" xfId="0" applyAlignment="1" applyBorder="1" applyFont="1" applyNumberForma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bottom" wrapText="1"/>
    </xf>
    <xf borderId="22" fillId="8" fontId="1" numFmtId="0" xfId="0" applyAlignment="1" applyBorder="1" applyFill="1" applyFont="1">
      <alignment horizontal="center" shrinkToFit="0" vertical="center" wrapText="1"/>
    </xf>
    <xf borderId="1" fillId="8" fontId="1" numFmtId="167" xfId="0" applyAlignment="1" applyBorder="1" applyFont="1" applyNumberFormat="1">
      <alignment horizontal="center" readingOrder="0" shrinkToFit="0" vertical="center" wrapText="1"/>
    </xf>
    <xf borderId="22" fillId="8" fontId="5" numFmtId="0" xfId="0" applyAlignment="1" applyBorder="1" applyFont="1">
      <alignment horizontal="center" readingOrder="0" shrinkToFit="0" vertical="center" wrapText="1"/>
    </xf>
    <xf borderId="1" fillId="8" fontId="5" numFmtId="165" xfId="0" applyAlignment="1" applyBorder="1" applyFont="1" applyNumberFormat="1">
      <alignment horizontal="center" readingOrder="0" shrinkToFit="1" vertical="center" wrapText="0"/>
    </xf>
    <xf borderId="2" fillId="8" fontId="5" numFmtId="0" xfId="0" applyAlignment="1" applyBorder="1" applyFont="1">
      <alignment horizontal="center" readingOrder="0" shrinkToFit="0" vertical="center" wrapText="1"/>
    </xf>
    <xf borderId="23" fillId="8" fontId="5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1" fillId="8" fontId="6" numFmtId="165" xfId="0" applyAlignment="1" applyBorder="1" applyFont="1" applyNumberFormat="1">
      <alignment horizontal="center" readingOrder="0" shrinkToFit="1" vertical="center" wrapText="0"/>
    </xf>
    <xf borderId="2" fillId="8" fontId="6" numFmtId="0" xfId="0" applyAlignment="1" applyBorder="1" applyFont="1">
      <alignment horizontal="center" readingOrder="0" shrinkToFit="0" vertical="center" wrapText="1"/>
    </xf>
    <xf borderId="23" fillId="8" fontId="6" numFmtId="168" xfId="0" applyAlignment="1" applyBorder="1" applyFont="1" applyNumberFormat="1">
      <alignment horizontal="center" readingOrder="0" shrinkToFit="0" vertical="center" wrapText="1"/>
    </xf>
    <xf borderId="1" fillId="3" fontId="12" numFmtId="0" xfId="0" applyAlignment="1" applyBorder="1" applyFont="1">
      <alignment horizontal="left" shrinkToFit="0" vertical="bottom" wrapText="1"/>
    </xf>
    <xf borderId="22" fillId="3" fontId="1" numFmtId="0" xfId="0" applyAlignment="1" applyBorder="1" applyFont="1">
      <alignment horizontal="center"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22" fillId="3" fontId="5" numFmtId="0" xfId="0" applyAlignment="1" applyBorder="1" applyFont="1">
      <alignment horizontal="center" readingOrder="0" shrinkToFit="0" vertical="center" wrapText="1"/>
    </xf>
    <xf borderId="1" fillId="3" fontId="5" numFmtId="165" xfId="0" applyAlignment="1" applyBorder="1" applyFont="1" applyNumberFormat="1">
      <alignment horizontal="center" readingOrder="0" shrinkToFit="1" vertical="center" wrapText="0"/>
    </xf>
    <xf borderId="2" fillId="3" fontId="5" numFmtId="0" xfId="0" applyAlignment="1" applyBorder="1" applyFont="1">
      <alignment horizontal="center" readingOrder="0" shrinkToFit="0" vertical="center" wrapText="1"/>
    </xf>
    <xf borderId="23" fillId="3" fontId="5" numFmtId="168" xfId="0" applyAlignment="1" applyBorder="1" applyFont="1" applyNumberForma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1" vertical="center" wrapText="0"/>
    </xf>
    <xf borderId="2" fillId="3" fontId="6" numFmtId="0" xfId="0" applyAlignment="1" applyBorder="1" applyFont="1">
      <alignment horizontal="center" readingOrder="0" shrinkToFit="0" vertical="center" wrapText="1"/>
    </xf>
    <xf borderId="23" fillId="3" fontId="6" numFmtId="168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1" fillId="3" fontId="13" numFmtId="169" xfId="0" applyAlignment="1" applyBorder="1" applyFont="1" applyNumberFormat="1">
      <alignment horizontal="left" shrinkToFit="0" vertical="center" wrapText="1"/>
    </xf>
    <xf borderId="1" fillId="3" fontId="14" numFmtId="0" xfId="0" applyAlignment="1" applyBorder="1" applyFont="1">
      <alignment horizontal="left" shrinkToFit="0" vertical="bottom" wrapText="1"/>
    </xf>
    <xf borderId="1" fillId="3" fontId="15" numFmtId="169" xfId="0" applyAlignment="1" applyBorder="1" applyFont="1" applyNumberFormat="1">
      <alignment horizontal="left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" fillId="3" fontId="16" numFmtId="0" xfId="0" applyAlignment="1" applyBorder="1" applyFont="1">
      <alignment horizontal="left" shrinkToFit="0" vertical="bottom" wrapText="1"/>
    </xf>
    <xf borderId="1" fillId="3" fontId="17" numFmtId="169" xfId="0" applyAlignment="1" applyBorder="1" applyFont="1" applyNumberForma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3" fillId="3" fontId="5" numFmtId="0" xfId="0" applyAlignment="1" applyBorder="1" applyFont="1">
      <alignment horizontal="center" shrinkToFit="0" vertical="center" wrapText="1"/>
    </xf>
    <xf borderId="2" fillId="3" fontId="5" numFmtId="168" xfId="0" applyAlignment="1" applyBorder="1" applyFont="1" applyNumberFormat="1">
      <alignment horizontal="center" readingOrder="0" shrinkToFit="0" vertical="center" wrapText="1"/>
    </xf>
    <xf borderId="23" fillId="3" fontId="5" numFmtId="0" xfId="0" applyAlignment="1" applyBorder="1" applyFont="1">
      <alignment horizontal="center" readingOrder="0" shrinkToFit="0" vertical="center" wrapText="1"/>
    </xf>
    <xf borderId="24" fillId="3" fontId="16" numFmtId="0" xfId="0" applyAlignment="1" applyBorder="1" applyFont="1">
      <alignment horizontal="left" shrinkToFit="0" vertical="center" wrapText="1"/>
    </xf>
    <xf borderId="1" fillId="3" fontId="6" numFmtId="165" xfId="0" applyAlignment="1" applyBorder="1" applyFont="1" applyNumberFormat="1">
      <alignment horizontal="center" readingOrder="0" shrinkToFit="1" vertical="center" wrapText="0"/>
    </xf>
    <xf borderId="25" fillId="3" fontId="1" numFmtId="170" xfId="0" applyAlignment="1" applyBorder="1" applyFont="1" applyNumberForma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3" fontId="5" numFmtId="168" xfId="0" applyAlignment="1" applyBorder="1" applyFont="1" applyNumberFormat="1">
      <alignment horizontal="center" shrinkToFit="0" vertical="center" wrapText="1"/>
    </xf>
    <xf borderId="23" fillId="3" fontId="6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readingOrder="0"/>
    </xf>
    <xf borderId="2" fillId="3" fontId="6" numFmtId="0" xfId="0" applyAlignment="1" applyBorder="1" applyFont="1">
      <alignment horizontal="center" readingOrder="0" shrinkToFit="1" vertical="center" wrapText="0"/>
    </xf>
    <xf borderId="23" fillId="3" fontId="6" numFmtId="168" xfId="0" applyAlignment="1" applyBorder="1" applyFont="1" applyNumberFormat="1">
      <alignment horizontal="center" readingOrder="0" shrinkToFit="1" vertical="center" wrapText="0"/>
    </xf>
    <xf borderId="0" fillId="3" fontId="6" numFmtId="0" xfId="0" applyAlignment="1" applyFont="1">
      <alignment horizontal="center" readingOrder="0" shrinkToFit="1" vertical="center" wrapText="0"/>
    </xf>
    <xf borderId="26" fillId="3" fontId="6" numFmtId="168" xfId="0" applyAlignment="1" applyBorder="1" applyFont="1" applyNumberFormat="1">
      <alignment horizontal="center" readingOrder="0" shrinkToFit="1" vertical="center" wrapText="0"/>
    </xf>
    <xf borderId="4" fillId="3" fontId="6" numFmtId="0" xfId="0" applyAlignment="1" applyBorder="1" applyFont="1">
      <alignment horizontal="center" readingOrder="0" shrinkToFit="1" vertical="center" wrapText="0"/>
    </xf>
    <xf borderId="5" fillId="4" fontId="1" numFmtId="0" xfId="0" applyAlignment="1" applyBorder="1" applyFon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1" vertical="center" wrapText="0"/>
    </xf>
    <xf borderId="0" fillId="0" fontId="18" numFmtId="0" xfId="0" applyFont="1"/>
    <xf borderId="0" fillId="0" fontId="18" numFmtId="169" xfId="0" applyFont="1" applyNumberFormat="1"/>
    <xf borderId="3" fillId="3" fontId="6" numFmtId="0" xfId="0" applyAlignment="1" applyBorder="1" applyFont="1">
      <alignment horizontal="center" readingOrder="0" shrinkToFit="1" vertical="center" wrapText="0"/>
    </xf>
    <xf borderId="27" fillId="3" fontId="19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28" fillId="0" fontId="4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0" fillId="3" fontId="1" numFmtId="171" xfId="0" applyAlignment="1" applyFont="1" applyNumberForma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center" readingOrder="0" vertical="center"/>
    </xf>
    <xf borderId="2" fillId="4" fontId="6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0"/>
    </xf>
    <xf borderId="2" fillId="3" fontId="6" numFmtId="0" xfId="0" applyAlignment="1" applyBorder="1" applyFont="1">
      <alignment horizontal="center" readingOrder="0" shrinkToFit="1" vertical="center" wrapText="0"/>
    </xf>
    <xf borderId="23" fillId="3" fontId="6" numFmtId="168" xfId="0" applyAlignment="1" applyBorder="1" applyFont="1" applyNumberFormat="1">
      <alignment horizontal="center" readingOrder="0" shrinkToFit="1" vertical="center" wrapText="0"/>
    </xf>
    <xf borderId="5" fillId="3" fontId="1" numFmtId="4" xfId="0" applyAlignment="1" applyBorder="1" applyFont="1" applyNumberFormat="1">
      <alignment horizontal="center" readingOrder="0" shrinkToFit="0" vertical="center" wrapText="1"/>
    </xf>
    <xf borderId="23" fillId="3" fontId="6" numFmtId="0" xfId="0" applyAlignment="1" applyBorder="1" applyFont="1">
      <alignment horizontal="center" readingOrder="0" shrinkToFit="1" vertical="center" wrapText="0"/>
    </xf>
    <xf borderId="0" fillId="3" fontId="1" numFmtId="169" xfId="0" applyAlignment="1" applyFont="1" applyNumberFormat="1">
      <alignment horizontal="center" shrinkToFit="0" vertical="center" wrapText="1"/>
    </xf>
    <xf borderId="22" fillId="4" fontId="5" numFmtId="0" xfId="0" applyAlignment="1" applyBorder="1" applyFont="1">
      <alignment horizontal="center" shrinkToFit="0" wrapText="1"/>
    </xf>
    <xf borderId="1" fillId="4" fontId="5" numFmtId="165" xfId="0" applyAlignment="1" applyBorder="1" applyFont="1" applyNumberFormat="1">
      <alignment horizontal="center"/>
    </xf>
    <xf borderId="22" fillId="3" fontId="1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1" vertical="center" wrapText="0"/>
    </xf>
    <xf borderId="23" fillId="3" fontId="6" numFmtId="0" xfId="0" applyAlignment="1" applyBorder="1" applyFont="1">
      <alignment horizontal="center" readingOrder="0" shrinkToFit="1" vertical="center" wrapText="0"/>
    </xf>
    <xf borderId="4" fillId="3" fontId="1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3" fillId="3" fontId="6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29" fillId="3" fontId="6" numFmtId="0" xfId="0" applyAlignment="1" applyBorder="1" applyFont="1">
      <alignment horizontal="center" shrinkToFit="0" vertical="center" wrapText="1"/>
    </xf>
    <xf borderId="30" fillId="3" fontId="6" numFmtId="0" xfId="0" applyAlignment="1" applyBorder="1" applyFont="1">
      <alignment horizontal="center" shrinkToFit="0" vertical="center" wrapText="1"/>
    </xf>
    <xf borderId="29" fillId="3" fontId="5" numFmtId="0" xfId="0" applyAlignment="1" applyBorder="1" applyFont="1">
      <alignment horizontal="center" shrinkToFit="0" vertical="center" wrapText="1"/>
    </xf>
    <xf borderId="30" fillId="3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6" numFmtId="165" xfId="0" applyAlignment="1" applyBorder="1" applyFont="1" applyNumberFormat="1">
      <alignment horizontal="center" shrinkToFit="1" vertical="center" wrapText="0"/>
    </xf>
    <xf borderId="1" fillId="0" fontId="6" numFmtId="165" xfId="0" applyAlignment="1" applyBorder="1" applyFont="1" applyNumberFormat="1">
      <alignment horizontal="center" shrinkToFit="1" vertical="center" wrapText="0"/>
    </xf>
    <xf borderId="1" fillId="0" fontId="6" numFmtId="165" xfId="0" applyAlignment="1" applyBorder="1" applyFont="1" applyNumberFormat="1">
      <alignment horizontal="center" readingOrder="0" shrinkToFit="1" vertical="center" wrapText="0"/>
    </xf>
    <xf borderId="0" fillId="0" fontId="18" numFmtId="0" xfId="0" applyAlignment="1" applyFont="1">
      <alignment readingOrder="0"/>
    </xf>
    <xf borderId="26" fillId="3" fontId="6" numFmtId="0" xfId="0" applyAlignment="1" applyBorder="1" applyFont="1">
      <alignment horizontal="center" readingOrder="0" shrinkToFit="1" vertical="center" wrapText="0"/>
    </xf>
    <xf borderId="2" fillId="3" fontId="6" numFmtId="4" xfId="0" applyAlignment="1" applyBorder="1" applyFont="1" applyNumberFormat="1">
      <alignment horizontal="center" readingOrder="0" shrinkToFit="1" vertical="center" wrapText="0"/>
    </xf>
    <xf borderId="0" fillId="9" fontId="18" numFmtId="0" xfId="0" applyFill="1" applyFont="1"/>
    <xf borderId="0" fillId="9" fontId="1" numFmtId="0" xfId="0" applyAlignment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0" fontId="6" numFmtId="165" xfId="0" applyAlignment="1" applyBorder="1" applyFont="1" applyNumberFormat="1">
      <alignment horizontal="center" shrinkToFit="1" vertical="center" wrapText="0"/>
    </xf>
    <xf borderId="4" fillId="3" fontId="6" numFmtId="0" xfId="0" applyAlignment="1" applyBorder="1" applyFont="1">
      <alignment horizontal="center" shrinkToFit="0" vertical="center" wrapText="1"/>
    </xf>
    <xf borderId="2" fillId="3" fontId="6" numFmtId="4" xfId="0" applyAlignment="1" applyBorder="1" applyFont="1" applyNumberFormat="1">
      <alignment horizontal="center" shrinkToFit="1" vertical="center" wrapText="0"/>
    </xf>
    <xf borderId="5" fillId="4" fontId="1" numFmtId="0" xfId="0" applyAlignment="1" applyBorder="1" applyFont="1">
      <alignment horizontal="center" shrinkToFit="0" wrapText="1"/>
    </xf>
    <xf borderId="5" fillId="4" fontId="1" numFmtId="0" xfId="0" applyAlignment="1" applyBorder="1" applyFont="1">
      <alignment horizontal="center" shrinkToFit="0" wrapText="1"/>
    </xf>
    <xf borderId="4" fillId="4" fontId="6" numFmtId="0" xfId="0" applyAlignment="1" applyBorder="1" applyFont="1">
      <alignment horizontal="center" shrinkToFit="0" wrapText="1"/>
    </xf>
    <xf borderId="1" fillId="4" fontId="6" numFmtId="165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23" fillId="3" fontId="5" numFmtId="168" xfId="0" applyAlignment="1" applyBorder="1" applyFont="1" applyNumberFormat="1">
      <alignment horizontal="center" shrinkToFit="0" vertical="center" wrapText="1"/>
    </xf>
    <xf borderId="1" fillId="9" fontId="20" numFmtId="167" xfId="0" applyAlignment="1" applyBorder="1" applyFont="1" applyNumberFormat="1">
      <alignment horizontal="center" readingOrder="0" shrinkToFit="0" vertical="center" wrapText="1"/>
    </xf>
    <xf borderId="22" fillId="9" fontId="20" numFmtId="0" xfId="0" applyAlignment="1" applyBorder="1" applyFont="1">
      <alignment horizontal="center" shrinkToFit="0" vertical="center" wrapText="1"/>
    </xf>
    <xf borderId="1" fillId="9" fontId="20" numFmtId="165" xfId="0" applyAlignment="1" applyBorder="1" applyFont="1" applyNumberFormat="1">
      <alignment horizontal="center" shrinkToFit="1" vertical="center" wrapText="0"/>
    </xf>
    <xf borderId="2" fillId="9" fontId="20" numFmtId="0" xfId="0" applyAlignment="1" applyBorder="1" applyFont="1">
      <alignment horizontal="center" shrinkToFit="0" vertical="center" wrapText="1"/>
    </xf>
    <xf borderId="23" fillId="9" fontId="20" numFmtId="0" xfId="0" applyAlignment="1" applyBorder="1" applyFont="1">
      <alignment horizontal="center" shrinkToFit="0" vertical="center" wrapText="1"/>
    </xf>
    <xf borderId="4" fillId="9" fontId="20" numFmtId="0" xfId="0" applyAlignment="1" applyBorder="1" applyFont="1">
      <alignment horizontal="center" readingOrder="0" shrinkToFit="0" vertical="center" wrapText="1"/>
    </xf>
    <xf borderId="1" fillId="9" fontId="20" numFmtId="165" xfId="0" applyAlignment="1" applyBorder="1" applyFont="1" applyNumberFormat="1">
      <alignment horizontal="center" readingOrder="0" shrinkToFit="1" vertical="center" wrapText="0"/>
    </xf>
    <xf borderId="2" fillId="9" fontId="20" numFmtId="0" xfId="0" applyAlignment="1" applyBorder="1" applyFont="1">
      <alignment horizontal="center" readingOrder="0" shrinkToFit="0" vertical="center" wrapText="1"/>
    </xf>
    <xf borderId="23" fillId="9" fontId="20" numFmtId="168" xfId="0" applyAlignment="1" applyBorder="1" applyFont="1" applyNumberFormat="1">
      <alignment horizontal="center" readingOrder="0" shrinkToFit="0" vertical="center" wrapText="1"/>
    </xf>
    <xf borderId="0" fillId="9" fontId="20" numFmtId="0" xfId="0" applyAlignment="1" applyFont="1">
      <alignment horizontal="center" shrinkToFit="0" vertical="center" wrapText="1"/>
    </xf>
    <xf borderId="4" fillId="9" fontId="20" numFmtId="0" xfId="0" applyAlignment="1" applyBorder="1" applyFont="1">
      <alignment horizontal="center" shrinkToFit="0" vertical="center" wrapText="1"/>
    </xf>
    <xf borderId="1" fillId="9" fontId="20" numFmtId="0" xfId="0" applyAlignment="1" applyBorder="1" applyFont="1">
      <alignment horizontal="center" shrinkToFit="0" vertical="center" wrapText="1"/>
    </xf>
    <xf borderId="31" fillId="4" fontId="1" numFmtId="0" xfId="0" applyAlignment="1" applyBorder="1" applyFont="1">
      <alignment horizontal="center" readingOrder="0" shrinkToFit="0" vertical="center" wrapText="1"/>
    </xf>
    <xf borderId="32" fillId="4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23" fillId="3" fontId="6" numFmtId="168" xfId="0" applyAlignment="1" applyBorder="1" applyFont="1" applyNumberFormat="1">
      <alignment horizontal="center" shrinkToFit="0" vertical="center" wrapText="1"/>
    </xf>
    <xf borderId="23" fillId="3" fontId="5" numFmtId="0" xfId="0" applyAlignment="1" applyBorder="1" applyFont="1">
      <alignment horizontal="center" shrinkToFit="0" vertical="center" wrapText="1"/>
    </xf>
    <xf borderId="23" fillId="3" fontId="6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shrinkToFit="1" vertical="center" wrapText="0"/>
    </xf>
    <xf borderId="2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3" fillId="0" fontId="6" numFmtId="168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3" fontId="1" numFmtId="172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3" fontId="19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/>
    </xf>
    <xf borderId="0" fillId="0" fontId="18" numFmtId="0" xfId="0" applyAlignment="1" applyFont="1">
      <alignment horizontal="left" readingOrder="0"/>
    </xf>
    <xf borderId="5" fillId="3" fontId="1" numFmtId="165" xfId="0" applyAlignment="1" applyBorder="1" applyFont="1" applyNumberFormat="1">
      <alignment horizontal="center" shrinkToFit="0" vertical="center" wrapText="1"/>
    </xf>
    <xf borderId="4" fillId="3" fontId="6" numFmtId="4" xfId="0" applyAlignment="1" applyBorder="1" applyFont="1" applyNumberFormat="1">
      <alignment horizontal="center" readingOrder="0" shrinkToFit="0" vertical="center" wrapText="1"/>
    </xf>
    <xf borderId="1" fillId="9" fontId="1" numFmtId="167" xfId="0" applyAlignment="1" applyBorder="1" applyFont="1" applyNumberFormat="1">
      <alignment horizontal="center" readingOrder="0" shrinkToFit="0" vertical="center" wrapText="1"/>
    </xf>
    <xf borderId="22" fillId="9" fontId="5" numFmtId="0" xfId="0" applyAlignment="1" applyBorder="1" applyFont="1">
      <alignment horizontal="center" shrinkToFit="0" vertical="center" wrapText="1"/>
    </xf>
    <xf borderId="1" fillId="9" fontId="5" numFmtId="165" xfId="0" applyAlignment="1" applyBorder="1" applyFont="1" applyNumberFormat="1">
      <alignment horizontal="center" shrinkToFit="1" vertical="center" wrapText="0"/>
    </xf>
    <xf borderId="2" fillId="9" fontId="5" numFmtId="0" xfId="0" applyAlignment="1" applyBorder="1" applyFont="1">
      <alignment horizontal="center" shrinkToFit="0" vertical="center" wrapText="1"/>
    </xf>
    <xf borderId="23" fillId="9" fontId="5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readingOrder="0" shrinkToFit="0" vertical="center" wrapText="1"/>
    </xf>
    <xf borderId="1" fillId="9" fontId="6" numFmtId="165" xfId="0" applyAlignment="1" applyBorder="1" applyFont="1" applyNumberFormat="1">
      <alignment horizontal="center" readingOrder="0" shrinkToFit="1" vertical="center" wrapText="0"/>
    </xf>
    <xf borderId="2" fillId="9" fontId="6" numFmtId="0" xfId="0" applyAlignment="1" applyBorder="1" applyFont="1">
      <alignment horizontal="center" readingOrder="0" shrinkToFit="0" vertical="center" wrapText="1"/>
    </xf>
    <xf borderId="23" fillId="9" fontId="6" numFmtId="168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left" readingOrder="0" vertical="center"/>
    </xf>
    <xf borderId="0" fillId="3" fontId="1" numFmtId="0" xfId="0" applyAlignment="1" applyFont="1">
      <alignment horizontal="left" readingOrder="0" shrinkToFit="0" vertical="center" wrapText="1"/>
    </xf>
    <xf borderId="0" fillId="3" fontId="19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23" fillId="8" fontId="6" numFmtId="0" xfId="0" applyAlignment="1" applyBorder="1" applyFont="1">
      <alignment horizontal="center" readingOrder="0" shrinkToFit="0" vertical="center" wrapText="1"/>
    </xf>
    <xf borderId="0" fillId="3" fontId="1" numFmtId="167" xfId="0" applyAlignment="1" applyFont="1" applyNumberFormat="1">
      <alignment horizontal="center" readingOrder="0" shrinkToFit="0" vertical="center" wrapText="1"/>
    </xf>
    <xf borderId="0" fillId="3" fontId="19" numFmtId="0" xfId="0" applyAlignment="1" applyFont="1">
      <alignment horizontal="center" readingOrder="0" shrinkToFit="0" vertical="center" wrapText="1"/>
    </xf>
    <xf borderId="0" fillId="4" fontId="21" numFmtId="0" xfId="0" applyAlignment="1" applyFont="1">
      <alignment readingOrder="0"/>
    </xf>
    <xf borderId="2" fillId="3" fontId="6" numFmtId="168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7" fillId="9" fontId="19" numFmtId="0" xfId="0" applyAlignment="1" applyBorder="1" applyFont="1">
      <alignment horizontal="center" readingOrder="0" shrinkToFit="0" vertical="center" wrapText="1"/>
    </xf>
    <xf borderId="1" fillId="2" fontId="1" numFmtId="173" xfId="0" applyAlignment="1" applyBorder="1" applyFont="1" applyNumberFormat="1">
      <alignment horizontal="center" vertical="center"/>
    </xf>
    <xf borderId="1" fillId="3" fontId="1" numFmtId="173" xfId="0" applyAlignment="1" applyBorder="1" applyFont="1" applyNumberFormat="1">
      <alignment horizontal="center" vertical="center"/>
    </xf>
    <xf borderId="0" fillId="3" fontId="1" numFmtId="169" xfId="0" applyAlignment="1" applyFont="1" applyNumberFormat="1">
      <alignment horizontal="left" vertical="center"/>
    </xf>
    <xf borderId="7" fillId="5" fontId="9" numFmtId="173" xfId="0" applyAlignment="1" applyBorder="1" applyFont="1" applyNumberFormat="1">
      <alignment horizontal="center" shrinkToFit="0" vertical="center" wrapText="1"/>
    </xf>
    <xf borderId="0" fillId="4" fontId="22" numFmtId="0" xfId="0" applyFont="1"/>
    <xf borderId="4" fillId="4" fontId="22" numFmtId="0" xfId="0" applyBorder="1" applyFont="1"/>
    <xf borderId="1" fillId="4" fontId="22" numFmtId="0" xfId="0" applyBorder="1" applyFont="1"/>
    <xf borderId="1" fillId="8" fontId="1" numFmtId="173" xfId="0" applyAlignment="1" applyBorder="1" applyFont="1" applyNumberFormat="1">
      <alignment horizontal="center" readingOrder="0" shrinkToFit="0" vertical="center" wrapText="1"/>
    </xf>
    <xf borderId="1" fillId="0" fontId="1" numFmtId="173" xfId="0" applyAlignment="1" applyBorder="1" applyFont="1" applyNumberFormat="1">
      <alignment horizontal="center" readingOrder="0" shrinkToFit="0" vertical="center" wrapText="1"/>
    </xf>
    <xf borderId="0" fillId="4" fontId="22" numFmtId="0" xfId="0" applyAlignment="1" applyFont="1">
      <alignment readingOrder="0"/>
    </xf>
    <xf borderId="5" fillId="4" fontId="1" numFmtId="0" xfId="0" applyAlignment="1" applyBorder="1" applyFont="1">
      <alignment horizontal="center" readingOrder="0" shrinkToFit="0" wrapText="1"/>
    </xf>
    <xf borderId="0" fillId="4" fontId="22" numFmtId="0" xfId="0" applyFont="1"/>
    <xf borderId="0" fillId="4" fontId="22" numFmtId="0" xfId="0" applyFont="1"/>
    <xf borderId="1" fillId="0" fontId="1" numFmtId="173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8" fontId="6" numFmtId="165" xfId="0" applyAlignment="1" applyBorder="1" applyFont="1" applyNumberFormat="1">
      <alignment horizontal="center" shrinkToFit="1" vertical="center" wrapText="0"/>
    </xf>
    <xf borderId="2" fillId="4" fontId="22" numFmtId="0" xfId="0" applyBorder="1" applyFont="1"/>
    <xf borderId="0" fillId="3" fontId="1" numFmtId="165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left" readingOrder="0" shrinkToFit="0" vertical="center" wrapText="0"/>
    </xf>
    <xf borderId="1" fillId="3" fontId="1" numFmtId="173" xfId="0" applyAlignment="1" applyBorder="1" applyFont="1" applyNumberFormat="1">
      <alignment horizontal="center" readingOrder="0" shrinkToFit="0" vertical="center" wrapText="1"/>
    </xf>
    <xf borderId="0" fillId="3" fontId="1" numFmtId="168" xfId="0" applyAlignment="1" applyFont="1" applyNumberFormat="1">
      <alignment horizontal="center" readingOrder="0" shrinkToFit="0" vertical="center" wrapText="1"/>
    </xf>
    <xf borderId="0" fillId="0" fontId="18" numFmtId="165" xfId="0" applyFont="1" applyNumberFormat="1"/>
    <xf borderId="33" fillId="8" fontId="6" numFmtId="0" xfId="0" applyAlignment="1" applyBorder="1" applyFont="1">
      <alignment horizontal="center" readingOrder="0" shrinkToFit="0" vertical="center" wrapText="1"/>
    </xf>
    <xf borderId="30" fillId="0" fontId="4" numFmtId="0" xfId="0" applyBorder="1" applyFont="1"/>
    <xf borderId="2" fillId="3" fontId="6" numFmtId="168" xfId="0" applyAlignment="1" applyBorder="1" applyFont="1" applyNumberFormat="1">
      <alignment horizontal="center" readingOrder="0" shrinkToFit="0" vertical="center" wrapText="1"/>
    </xf>
    <xf borderId="1" fillId="3" fontId="1" numFmtId="173" xfId="0" applyAlignment="1" applyBorder="1" applyFont="1" applyNumberFormat="1">
      <alignment horizontal="center" shrinkToFit="0" vertical="center" wrapText="1"/>
    </xf>
    <xf borderId="1" fillId="8" fontId="1" numFmtId="164" xfId="0" applyAlignment="1" applyBorder="1" applyFont="1" applyNumberFormat="1">
      <alignment horizontal="center" readingOrder="0" shrinkToFit="0" vertical="center" wrapText="1"/>
    </xf>
    <xf borderId="1" fillId="3" fontId="1" numFmtId="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4" fillId="3" fontId="1" numFmtId="165" xfId="0" applyAlignment="1" applyBorder="1" applyFont="1" applyNumberFormat="1">
      <alignment horizontal="center" readingOrder="0" shrinkToFit="0" vertical="center" wrapText="1"/>
    </xf>
    <xf borderId="23" fillId="8" fontId="6" numFmtId="168" xfId="0" applyAlignment="1" applyBorder="1" applyFont="1" applyNumberForma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0" fontId="18" numFmtId="0" xfId="0" applyFont="1"/>
    <xf borderId="5" fillId="3" fontId="1" numFmtId="4" xfId="0" applyAlignment="1" applyBorder="1" applyFont="1" applyNumberFormat="1">
      <alignment horizontal="center" shrinkToFit="0" vertical="center" wrapText="1"/>
    </xf>
    <xf borderId="4" fillId="3" fontId="1" numFmtId="4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readingOrder="0"/>
    </xf>
    <xf borderId="4" fillId="3" fontId="19" numFmtId="0" xfId="0" applyAlignment="1" applyBorder="1" applyFont="1">
      <alignment horizontal="center" readingOrder="0" shrinkToFit="0" vertical="center" wrapText="1"/>
    </xf>
    <xf borderId="0" fillId="3" fontId="1" numFmtId="4" xfId="0" applyAlignment="1" applyFont="1" applyNumberFormat="1">
      <alignment horizontal="center" shrinkToFit="0" vertical="center" wrapText="1"/>
    </xf>
    <xf borderId="2" fillId="3" fontId="1" numFmtId="164" xfId="0" applyAlignment="1" applyBorder="1" applyFont="1" applyNumberFormat="1">
      <alignment horizontal="center" readingOrder="0" shrinkToFit="0" vertical="center" wrapText="1"/>
    </xf>
    <xf borderId="34" fillId="3" fontId="5" numFmtId="174" xfId="0" applyAlignment="1" applyBorder="1" applyFont="1" applyNumberFormat="1">
      <alignment horizontal="center" readingOrder="0" shrinkToFit="0" vertical="center" wrapText="1"/>
    </xf>
    <xf borderId="4" fillId="10" fontId="24" numFmtId="0" xfId="0" applyAlignment="1" applyBorder="1" applyFill="1" applyFont="1">
      <alignment horizontal="center" readingOrder="0" shrinkToFit="0" vertical="center" wrapText="1"/>
    </xf>
    <xf borderId="0" fillId="10" fontId="1" numFmtId="0" xfId="0" applyAlignment="1" applyFont="1">
      <alignment horizontal="center" shrinkToFit="0" vertical="center" wrapText="1"/>
    </xf>
    <xf borderId="1" fillId="2" fontId="5" numFmtId="175" xfId="0" applyAlignment="1" applyBorder="1" applyFont="1" applyNumberFormat="1">
      <alignment horizontal="center" shrinkToFit="1" vertical="center" wrapText="0"/>
    </xf>
    <xf borderId="1" fillId="2" fontId="6" numFmtId="175" xfId="0" applyAlignment="1" applyBorder="1" applyFont="1" applyNumberFormat="1">
      <alignment horizontal="center" shrinkToFit="1" vertical="center" wrapText="0"/>
    </xf>
    <xf borderId="1" fillId="3" fontId="5" numFmtId="175" xfId="0" applyAlignment="1" applyBorder="1" applyFont="1" applyNumberFormat="1">
      <alignment horizontal="center" shrinkToFit="1" vertical="center" wrapText="0"/>
    </xf>
    <xf borderId="1" fillId="3" fontId="6" numFmtId="175" xfId="0" applyAlignment="1" applyBorder="1" applyFont="1" applyNumberFormat="1">
      <alignment horizontal="center" shrinkToFit="1" vertical="center" wrapText="0"/>
    </xf>
    <xf borderId="17" fillId="6" fontId="5" numFmtId="175" xfId="0" applyAlignment="1" applyBorder="1" applyFont="1" applyNumberFormat="1">
      <alignment horizontal="center" readingOrder="0" shrinkToFit="1" vertical="center" wrapText="0"/>
    </xf>
    <xf borderId="20" fillId="7" fontId="6" numFmtId="175" xfId="0" applyAlignment="1" applyBorder="1" applyFont="1" applyNumberFormat="1">
      <alignment horizontal="center" readingOrder="0" shrinkToFit="1" vertical="center" wrapText="0"/>
    </xf>
    <xf borderId="1" fillId="8" fontId="5" numFmtId="175" xfId="0" applyAlignment="1" applyBorder="1" applyFont="1" applyNumberFormat="1">
      <alignment horizontal="center" readingOrder="0" shrinkToFit="1" vertical="center" wrapText="0"/>
    </xf>
    <xf borderId="1" fillId="8" fontId="6" numFmtId="175" xfId="0" applyAlignment="1" applyBorder="1" applyFont="1" applyNumberFormat="1">
      <alignment horizontal="center" readingOrder="0" shrinkToFit="1" vertical="center" wrapText="0"/>
    </xf>
    <xf borderId="1" fillId="3" fontId="5" numFmtId="175" xfId="0" applyAlignment="1" applyBorder="1" applyFont="1" applyNumberFormat="1">
      <alignment horizontal="center" readingOrder="0" shrinkToFit="1" vertical="center" wrapText="0"/>
    </xf>
    <xf borderId="1" fillId="3" fontId="6" numFmtId="175" xfId="0" applyAlignment="1" applyBorder="1" applyFont="1" applyNumberFormat="1">
      <alignment horizontal="center" readingOrder="0" shrinkToFit="1" vertical="center" wrapText="0"/>
    </xf>
    <xf borderId="0" fillId="3" fontId="1" numFmtId="165" xfId="0" applyAlignment="1" applyFont="1" applyNumberFormat="1">
      <alignment horizontal="center" shrinkToFit="0" vertical="center" wrapText="1"/>
    </xf>
    <xf borderId="1" fillId="4" fontId="6" numFmtId="165" xfId="0" applyAlignment="1" applyBorder="1" applyFont="1" applyNumberFormat="1">
      <alignment horizontal="center" readingOrder="0"/>
    </xf>
    <xf borderId="2" fillId="4" fontId="6" numFmtId="0" xfId="0" applyAlignment="1" applyBorder="1" applyFont="1">
      <alignment horizontal="center" shrinkToFit="0" wrapText="1"/>
    </xf>
    <xf borderId="0" fillId="11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35" fillId="0" fontId="18" numFmtId="0" xfId="0" applyAlignment="1" applyBorder="1" applyFont="1">
      <alignment readingOrder="0"/>
    </xf>
    <xf borderId="27" fillId="0" fontId="18" numFmtId="0" xfId="0" applyAlignment="1" applyBorder="1" applyFont="1">
      <alignment readingOrder="0"/>
    </xf>
    <xf borderId="28" fillId="0" fontId="18" numFmtId="0" xfId="0" applyAlignment="1" applyBorder="1" applyFont="1">
      <alignment readingOrder="0"/>
    </xf>
    <xf borderId="0" fillId="12" fontId="1" numFmtId="167" xfId="0" applyAlignment="1" applyFill="1" applyFont="1" applyNumberForma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readingOrder="0" shrinkToFit="0" vertical="center" wrapText="1"/>
    </xf>
    <xf borderId="1" fillId="13" fontId="6" numFmtId="165" xfId="0" applyAlignment="1" applyBorder="1" applyFont="1" applyNumberFormat="1">
      <alignment horizontal="center" readingOrder="0" shrinkToFit="1" vertical="center" wrapText="0"/>
    </xf>
    <xf borderId="2" fillId="13" fontId="6" numFmtId="0" xfId="0" applyAlignment="1" applyBorder="1" applyFont="1">
      <alignment horizontal="center" readingOrder="0" shrinkToFit="0" vertical="center" wrapText="1"/>
    </xf>
    <xf borderId="23" fillId="13" fontId="6" numFmtId="168" xfId="0" applyAlignment="1" applyBorder="1" applyFont="1" applyNumberFormat="1">
      <alignment horizontal="center" readingOrder="0" shrinkToFit="0" vertical="center" wrapText="1"/>
    </xf>
    <xf borderId="0" fillId="12" fontId="18" numFmtId="0" xfId="0" applyAlignment="1" applyFont="1">
      <alignment readingOrder="0"/>
    </xf>
    <xf borderId="2" fillId="0" fontId="6" numFmtId="0" xfId="0" applyAlignment="1" applyBorder="1" applyFont="1">
      <alignment horizontal="center" shrinkToFit="0" vertical="center" wrapText="1"/>
    </xf>
    <xf borderId="23" fillId="0" fontId="6" numFmtId="168" xfId="0" applyAlignment="1" applyBorder="1" applyFont="1" applyNumberFormat="1">
      <alignment horizontal="center" shrinkToFit="0" vertical="center" wrapText="1"/>
    </xf>
    <xf borderId="4" fillId="3" fontId="1" numFmtId="165" xfId="0" applyAlignment="1" applyBorder="1" applyFont="1" applyNumberFormat="1">
      <alignment horizontal="center" shrinkToFit="0" vertical="center" wrapText="1"/>
    </xf>
    <xf borderId="0" fillId="3" fontId="1" numFmtId="176" xfId="0" applyAlignment="1" applyFont="1" applyNumberFormat="1">
      <alignment horizontal="center" readingOrder="0" shrinkToFit="0" vertical="center" wrapText="1"/>
    </xf>
    <xf borderId="36" fillId="3" fontId="1" numFmtId="0" xfId="0" applyAlignment="1" applyBorder="1" applyFont="1">
      <alignment horizontal="center" shrinkToFit="0" vertical="center" wrapText="1"/>
    </xf>
    <xf borderId="5" fillId="3" fontId="1" numFmtId="167" xfId="0" applyAlignment="1" applyBorder="1" applyFont="1" applyNumberFormat="1">
      <alignment horizontal="center" readingOrder="0" shrinkToFit="0" vertical="center" wrapText="1"/>
    </xf>
    <xf borderId="28" fillId="3" fontId="1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1" vertical="center" wrapText="0"/>
    </xf>
    <xf borderId="2" fillId="0" fontId="5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left" readingOrder="0" vertical="center"/>
    </xf>
    <xf borderId="5" fillId="3" fontId="25" numFmtId="165" xfId="0" applyAlignment="1" applyBorder="1" applyFont="1" applyNumberFormat="1">
      <alignment horizontal="center" shrinkToFit="0" vertical="center" wrapText="1"/>
    </xf>
    <xf borderId="5" fillId="3" fontId="25" numFmtId="0" xfId="0" applyAlignment="1" applyBorder="1" applyFont="1">
      <alignment horizontal="center" readingOrder="0" shrinkToFit="0" vertical="center" wrapText="1"/>
    </xf>
    <xf borderId="5" fillId="3" fontId="25" numFmtId="0" xfId="0" applyAlignment="1" applyBorder="1" applyFont="1">
      <alignment horizontal="center" shrinkToFit="0" vertical="center" wrapText="1"/>
    </xf>
    <xf borderId="0" fillId="3" fontId="25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18" numFmtId="165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readingOrder="0"/>
    </xf>
    <xf borderId="0" fillId="3" fontId="27" numFmtId="165" xfId="0" applyAlignment="1" applyFont="1" applyNumberFormat="1">
      <alignment horizontal="center" shrinkToFit="0" vertical="center" wrapText="1"/>
    </xf>
    <xf borderId="1" fillId="3" fontId="1" numFmtId="169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readingOrder="0" shrinkToFit="0" vertical="center" wrapText="1"/>
    </xf>
    <xf borderId="11" fillId="7" fontId="6" numFmtId="0" xfId="0" applyAlignment="1" applyBorder="1" applyFont="1">
      <alignment horizontal="center" readingOrder="0" shrinkToFit="0" vertical="center" wrapText="1"/>
    </xf>
    <xf borderId="17" fillId="6" fontId="5" numFmtId="165" xfId="0" applyAlignment="1" applyBorder="1" applyFont="1" applyNumberFormat="1">
      <alignment horizontal="center" readingOrder="0" shrinkToFit="1" vertical="center" wrapText="0"/>
    </xf>
    <xf borderId="20" fillId="7" fontId="6" numFmtId="165" xfId="0" applyAlignment="1" applyBorder="1" applyFont="1" applyNumberFormat="1">
      <alignment horizontal="center" readingOrder="0" shrinkToFit="1" vertical="center" wrapText="0"/>
    </xf>
    <xf borderId="1" fillId="3" fontId="11" numFmtId="166" xfId="0" applyAlignment="1" applyBorder="1" applyFont="1" applyNumberFormat="1">
      <alignment horizontal="left" readingOrder="0" shrinkToFit="0" vertical="center" wrapText="1"/>
    </xf>
    <xf borderId="2" fillId="8" fontId="5" numFmtId="168" xfId="0" applyAlignment="1" applyBorder="1" applyFont="1" applyNumberFormat="1">
      <alignment horizontal="center" readingOrder="0" shrinkToFit="0" vertical="center" wrapText="1"/>
    </xf>
    <xf borderId="29" fillId="8" fontId="5" numFmtId="168" xfId="0" applyAlignment="1" applyBorder="1" applyFont="1" applyNumberFormat="1">
      <alignment horizontal="center" readingOrder="0" shrinkToFit="0" vertical="center" wrapText="1"/>
    </xf>
    <xf borderId="1" fillId="8" fontId="6" numFmtId="3" xfId="0" applyAlignment="1" applyBorder="1" applyFont="1" applyNumberFormat="1">
      <alignment horizontal="center" shrinkToFit="0" vertical="center" wrapText="1"/>
    </xf>
    <xf borderId="29" fillId="8" fontId="6" numFmtId="0" xfId="0" applyAlignment="1" applyBorder="1" applyFont="1">
      <alignment horizontal="center" readingOrder="0" shrinkToFit="0" vertical="center" wrapText="1"/>
    </xf>
    <xf borderId="1" fillId="8" fontId="6" numFmtId="168" xfId="0" applyAlignment="1" applyBorder="1" applyFont="1" applyNumberFormat="1">
      <alignment horizontal="center" readingOrder="0" shrinkToFit="0" vertical="center" wrapText="1"/>
    </xf>
    <xf borderId="29" fillId="3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29" fillId="3" fontId="6" numFmtId="0" xfId="0" applyAlignment="1" applyBorder="1" applyFont="1">
      <alignment horizontal="center" readingOrder="0" shrinkToFit="0" vertical="center" wrapText="1"/>
    </xf>
    <xf borderId="1" fillId="3" fontId="6" numFmtId="168" xfId="0" applyAlignment="1" applyBorder="1" applyFont="1" applyNumberFormat="1">
      <alignment horizontal="center" readingOrder="0" shrinkToFit="0" vertical="center" wrapText="1"/>
    </xf>
    <xf borderId="29" fillId="3" fontId="5" numFmtId="168" xfId="0" applyAlignment="1" applyBorder="1" applyFont="1" applyNumberForma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29" fillId="3" fontId="6" numFmtId="168" xfId="0" applyAlignment="1" applyBorder="1" applyFont="1" applyNumberForma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29" fillId="8" fontId="6" numFmtId="0" xfId="0" applyAlignment="1" applyBorder="1" applyFont="1">
      <alignment horizontal="center" shrinkToFit="0" vertical="center" wrapText="1"/>
    </xf>
    <xf borderId="1" fillId="3" fontId="6" numFmtId="3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37" fillId="3" fontId="1" numFmtId="0" xfId="0" applyAlignment="1" applyBorder="1" applyFont="1">
      <alignment horizontal="left" vertical="center"/>
    </xf>
    <xf borderId="29" fillId="3" fontId="5" numFmtId="0" xfId="0" applyAlignment="1" applyBorder="1" applyFont="1">
      <alignment horizontal="center" shrinkToFit="0" vertical="center" wrapText="1"/>
    </xf>
    <xf borderId="29" fillId="3" fontId="6" numFmtId="0" xfId="0" applyAlignment="1" applyBorder="1" applyFont="1">
      <alignment horizontal="center" shrinkToFit="0" vertical="center" wrapText="1"/>
    </xf>
    <xf borderId="29" fillId="3" fontId="5" numFmtId="168" xfId="0" applyAlignment="1" applyBorder="1" applyFont="1" applyNumberFormat="1">
      <alignment horizontal="center" shrinkToFit="0" vertical="center" wrapText="1"/>
    </xf>
    <xf borderId="22" fillId="9" fontId="5" numFmtId="0" xfId="0" applyAlignment="1" applyBorder="1" applyFont="1">
      <alignment horizontal="center" readingOrder="0" shrinkToFit="0" vertical="center" wrapText="1"/>
    </xf>
    <xf borderId="1" fillId="9" fontId="5" numFmtId="165" xfId="0" applyAlignment="1" applyBorder="1" applyFont="1" applyNumberFormat="1">
      <alignment horizontal="center" readingOrder="0" shrinkToFit="1" vertical="center" wrapText="0"/>
    </xf>
    <xf borderId="29" fillId="3" fontId="6" numFmtId="168" xfId="0" applyAlignment="1" applyBorder="1" applyFont="1" applyNumberFormat="1">
      <alignment horizontal="center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/>
    </xf>
    <xf borderId="29" fillId="8" fontId="5" numFmtId="0" xfId="0" applyAlignment="1" applyBorder="1" applyFont="1">
      <alignment horizontal="center" readingOrder="0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F7F7"/>
          <bgColor rgb="FFF7F7F7"/>
        </patternFill>
      </fill>
      <border/>
    </dxf>
    <dxf>
      <font/>
      <fill>
        <patternFill patternType="none"/>
      </fill>
      <border/>
    </dxf>
  </dxfs>
  <tableStyles count="10">
    <tableStyle count="2" pivot="0" name="2025年12月收支财务报表-style">
      <tableStyleElement dxfId="1" type="firstRowStripe"/>
      <tableStyleElement dxfId="2" type="secondRowStripe"/>
    </tableStyle>
    <tableStyle count="2" pivot="0" name="2025年12月收支财务报表-style 2">
      <tableStyleElement dxfId="2" type="firstRowStripe"/>
      <tableStyleElement dxfId="1" type="secondRowStripe"/>
    </tableStyle>
    <tableStyle count="2" pivot="0" name="2025年12月收支财务报表-style 3">
      <tableStyleElement dxfId="2" type="firstRowStripe"/>
      <tableStyleElement dxfId="1" type="secondRowStripe"/>
    </tableStyle>
    <tableStyle count="2" pivot="0" name="2025年12月收支财务报表-style 4">
      <tableStyleElement dxfId="2" type="firstRowStripe"/>
      <tableStyleElement dxfId="1" type="secondRowStripe"/>
    </tableStyle>
    <tableStyle count="2" pivot="0" name="2025年11月收支财务报表-style">
      <tableStyleElement dxfId="2" type="firstRowStripe"/>
      <tableStyleElement dxfId="1" type="secondRowStripe"/>
    </tableStyle>
    <tableStyle count="2" pivot="0" name="2025年11月收支财务报表-style 2">
      <tableStyleElement dxfId="2" type="firstRowStripe"/>
      <tableStyleElement dxfId="1" type="secondRowStripe"/>
    </tableStyle>
    <tableStyle count="2" pivot="0" name="2025年11月收支财务报表-style 3">
      <tableStyleElement dxfId="2" type="firstRowStripe"/>
      <tableStyleElement dxfId="1" type="secondRowStripe"/>
    </tableStyle>
    <tableStyle count="2" pivot="0" name="2025年11月收支财务报表-style 4">
      <tableStyleElement dxfId="1" type="firstRowStripe"/>
      <tableStyleElement dxfId="2" type="secondRowStripe"/>
    </tableStyle>
    <tableStyle count="2" pivot="0" name="2025年11月收支财务报表-style 5">
      <tableStyleElement dxfId="2" type="firstRowStripe"/>
      <tableStyleElement dxfId="1" type="secondRowStripe"/>
    </tableStyle>
    <tableStyle count="2" pivot="0" name="2025年7月收支财务报表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13.jpg"/><Relationship Id="rId11" Type="http://schemas.openxmlformats.org/officeDocument/2006/relationships/image" Target="../media/image2.jpg"/><Relationship Id="rId10" Type="http://schemas.openxmlformats.org/officeDocument/2006/relationships/image" Target="../media/image6.jpg"/><Relationship Id="rId9" Type="http://schemas.openxmlformats.org/officeDocument/2006/relationships/image" Target="../media/image10.jpg"/><Relationship Id="rId5" Type="http://schemas.openxmlformats.org/officeDocument/2006/relationships/image" Target="../media/image9.jpg"/><Relationship Id="rId6" Type="http://schemas.openxmlformats.org/officeDocument/2006/relationships/image" Target="../media/image8.jpg"/><Relationship Id="rId7" Type="http://schemas.openxmlformats.org/officeDocument/2006/relationships/image" Target="../media/image5.jpg"/><Relationship Id="rId8" Type="http://schemas.openxmlformats.org/officeDocument/2006/relationships/image" Target="../media/image1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0.jpg"/><Relationship Id="rId3" Type="http://schemas.openxmlformats.org/officeDocument/2006/relationships/image" Target="../media/image19.jpg"/><Relationship Id="rId4" Type="http://schemas.openxmlformats.org/officeDocument/2006/relationships/image" Target="../media/image15.jpg"/><Relationship Id="rId9" Type="http://schemas.openxmlformats.org/officeDocument/2006/relationships/image" Target="../media/image18.jpg"/><Relationship Id="rId5" Type="http://schemas.openxmlformats.org/officeDocument/2006/relationships/image" Target="../media/image16.jpg"/><Relationship Id="rId6" Type="http://schemas.openxmlformats.org/officeDocument/2006/relationships/image" Target="../media/image12.jpg"/><Relationship Id="rId7" Type="http://schemas.openxmlformats.org/officeDocument/2006/relationships/image" Target="../media/image14.jpg"/><Relationship Id="rId8" Type="http://schemas.openxmlformats.org/officeDocument/2006/relationships/image" Target="../media/image17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35</xdr:row>
      <xdr:rowOff>0</xdr:rowOff>
    </xdr:from>
    <xdr:ext cx="161925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7</xdr:row>
      <xdr:rowOff>0</xdr:rowOff>
    </xdr:from>
    <xdr:ext cx="161925" cy="3524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161925" cy="3524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161925" cy="3524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161925" cy="352425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</xdr:row>
      <xdr:rowOff>0</xdr:rowOff>
    </xdr:from>
    <xdr:ext cx="161925" cy="352425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</xdr:row>
      <xdr:rowOff>0</xdr:rowOff>
    </xdr:from>
    <xdr:ext cx="161925" cy="35242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47</xdr:row>
      <xdr:rowOff>0</xdr:rowOff>
    </xdr:from>
    <xdr:ext cx="161925" cy="35242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66</xdr:row>
      <xdr:rowOff>0</xdr:rowOff>
    </xdr:from>
    <xdr:ext cx="161925" cy="352425"/>
    <xdr:pic>
      <xdr:nvPicPr>
        <xdr:cNvPr id="0" name="image1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72</xdr:row>
      <xdr:rowOff>0</xdr:rowOff>
    </xdr:from>
    <xdr:ext cx="161925" cy="35242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73</xdr:row>
      <xdr:rowOff>0</xdr:rowOff>
    </xdr:from>
    <xdr:ext cx="161925" cy="352425"/>
    <xdr:pic>
      <xdr:nvPicPr>
        <xdr:cNvPr id="0" name="image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74</xdr:row>
      <xdr:rowOff>0</xdr:rowOff>
    </xdr:from>
    <xdr:ext cx="161925" cy="352425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59</xdr:row>
      <xdr:rowOff>0</xdr:rowOff>
    </xdr:from>
    <xdr:ext cx="161925" cy="35242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60</xdr:row>
      <xdr:rowOff>0</xdr:rowOff>
    </xdr:from>
    <xdr:ext cx="161925" cy="352425"/>
    <xdr:pic>
      <xdr:nvPicPr>
        <xdr:cNvPr id="0" name="image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67</xdr:row>
      <xdr:rowOff>0</xdr:rowOff>
    </xdr:from>
    <xdr:ext cx="161925" cy="352425"/>
    <xdr:pic>
      <xdr:nvPicPr>
        <xdr:cNvPr id="0" name="image1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69</xdr:row>
      <xdr:rowOff>0</xdr:rowOff>
    </xdr:from>
    <xdr:ext cx="161925" cy="352425"/>
    <xdr:pic>
      <xdr:nvPicPr>
        <xdr:cNvPr id="0" name="image1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70</xdr:row>
      <xdr:rowOff>0</xdr:rowOff>
    </xdr:from>
    <xdr:ext cx="161925" cy="3524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71</xdr:row>
      <xdr:rowOff>0</xdr:rowOff>
    </xdr:from>
    <xdr:ext cx="161925" cy="352425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93</xdr:row>
      <xdr:rowOff>0</xdr:rowOff>
    </xdr:from>
    <xdr:ext cx="161925" cy="352425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111</xdr:row>
      <xdr:rowOff>0</xdr:rowOff>
    </xdr:from>
    <xdr:ext cx="161925" cy="352425"/>
    <xdr:pic>
      <xdr:nvPicPr>
        <xdr:cNvPr id="0" name="image1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117</xdr:row>
      <xdr:rowOff>0</xdr:rowOff>
    </xdr:from>
    <xdr:ext cx="161925" cy="352425"/>
    <xdr:pic>
      <xdr:nvPicPr>
        <xdr:cNvPr id="0" name="image1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304800</xdr:colOff>
      <xdr:row>63</xdr:row>
      <xdr:rowOff>19050</xdr:rowOff>
    </xdr:from>
    <xdr:ext cx="4752975" cy="3552825"/>
    <xdr:pic>
      <xdr:nvPicPr>
        <xdr:cNvPr id="0" name="image22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N8:N26" displayName="Table_1" name="Table_1" id="1">
  <tableColumns count="1">
    <tableColumn name="Column1" id="1"/>
  </tableColumns>
  <tableStyleInfo name="2025年12月收支财务报表-style" showColumnStripes="0" showFirstColumn="1" showLastColumn="1" showRowStripes="1"/>
</table>
</file>

<file path=xl/tables/table2.xml><?xml version="1.0" encoding="utf-8"?>
<table xmlns="http://schemas.openxmlformats.org/spreadsheetml/2006/main" headerRowCount="0" ref="N59:P72" displayName="Table_2" name="Table_2" id="2">
  <tableColumns count="3">
    <tableColumn name="Column1" id="1"/>
    <tableColumn name="Column2" id="2"/>
    <tableColumn name="Column3" id="3"/>
  </tableColumns>
  <tableStyleInfo name="2025年12月收支财务报表-style 2" showColumnStripes="0" showFirstColumn="1" showLastColumn="1" showRowStripes="1"/>
</table>
</file>

<file path=xl/tables/table3.xml><?xml version="1.0" encoding="utf-8"?>
<table xmlns="http://schemas.openxmlformats.org/spreadsheetml/2006/main" headerRowCount="0" ref="N73:N110" displayName="Table_3" name="Table_3" id="3">
  <tableColumns count="1">
    <tableColumn name="Column1" id="1"/>
  </tableColumns>
  <tableStyleInfo name="2025年12月收支财务报表-style 3" showColumnStripes="0" showFirstColumn="1" showLastColumn="1" showRowStripes="1"/>
</table>
</file>

<file path=xl/tables/table4.xml><?xml version="1.0" encoding="utf-8"?>
<table xmlns="http://schemas.openxmlformats.org/spreadsheetml/2006/main" headerRowCount="0" ref="N155:O160" displayName="Table_4" name="Table_4" id="4">
  <tableColumns count="2">
    <tableColumn name="Column1" id="1"/>
    <tableColumn name="Column2" id="2"/>
  </tableColumns>
  <tableStyleInfo name="2025年12月收支财务报表-style 4" showColumnStripes="0" showFirstColumn="1" showLastColumn="1" showRowStripes="1"/>
</table>
</file>

<file path=xl/tables/table5.xml><?xml version="1.0" encoding="utf-8"?>
<table xmlns="http://schemas.openxmlformats.org/spreadsheetml/2006/main" headerRowCount="0" ref="N27:N53" displayName="Table_5" name="Table_5" id="5">
  <tableColumns count="1">
    <tableColumn name="Column1" id="1"/>
  </tableColumns>
  <tableStyleInfo name="2025年11月收支财务报表-style" showColumnStripes="0" showFirstColumn="1" showLastColumn="1" showRowStripes="1"/>
</table>
</file>

<file path=xl/tables/table6.xml><?xml version="1.0" encoding="utf-8"?>
<table xmlns="http://schemas.openxmlformats.org/spreadsheetml/2006/main" headerRowCount="0" ref="N59:N72" displayName="Table_6" name="Table_6" id="6">
  <tableColumns count="1">
    <tableColumn name="Column1" id="1"/>
  </tableColumns>
  <tableStyleInfo name="2025年11月收支财务报表-style 2" showColumnStripes="0" showFirstColumn="1" showLastColumn="1" showRowStripes="1"/>
</table>
</file>

<file path=xl/tables/table7.xml><?xml version="1.0" encoding="utf-8"?>
<table xmlns="http://schemas.openxmlformats.org/spreadsheetml/2006/main" headerRowCount="0" ref="N73:N102" displayName="Table_7" name="Table_7" id="7">
  <tableColumns count="1">
    <tableColumn name="Column1" id="1"/>
  </tableColumns>
  <tableStyleInfo name="2025年11月收支财务报表-style 3" showColumnStripes="0" showFirstColumn="1" showLastColumn="1" showRowStripes="1"/>
</table>
</file>

<file path=xl/tables/table8.xml><?xml version="1.0" encoding="utf-8"?>
<table xmlns="http://schemas.openxmlformats.org/spreadsheetml/2006/main" headerRowCount="0" ref="N112:N154" displayName="Table_8" name="Table_8" id="8">
  <tableColumns count="1">
    <tableColumn name="Column1" id="1"/>
  </tableColumns>
  <tableStyleInfo name="2025年11月收支财务报表-style 4" showColumnStripes="0" showFirstColumn="1" showLastColumn="1" showRowStripes="1"/>
</table>
</file>

<file path=xl/tables/table9.xml><?xml version="1.0" encoding="utf-8"?>
<table xmlns="http://schemas.openxmlformats.org/spreadsheetml/2006/main" headerRowCount="0" ref="N155:O160" displayName="Table_9" name="Table_9" id="9">
  <tableColumns count="2">
    <tableColumn name="Column1" id="1"/>
    <tableColumn name="Column2" id="2"/>
  </tableColumns>
  <tableStyleInfo name="2025年11月收支财务报表-style 5" showColumnStripes="0" showFirstColumn="1" showLastColumn="1" showRowStripes="1"/>
</table>
</file>

<file path=xl/tables/table10.xml><?xml version="1.0" encoding="utf-8"?>
<table xmlns="http://schemas.openxmlformats.org/spreadsheetml/2006/main" headerRowCount="0" ref="N36:N45" displayName="Table_10" name="Table_10" id="10">
  <tableColumns count="1">
    <tableColumn name="Column1" id="1"/>
  </tableColumns>
  <tableStyleInfo name="2025年7月收支财务报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0.38"/>
    <col customWidth="1" min="22" max="23" width="6.88"/>
    <col customWidth="1" min="24" max="24" width="6.5"/>
    <col customWidth="1" min="25" max="28" width="6.88"/>
  </cols>
  <sheetData>
    <row r="1" ht="48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</v>
      </c>
      <c r="D4" s="21"/>
      <c r="E4" s="20"/>
      <c r="F4" s="21"/>
      <c r="G4" s="23" t="s">
        <v>3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5179.6729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25910.27</v>
      </c>
      <c r="T6" s="52" t="s">
        <v>14</v>
      </c>
      <c r="U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15</v>
      </c>
      <c r="D7" s="54" t="s">
        <v>16</v>
      </c>
      <c r="E7" s="29"/>
      <c r="F7" s="30"/>
      <c r="G7" s="55">
        <v>1.0</v>
      </c>
      <c r="H7" s="56">
        <v>45992.0</v>
      </c>
      <c r="I7" s="57" t="s">
        <v>17</v>
      </c>
      <c r="J7" s="58">
        <f>'2025年11月收支财务报表'!C25</f>
        <v>26016.4956</v>
      </c>
      <c r="K7" s="59"/>
      <c r="L7" s="60"/>
      <c r="M7" s="61"/>
      <c r="N7" s="62"/>
      <c r="O7" s="63"/>
      <c r="P7" s="64"/>
      <c r="R7" s="39"/>
      <c r="S7" s="25">
        <f>SUMIF(M:M,"fb三不限10➕1Nancy",N:N)</f>
        <v>2780.13</v>
      </c>
      <c r="T7" s="52" t="s">
        <v>18</v>
      </c>
      <c r="U7" s="40"/>
      <c r="V7" s="25">
        <f>SUMIF(M:M,"wade shen 美金谷歌户25+5%",N:N)</f>
        <v>0</v>
      </c>
      <c r="W7" s="52" t="s">
        <v>19</v>
      </c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45992.0</v>
      </c>
      <c r="I8" s="68"/>
      <c r="J8" s="69"/>
      <c r="K8" s="70"/>
      <c r="L8" s="71"/>
      <c r="M8" s="72" t="s">
        <v>20</v>
      </c>
      <c r="N8" s="73">
        <v>50.0</v>
      </c>
      <c r="O8" s="74" t="s">
        <v>21</v>
      </c>
      <c r="P8" s="75">
        <v>0.4409722222222222</v>
      </c>
      <c r="R8" s="39"/>
      <c r="S8" s="25">
        <f>SUMIF(M:M,"B哥&amp;谷歌充值9➕1Nancy",N:N)</f>
        <v>320</v>
      </c>
      <c r="T8" s="52" t="s">
        <v>22</v>
      </c>
      <c r="U8" s="76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220076.6266</v>
      </c>
      <c r="D9" s="30"/>
      <c r="E9" s="29"/>
      <c r="F9" s="30"/>
      <c r="G9" s="66">
        <v>3.0</v>
      </c>
      <c r="H9" s="67">
        <v>45992.0</v>
      </c>
      <c r="I9" s="68"/>
      <c r="J9" s="69"/>
      <c r="K9" s="70"/>
      <c r="L9" s="71"/>
      <c r="M9" s="72" t="s">
        <v>20</v>
      </c>
      <c r="N9" s="73">
        <v>14.24</v>
      </c>
      <c r="O9" s="74" t="s">
        <v>23</v>
      </c>
      <c r="P9" s="75">
        <v>0.4701388888888889</v>
      </c>
      <c r="R9" s="39"/>
      <c r="S9" s="25">
        <f>SUMIF(M:M,"SZ_TK下户Chris Ryan",N:N)</f>
        <v>474.28</v>
      </c>
      <c r="T9" s="52" t="s">
        <v>24</v>
      </c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45992.0</v>
      </c>
      <c r="I10" s="68" t="s">
        <v>25</v>
      </c>
      <c r="J10" s="69">
        <v>4000.0</v>
      </c>
      <c r="K10" s="70"/>
      <c r="L10" s="71">
        <v>0.6756944444444445</v>
      </c>
      <c r="M10" s="72" t="s">
        <v>20</v>
      </c>
      <c r="N10" s="73">
        <v>288.86</v>
      </c>
      <c r="O10" s="74" t="s">
        <v>26</v>
      </c>
      <c r="P10" s="75">
        <v>0.45694444444444443</v>
      </c>
      <c r="R10" s="39"/>
      <c r="S10" s="25">
        <f>SUMIF(M:M,"印度企业户 欧洲美金户下户",N:N)</f>
        <v>1140</v>
      </c>
      <c r="T10" s="52" t="s">
        <v>27</v>
      </c>
      <c r="V10" s="25">
        <f>SUMIF(M:M,"GT&amp;SHEN 欧洲户新",N:N)</f>
        <v>0</v>
      </c>
      <c r="W10" s="52" t="s">
        <v>28</v>
      </c>
      <c r="Y10" s="30"/>
      <c r="Z10" s="30"/>
      <c r="AA10" s="30"/>
      <c r="AB10" s="30"/>
    </row>
    <row r="11" ht="27.75" customHeight="1">
      <c r="A11" s="29"/>
      <c r="B11" s="30"/>
      <c r="C11" s="79">
        <f>C23</f>
        <v>198049.1904</v>
      </c>
      <c r="D11" s="30"/>
      <c r="E11" s="29"/>
      <c r="F11" s="30"/>
      <c r="G11" s="66">
        <v>5.0</v>
      </c>
      <c r="H11" s="67">
        <v>45992.0</v>
      </c>
      <c r="I11" s="68"/>
      <c r="J11" s="69"/>
      <c r="K11" s="70"/>
      <c r="L11" s="71"/>
      <c r="M11" s="80" t="s">
        <v>27</v>
      </c>
      <c r="N11" s="73">
        <v>1140.0</v>
      </c>
      <c r="O11" s="74" t="s">
        <v>29</v>
      </c>
      <c r="P11" s="75">
        <v>0.46111111111111114</v>
      </c>
      <c r="R11" s="39"/>
      <c r="S11" s="25">
        <f>SUMIF(M:M,"Y-5208 FB欧/美户",N:N)</f>
        <v>4382.82</v>
      </c>
      <c r="T11" s="52" t="s">
        <v>30</v>
      </c>
      <c r="V11" s="25">
        <f>SUMIF(M:M,"GT&amp;papa 二不限",N:N)</f>
        <v>0</v>
      </c>
      <c r="W11" s="52" t="s">
        <v>31</v>
      </c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45992.0</v>
      </c>
      <c r="I12" s="68"/>
      <c r="J12" s="69"/>
      <c r="K12" s="70"/>
      <c r="L12" s="71"/>
      <c r="M12" s="80" t="s">
        <v>18</v>
      </c>
      <c r="N12" s="73">
        <v>669.75</v>
      </c>
      <c r="O12" s="74" t="s">
        <v>33</v>
      </c>
      <c r="P12" s="75">
        <v>5.060416666666667</v>
      </c>
      <c r="R12" s="39"/>
      <c r="S12" s="25">
        <f>SUMIF(M:M,"谷歌共享户/老户",N:N)</f>
        <v>1200</v>
      </c>
      <c r="T12" s="52" t="s">
        <v>34</v>
      </c>
      <c r="U12" s="40"/>
      <c r="Y12" s="30"/>
      <c r="Z12" s="30"/>
      <c r="AA12" s="30"/>
      <c r="AB12" s="30"/>
    </row>
    <row r="13" ht="27.75" customHeight="1">
      <c r="A13" s="29"/>
      <c r="B13" s="30"/>
      <c r="C13" s="82">
        <f>C9-C11</f>
        <v>22027.4362</v>
      </c>
      <c r="D13" s="30"/>
      <c r="E13" s="29"/>
      <c r="F13" s="30"/>
      <c r="G13" s="66">
        <v>7.0</v>
      </c>
      <c r="H13" s="67">
        <v>45993.0</v>
      </c>
      <c r="I13" s="68"/>
      <c r="J13" s="69"/>
      <c r="K13" s="70"/>
      <c r="L13" s="71"/>
      <c r="M13" s="80" t="s">
        <v>24</v>
      </c>
      <c r="N13" s="73">
        <v>474.28</v>
      </c>
      <c r="O13" s="74" t="s">
        <v>35</v>
      </c>
      <c r="P13" s="75">
        <v>0.94375</v>
      </c>
      <c r="R13" s="39"/>
      <c r="S13" s="25">
        <f>SUMIF(M:M,"路人互动",N:N)</f>
        <v>221.12</v>
      </c>
      <c r="T13" s="52" t="s">
        <v>36</v>
      </c>
      <c r="U13" s="76"/>
      <c r="V13" s="25">
        <f>SUMIF(M:M,"GT&amp;SHEN 谷歌原生账单户",N:N)</f>
        <v>0</v>
      </c>
      <c r="W13" s="52" t="s">
        <v>37</v>
      </c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45994.0</v>
      </c>
      <c r="I14" s="84"/>
      <c r="J14" s="17"/>
      <c r="K14" s="85"/>
      <c r="L14" s="86"/>
      <c r="M14" s="72" t="s">
        <v>20</v>
      </c>
      <c r="N14" s="73">
        <v>54.3</v>
      </c>
      <c r="O14" s="74" t="s">
        <v>38</v>
      </c>
      <c r="P14" s="75">
        <v>0.48055555555555557</v>
      </c>
      <c r="R14" s="39"/>
      <c r="S14" s="25">
        <f>SUMIF(M:M,"志诚三不限",N:N)</f>
        <v>3679.96</v>
      </c>
      <c r="T14" s="52" t="s">
        <v>39</v>
      </c>
      <c r="U14" s="76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45994.0</v>
      </c>
      <c r="I15" s="68"/>
      <c r="J15" s="69"/>
      <c r="K15" s="87"/>
      <c r="L15" s="88"/>
      <c r="M15" s="72" t="s">
        <v>14</v>
      </c>
      <c r="N15" s="73">
        <v>580.6</v>
      </c>
      <c r="O15" s="74" t="s">
        <v>41</v>
      </c>
      <c r="P15" s="75">
        <v>0.59375</v>
      </c>
      <c r="R15" s="39"/>
      <c r="S15" s="25">
        <f>SUMIF(M:M,"路人互动系统",N:N)</f>
        <v>643.86</v>
      </c>
      <c r="T15" s="52" t="s">
        <v>42</v>
      </c>
      <c r="V15" s="25">
        <f>SUMIF(M:M,"启航",N:N)</f>
        <v>0</v>
      </c>
      <c r="W15" s="52" t="s">
        <v>43</v>
      </c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45994.0</v>
      </c>
      <c r="I16" s="84"/>
      <c r="J16" s="17"/>
      <c r="K16" s="85"/>
      <c r="L16" s="86"/>
      <c r="M16" s="72" t="s">
        <v>20</v>
      </c>
      <c r="N16" s="90">
        <v>225.0</v>
      </c>
      <c r="O16" s="74" t="s">
        <v>45</v>
      </c>
      <c r="P16" s="75">
        <v>0.5951388888888889</v>
      </c>
      <c r="R16" s="39"/>
      <c r="S16" s="25">
        <f>SUMIF(M:M,"GT&amp;papa欧",N:N)</f>
        <v>552.84</v>
      </c>
      <c r="T16" s="52" t="s">
        <v>46</v>
      </c>
      <c r="U16" s="40"/>
      <c r="V16" s="25">
        <f>SUMIF(M:M,"印度户印尼企业户",N:N)</f>
        <v>0</v>
      </c>
      <c r="W16" s="52" t="s">
        <v>47</v>
      </c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45994.0</v>
      </c>
      <c r="I17" s="68"/>
      <c r="J17" s="69"/>
      <c r="K17" s="70"/>
      <c r="L17" s="71"/>
      <c r="M17" s="72" t="s">
        <v>30</v>
      </c>
      <c r="N17" s="73">
        <v>320.04</v>
      </c>
      <c r="O17" s="74" t="s">
        <v>48</v>
      </c>
      <c r="P17" s="75">
        <v>0.6166666666666667</v>
      </c>
      <c r="R17" s="39"/>
      <c r="S17" s="25">
        <f>SUMIF(M:M,"星链-AdNova",N:N)</f>
        <v>5629.83</v>
      </c>
      <c r="T17" s="52" t="s">
        <v>49</v>
      </c>
      <c r="U17" s="40"/>
      <c r="V17" s="25">
        <f>SUMIF(M:M,"海总新渠道",N:N)</f>
        <v>0</v>
      </c>
      <c r="W17" s="52" t="s">
        <v>50</v>
      </c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45994.0</v>
      </c>
      <c r="I18" s="68"/>
      <c r="J18" s="69"/>
      <c r="K18" s="92"/>
      <c r="L18" s="88"/>
      <c r="M18" s="80" t="s">
        <v>34</v>
      </c>
      <c r="N18" s="73">
        <v>100.0</v>
      </c>
      <c r="O18" s="74" t="s">
        <v>52</v>
      </c>
      <c r="P18" s="75">
        <v>0.6826388888888889</v>
      </c>
      <c r="R18" s="39"/>
      <c r="S18" s="25">
        <f>SUMIF(M:M,"大鱼速汇",N:N)</f>
        <v>1010</v>
      </c>
      <c r="T18" s="52" t="s">
        <v>53</v>
      </c>
      <c r="V18" s="25">
        <f>SUMIF(M:M,"GT&amp;海总 欧洲金融户",N:N)</f>
        <v>0</v>
      </c>
      <c r="W18" s="52" t="s">
        <v>54</v>
      </c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45994.0</v>
      </c>
      <c r="I19" s="68"/>
      <c r="J19" s="69"/>
      <c r="K19" s="70"/>
      <c r="L19" s="71"/>
      <c r="M19" s="72" t="s">
        <v>30</v>
      </c>
      <c r="N19" s="73">
        <v>2775.0</v>
      </c>
      <c r="O19" s="74" t="s">
        <v>55</v>
      </c>
      <c r="P19" s="75">
        <v>0.7569444444444444</v>
      </c>
      <c r="R19" s="39"/>
      <c r="S19" s="25">
        <f>SUMIF(M:M,"VCC-新系统",N:N)</f>
        <v>4444</v>
      </c>
      <c r="T19" s="52" t="s">
        <v>56</v>
      </c>
      <c r="V19" s="25">
        <f>SUMIF(M:M,"海总-黑泽",N:N)</f>
        <v>0</v>
      </c>
      <c r="W19" s="52" t="s">
        <v>57</v>
      </c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45994.0</v>
      </c>
      <c r="I20" s="68"/>
      <c r="J20" s="69"/>
      <c r="K20" s="70"/>
      <c r="L20" s="88"/>
      <c r="M20" s="72" t="s">
        <v>42</v>
      </c>
      <c r="N20" s="73">
        <v>107.68</v>
      </c>
      <c r="O20" s="74" t="s">
        <v>58</v>
      </c>
      <c r="P20" s="75">
        <v>0.9201388888888888</v>
      </c>
      <c r="R20" s="39"/>
      <c r="S20" s="25">
        <f>SUMIF(M:M,"谷歌-饭团",N:N)</f>
        <v>2260.2375</v>
      </c>
      <c r="T20" s="52" t="s">
        <v>59</v>
      </c>
    </row>
    <row r="21" ht="27.75" customHeight="1">
      <c r="A21" s="29"/>
      <c r="B21" s="30"/>
      <c r="C21" s="77">
        <f>SUMIFS(J:J,H:H,"&gt;="&amp;$C$17,H:H,"&lt;="&amp;$C$19)</f>
        <v>220076.6266</v>
      </c>
      <c r="D21" s="30"/>
      <c r="E21" s="29"/>
      <c r="F21" s="30"/>
      <c r="G21" s="66">
        <v>15.0</v>
      </c>
      <c r="H21" s="67">
        <v>45995.0</v>
      </c>
      <c r="I21" s="68"/>
      <c r="J21" s="69"/>
      <c r="K21" s="70"/>
      <c r="L21" s="71"/>
      <c r="M21" s="72" t="s">
        <v>20</v>
      </c>
      <c r="N21" s="73">
        <v>50.0</v>
      </c>
      <c r="O21" s="74" t="s">
        <v>60</v>
      </c>
      <c r="P21" s="75">
        <v>0.6861111111111111</v>
      </c>
      <c r="R21" s="39"/>
      <c r="S21" s="25">
        <f>SUMIF(M:M,"风口猪充值广告费",N:N)</f>
        <v>4687.84</v>
      </c>
      <c r="T21" s="52" t="s">
        <v>61</v>
      </c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45995.0</v>
      </c>
      <c r="I22" s="68"/>
      <c r="J22" s="69"/>
      <c r="K22" s="70"/>
      <c r="L22" s="71"/>
      <c r="M22" s="80" t="s">
        <v>39</v>
      </c>
      <c r="N22" s="73">
        <v>1279.57</v>
      </c>
      <c r="O22" s="74" t="s">
        <v>62</v>
      </c>
      <c r="P22" s="75">
        <v>0.7916666666666666</v>
      </c>
      <c r="R22" s="39"/>
      <c r="S22" s="25">
        <f>SUMIF(M:M,"Anthony - FKZ - 6,5%",N:N)</f>
        <v>213</v>
      </c>
      <c r="T22" s="52" t="s">
        <v>63</v>
      </c>
      <c r="V22" s="25">
        <f>SUMIF(M:M,"TK下户hailey",N:N)</f>
        <v>0</v>
      </c>
      <c r="W22" s="52" t="s">
        <v>64</v>
      </c>
    </row>
    <row r="23" ht="27.75" customHeight="1">
      <c r="A23" s="29"/>
      <c r="B23" s="30"/>
      <c r="C23" s="79">
        <f>SUMIFS(N:N,H:H,"&gt;="&amp;$C$17,H:H,"&lt;="&amp;$C$19)</f>
        <v>198049.1904</v>
      </c>
      <c r="D23" s="30"/>
      <c r="E23" s="29"/>
      <c r="F23" s="30"/>
      <c r="G23" s="66">
        <v>17.0</v>
      </c>
      <c r="H23" s="67">
        <v>45995.0</v>
      </c>
      <c r="I23" s="68"/>
      <c r="J23" s="69"/>
      <c r="K23" s="93"/>
      <c r="L23" s="88"/>
      <c r="M23" s="80" t="s">
        <v>34</v>
      </c>
      <c r="N23" s="73">
        <v>1100.0</v>
      </c>
      <c r="O23" s="74" t="s">
        <v>65</v>
      </c>
      <c r="P23" s="94" t="s">
        <v>66</v>
      </c>
      <c r="R23" s="39"/>
      <c r="S23" s="25">
        <f>SUMIF(M:M,"Lolo - FKZ (~5% | dating)",N:N)</f>
        <v>105</v>
      </c>
      <c r="T23" s="52" t="s">
        <v>67</v>
      </c>
      <c r="U23" s="76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45995.0</v>
      </c>
      <c r="I24" s="68"/>
      <c r="J24" s="69"/>
      <c r="K24" s="70"/>
      <c r="L24" s="71"/>
      <c r="M24" s="80" t="s">
        <v>36</v>
      </c>
      <c r="N24" s="73">
        <v>221.12</v>
      </c>
      <c r="O24" s="74" t="s">
        <v>68</v>
      </c>
      <c r="P24" s="75">
        <v>0.8798611111111111</v>
      </c>
      <c r="Q24" s="95"/>
      <c r="R24" s="39"/>
      <c r="S24" s="25">
        <f>SUMIF(M:M,"十月二不限——（泰华）",N:N)</f>
        <v>396</v>
      </c>
      <c r="T24" s="52" t="s">
        <v>69</v>
      </c>
      <c r="V24" s="25">
        <f>SUMIF(M:M,"SZ-2_TK广告户-村长",N:N)</f>
        <v>0</v>
      </c>
      <c r="W24" s="52" t="s">
        <v>70</v>
      </c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22027.4362</v>
      </c>
      <c r="D25" s="30"/>
      <c r="E25" s="29"/>
      <c r="F25" s="30"/>
      <c r="G25" s="66">
        <v>19.0</v>
      </c>
      <c r="H25" s="67">
        <v>45996.0</v>
      </c>
      <c r="I25" s="68" t="s">
        <v>71</v>
      </c>
      <c r="J25" s="69">
        <v>2400.0</v>
      </c>
      <c r="K25" s="85"/>
      <c r="L25" s="71">
        <v>0.9569444444444445</v>
      </c>
      <c r="M25" s="72" t="s">
        <v>20</v>
      </c>
      <c r="N25" s="73">
        <v>255.1329</v>
      </c>
      <c r="O25" s="74" t="s">
        <v>72</v>
      </c>
      <c r="P25" s="75">
        <v>0.43194444444444446</v>
      </c>
      <c r="R25" s="39"/>
      <c r="S25" s="25">
        <f>SUMIF(M:M,"二不限企业户",N:N)</f>
        <v>483</v>
      </c>
      <c r="T25" s="52" t="s">
        <v>73</v>
      </c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45996.0</v>
      </c>
      <c r="I26" s="68"/>
      <c r="J26" s="69"/>
      <c r="K26" s="70"/>
      <c r="L26" s="88"/>
      <c r="M26" s="72" t="s">
        <v>18</v>
      </c>
      <c r="N26" s="73">
        <v>599.95</v>
      </c>
      <c r="O26" s="74" t="s">
        <v>74</v>
      </c>
      <c r="P26" s="75">
        <v>0.46875</v>
      </c>
      <c r="R26" s="39"/>
      <c r="S26" s="25">
        <f>SUMIF(M:M,"凤凰渠道-泰华",N:N)</f>
        <v>8226.19</v>
      </c>
      <c r="T26" s="52" t="s">
        <v>75</v>
      </c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45996.0</v>
      </c>
      <c r="I27" s="68"/>
      <c r="J27" s="69"/>
      <c r="K27" s="70"/>
      <c r="L27" s="71"/>
      <c r="M27" s="72" t="s">
        <v>18</v>
      </c>
      <c r="N27" s="90">
        <v>630.25</v>
      </c>
      <c r="O27" s="96" t="s">
        <v>76</v>
      </c>
      <c r="P27" s="97">
        <v>0.5770833333333333</v>
      </c>
      <c r="Q27" s="98"/>
      <c r="R27" s="39"/>
      <c r="S27" s="25">
        <f>SUMIF(M:M,"风口猪12月充值广告费",N:N)</f>
        <v>2167.81</v>
      </c>
      <c r="T27" s="52" t="s">
        <v>77</v>
      </c>
      <c r="U27" s="76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45996.0</v>
      </c>
      <c r="I28" s="68"/>
      <c r="J28" s="69"/>
      <c r="K28" s="70"/>
      <c r="L28" s="71"/>
      <c r="M28" s="72" t="s">
        <v>20</v>
      </c>
      <c r="N28" s="90">
        <v>14.0</v>
      </c>
      <c r="O28" s="96" t="s">
        <v>78</v>
      </c>
      <c r="P28" s="99">
        <v>0.7597222222222222</v>
      </c>
      <c r="Q28" s="100"/>
      <c r="R28" s="39"/>
      <c r="S28" s="25">
        <f>SUMIF(M:M,"流苏",N:N)</f>
        <v>54600</v>
      </c>
      <c r="T28" s="52" t="s">
        <v>79</v>
      </c>
      <c r="U28" s="76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45996.0</v>
      </c>
      <c r="I29" s="68"/>
      <c r="J29" s="69"/>
      <c r="K29" s="70"/>
      <c r="L29" s="71"/>
      <c r="M29" s="72" t="s">
        <v>20</v>
      </c>
      <c r="N29" s="90">
        <v>2277.23</v>
      </c>
      <c r="O29" s="96" t="s">
        <v>80</v>
      </c>
      <c r="P29" s="97">
        <v>0.7631944444444444</v>
      </c>
      <c r="Q29" s="98"/>
      <c r="R29" s="39"/>
      <c r="S29" s="25">
        <f>SUMIF(M:M,"岳总",N:N)</f>
        <v>23250</v>
      </c>
      <c r="T29" s="101" t="s">
        <v>81</v>
      </c>
      <c r="U29" s="7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45997.0</v>
      </c>
      <c r="I30" s="68"/>
      <c r="J30" s="69"/>
      <c r="K30" s="85"/>
      <c r="L30" s="88"/>
      <c r="M30" s="72" t="s">
        <v>46</v>
      </c>
      <c r="N30" s="90">
        <v>140.0</v>
      </c>
      <c r="O30" s="96" t="s">
        <v>82</v>
      </c>
      <c r="P30" s="97">
        <v>0.6027777777777777</v>
      </c>
      <c r="Q30" s="98"/>
      <c r="R30" s="39"/>
      <c r="S30" s="25">
        <f>SUMIF(M:M,"渠道106-本土fb🇯🇵",N:N)</f>
        <v>29160</v>
      </c>
      <c r="T30" s="52" t="s">
        <v>83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45997.0</v>
      </c>
      <c r="I31" s="68"/>
      <c r="J31" s="69"/>
      <c r="K31" s="70"/>
      <c r="L31" s="88"/>
      <c r="M31" s="72" t="s">
        <v>30</v>
      </c>
      <c r="N31" s="102">
        <v>737.78</v>
      </c>
      <c r="O31" s="96" t="s">
        <v>84</v>
      </c>
      <c r="P31" s="97">
        <v>0.6305555555555555</v>
      </c>
      <c r="R31" s="39"/>
      <c r="S31" s="25">
        <f>SUMIF(M:M,"华侨粉测试 ",N:N)</f>
        <v>2200</v>
      </c>
      <c r="T31" s="52" t="s">
        <v>85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45997.0</v>
      </c>
      <c r="I32" s="68"/>
      <c r="J32" s="69"/>
      <c r="K32" s="70"/>
      <c r="L32" s="88"/>
      <c r="M32" s="72" t="s">
        <v>49</v>
      </c>
      <c r="N32" s="102">
        <v>2166.93</v>
      </c>
      <c r="O32" s="96" t="s">
        <v>86</v>
      </c>
      <c r="P32" s="97">
        <v>0.6965277777777777</v>
      </c>
      <c r="R32" s="39"/>
      <c r="S32" s="25">
        <f>SUMIF(M:M,"印度资金测试",N:N)</f>
        <v>12405</v>
      </c>
      <c r="T32" s="52" t="s">
        <v>87</v>
      </c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45998.0</v>
      </c>
      <c r="I33" s="68" t="s">
        <v>25</v>
      </c>
      <c r="J33" s="69">
        <v>4000.0</v>
      </c>
      <c r="K33" s="70"/>
      <c r="L33" s="71">
        <v>0.8243055555555555</v>
      </c>
      <c r="M33" s="72"/>
      <c r="N33" s="102"/>
      <c r="O33" s="96"/>
      <c r="P33" s="97"/>
      <c r="Q33" s="98"/>
      <c r="R33" s="39"/>
      <c r="S33" s="25">
        <f>SUMIF(M:M,"官方授权户-15",N:N)</f>
        <v>326.33</v>
      </c>
      <c r="T33" s="52" t="s">
        <v>88</v>
      </c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45999.0</v>
      </c>
      <c r="I34" s="68"/>
      <c r="J34" s="69"/>
      <c r="K34" s="70"/>
      <c r="L34" s="71"/>
      <c r="M34" s="72" t="s">
        <v>53</v>
      </c>
      <c r="N34" s="102">
        <v>101.0</v>
      </c>
      <c r="O34" s="96" t="s">
        <v>89</v>
      </c>
      <c r="P34" s="97">
        <v>0.4423611111111111</v>
      </c>
      <c r="Q34" s="100"/>
      <c r="R34" s="39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45999.0</v>
      </c>
      <c r="I35" s="68" t="s">
        <v>87</v>
      </c>
      <c r="J35" s="69">
        <v>20000.0</v>
      </c>
      <c r="K35" s="70"/>
      <c r="L35" s="71">
        <v>0.6472222222222223</v>
      </c>
      <c r="M35" s="72" t="s">
        <v>59</v>
      </c>
      <c r="N35" s="102">
        <v>373.2375</v>
      </c>
      <c r="O35" s="96" t="s">
        <v>90</v>
      </c>
      <c r="P35" s="97">
        <v>0.6631944444444444</v>
      </c>
      <c r="R35" s="39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45999.0</v>
      </c>
      <c r="I36" s="68"/>
      <c r="J36" s="69"/>
      <c r="K36" s="70"/>
      <c r="L36" s="71"/>
      <c r="M36" s="72" t="s">
        <v>53</v>
      </c>
      <c r="N36" s="102">
        <v>101.0</v>
      </c>
      <c r="O36" s="96" t="s">
        <v>89</v>
      </c>
      <c r="P36" s="99">
        <v>0.6819444444444445</v>
      </c>
      <c r="R36" s="39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45999.0</v>
      </c>
      <c r="I37" s="68"/>
      <c r="J37" s="69"/>
      <c r="K37" s="85"/>
      <c r="L37" s="86"/>
      <c r="M37" s="72" t="s">
        <v>30</v>
      </c>
      <c r="N37" s="102">
        <v>550.0</v>
      </c>
      <c r="O37" s="96" t="s">
        <v>91</v>
      </c>
      <c r="P37" s="99">
        <v>0.70625</v>
      </c>
      <c r="R37" s="39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45999.0</v>
      </c>
      <c r="I38" s="68"/>
      <c r="J38" s="69"/>
      <c r="K38" s="85"/>
      <c r="L38" s="86"/>
      <c r="M38" s="72" t="s">
        <v>22</v>
      </c>
      <c r="N38" s="102">
        <v>320.0</v>
      </c>
      <c r="O38" s="96" t="s">
        <v>92</v>
      </c>
      <c r="P38" s="99">
        <v>0.7256944444444444</v>
      </c>
      <c r="R38" s="39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45999.0</v>
      </c>
      <c r="I39" s="68" t="s">
        <v>93</v>
      </c>
      <c r="J39" s="69">
        <v>2200.0</v>
      </c>
      <c r="K39" s="70"/>
      <c r="L39" s="71">
        <v>0.8791666666666667</v>
      </c>
      <c r="M39" s="72" t="s">
        <v>85</v>
      </c>
      <c r="N39" s="102">
        <v>1100.0</v>
      </c>
      <c r="O39" s="96"/>
      <c r="P39" s="99">
        <v>0.8895833333333333</v>
      </c>
      <c r="Q39" s="100"/>
      <c r="R39" s="39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46000.0</v>
      </c>
      <c r="I40" s="68"/>
      <c r="J40" s="69"/>
      <c r="K40" s="70"/>
      <c r="L40" s="88"/>
      <c r="M40" s="72" t="s">
        <v>42</v>
      </c>
      <c r="N40" s="102">
        <v>107.17</v>
      </c>
      <c r="O40" s="96" t="s">
        <v>94</v>
      </c>
      <c r="P40" s="99">
        <v>0.44513888888888886</v>
      </c>
      <c r="R40" s="39"/>
      <c r="S40" s="103">
        <f>SUM(S4:S39)</f>
        <v>198049.1904</v>
      </c>
      <c r="T40" s="104">
        <f>C23-S40</f>
        <v>0</v>
      </c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46000.0</v>
      </c>
      <c r="I41" s="68"/>
      <c r="J41" s="69"/>
      <c r="K41" s="70"/>
      <c r="L41" s="88"/>
      <c r="M41" s="72" t="s">
        <v>53</v>
      </c>
      <c r="N41" s="102">
        <v>202.0</v>
      </c>
      <c r="O41" s="96" t="s">
        <v>95</v>
      </c>
      <c r="P41" s="99">
        <v>0.6722222222222223</v>
      </c>
      <c r="Q41" s="105"/>
      <c r="R41" s="39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46000.0</v>
      </c>
      <c r="I42" s="68"/>
      <c r="J42" s="69"/>
      <c r="K42" s="70"/>
      <c r="L42" s="88"/>
      <c r="M42" s="72" t="s">
        <v>46</v>
      </c>
      <c r="N42" s="102">
        <v>283.84</v>
      </c>
      <c r="O42" s="96" t="s">
        <v>96</v>
      </c>
      <c r="P42" s="99">
        <v>0.6888888888888889</v>
      </c>
      <c r="Q42" s="105"/>
      <c r="R42" s="39"/>
      <c r="S42" s="106" t="s">
        <v>97</v>
      </c>
      <c r="T42" s="107"/>
      <c r="U42" s="107"/>
      <c r="V42" s="107"/>
      <c r="W42" s="107"/>
      <c r="X42" s="107"/>
      <c r="Y42" s="107"/>
      <c r="Z42" s="107"/>
      <c r="AA42" s="107"/>
      <c r="AB42" s="108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46000.0</v>
      </c>
      <c r="I43" s="68" t="s">
        <v>25</v>
      </c>
      <c r="J43" s="69">
        <v>10000.0</v>
      </c>
      <c r="K43" s="87"/>
      <c r="L43" s="71">
        <v>0.7125</v>
      </c>
      <c r="M43" s="72" t="s">
        <v>20</v>
      </c>
      <c r="N43" s="102">
        <v>25.0</v>
      </c>
      <c r="O43" s="96" t="s">
        <v>98</v>
      </c>
      <c r="P43" s="99">
        <v>0.8375</v>
      </c>
      <c r="Q43" s="100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46001.0</v>
      </c>
      <c r="I44" s="68"/>
      <c r="J44" s="69"/>
      <c r="K44" s="70"/>
      <c r="L44" s="71"/>
      <c r="M44" s="72" t="s">
        <v>46</v>
      </c>
      <c r="N44" s="102">
        <v>109.0</v>
      </c>
      <c r="O44" s="96" t="s">
        <v>99</v>
      </c>
      <c r="P44" s="99">
        <v>0.44166666666666665</v>
      </c>
      <c r="Q44" s="105"/>
      <c r="R44" s="39"/>
      <c r="S44" s="109">
        <f>SUMIF(I:I,"海总-新加坡、加拿大",J:J)</f>
        <v>48000</v>
      </c>
      <c r="T44" s="26" t="s">
        <v>25</v>
      </c>
      <c r="U44" s="76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46001.0</v>
      </c>
      <c r="I45" s="68"/>
      <c r="J45" s="69"/>
      <c r="K45" s="85"/>
      <c r="L45" s="71"/>
      <c r="M45" s="72" t="s">
        <v>20</v>
      </c>
      <c r="N45" s="102">
        <v>25.0</v>
      </c>
      <c r="O45" s="96" t="s">
        <v>98</v>
      </c>
      <c r="P45" s="99">
        <v>0.4548611111111111</v>
      </c>
      <c r="R45" s="39"/>
      <c r="S45" s="109">
        <f>SUMIF(I:I,"F2新加坡",J:J)</f>
        <v>20900</v>
      </c>
      <c r="T45" s="26" t="s">
        <v>71</v>
      </c>
      <c r="U45" s="76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46001.0</v>
      </c>
      <c r="I46" s="68"/>
      <c r="J46" s="69"/>
      <c r="K46" s="85"/>
      <c r="L46" s="88"/>
      <c r="M46" s="72" t="s">
        <v>63</v>
      </c>
      <c r="N46" s="102">
        <v>213.0</v>
      </c>
      <c r="O46" s="96" t="s">
        <v>100</v>
      </c>
      <c r="P46" s="97">
        <v>0.6416666666666667</v>
      </c>
      <c r="Q46" s="98"/>
      <c r="R46" s="39"/>
      <c r="S46" s="109">
        <f>SUMIF(I:I,"印度资金测试",J:J)</f>
        <v>20000</v>
      </c>
      <c r="T46" s="26" t="s">
        <v>87</v>
      </c>
      <c r="U46" s="76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46001.0</v>
      </c>
      <c r="I47" s="68"/>
      <c r="J47" s="69"/>
      <c r="K47" s="70"/>
      <c r="L47" s="71"/>
      <c r="M47" s="72" t="s">
        <v>85</v>
      </c>
      <c r="N47" s="102">
        <v>1100.0</v>
      </c>
      <c r="O47" s="96"/>
      <c r="P47" s="97">
        <v>0.6451388888888889</v>
      </c>
      <c r="Q47" s="98"/>
      <c r="R47" s="39"/>
      <c r="S47" s="109">
        <f>SUMIF(I:I,"华侨老头粉",J:J)</f>
        <v>2200</v>
      </c>
      <c r="T47" s="26" t="s">
        <v>93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46001.0</v>
      </c>
      <c r="I48" s="68"/>
      <c r="J48" s="69"/>
      <c r="K48" s="70"/>
      <c r="L48" s="71"/>
      <c r="M48" s="72" t="s">
        <v>67</v>
      </c>
      <c r="N48" s="90">
        <v>105.0</v>
      </c>
      <c r="O48" s="96" t="s">
        <v>101</v>
      </c>
      <c r="P48" s="97">
        <v>0.6673611111111111</v>
      </c>
      <c r="Q48" s="98"/>
      <c r="R48" s="39"/>
      <c r="S48" s="109">
        <f>SUMIF(I:I,"渠道106-不土FB🇯🇵",J:J)</f>
        <v>90000</v>
      </c>
      <c r="T48" s="26" t="s">
        <v>102</v>
      </c>
      <c r="U48" s="11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46001.0</v>
      </c>
      <c r="I49" s="68"/>
      <c r="J49" s="69"/>
      <c r="K49" s="70"/>
      <c r="L49" s="88"/>
      <c r="M49" s="72" t="s">
        <v>103</v>
      </c>
      <c r="N49" s="90">
        <v>4687.84</v>
      </c>
      <c r="O49" s="96" t="s">
        <v>104</v>
      </c>
      <c r="P49" s="97">
        <v>0.7277777777777777</v>
      </c>
      <c r="Q49" s="98"/>
      <c r="R49" s="39"/>
      <c r="S49" s="109">
        <f>SUMIF(I:I,"F2加拿大TK",J:J)</f>
        <v>3900</v>
      </c>
      <c r="T49" s="26" t="s">
        <v>105</v>
      </c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46001.0</v>
      </c>
      <c r="I50" s="68"/>
      <c r="J50" s="69"/>
      <c r="K50" s="85"/>
      <c r="L50" s="71"/>
      <c r="M50" s="72" t="s">
        <v>69</v>
      </c>
      <c r="N50" s="90">
        <v>396.0</v>
      </c>
      <c r="O50" s="96" t="s">
        <v>106</v>
      </c>
      <c r="P50" s="97">
        <v>0.7416666666666667</v>
      </c>
      <c r="Q50" s="98"/>
      <c r="R50" s="39"/>
      <c r="S50" s="109">
        <f>SUMIF(I:I,"巴西1期",J:J)</f>
        <v>3200</v>
      </c>
      <c r="T50" s="26" t="s">
        <v>107</v>
      </c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46001.0</v>
      </c>
      <c r="I51" s="68"/>
      <c r="J51" s="69"/>
      <c r="K51" s="87"/>
      <c r="L51" s="71"/>
      <c r="M51" s="72" t="s">
        <v>53</v>
      </c>
      <c r="N51" s="102">
        <v>202.0</v>
      </c>
      <c r="O51" s="96" t="s">
        <v>95</v>
      </c>
      <c r="P51" s="97">
        <v>0.7958333333333333</v>
      </c>
      <c r="Q51" s="98"/>
      <c r="R51" s="39"/>
      <c r="S51" s="109"/>
      <c r="T51" s="26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46001.0</v>
      </c>
      <c r="I52" s="68"/>
      <c r="J52" s="69"/>
      <c r="K52" s="70"/>
      <c r="L52" s="71"/>
      <c r="M52" s="72" t="s">
        <v>20</v>
      </c>
      <c r="N52" s="90">
        <v>288.86</v>
      </c>
      <c r="O52" s="96" t="s">
        <v>26</v>
      </c>
      <c r="P52" s="97">
        <v>0.8541666666666666</v>
      </c>
      <c r="Q52" s="98"/>
      <c r="R52" s="39"/>
      <c r="S52" s="109"/>
      <c r="T52" s="101"/>
      <c r="U52" s="76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46001.0</v>
      </c>
      <c r="I53" s="68"/>
      <c r="J53" s="69"/>
      <c r="K53" s="70"/>
      <c r="L53" s="71"/>
      <c r="M53" s="72" t="s">
        <v>59</v>
      </c>
      <c r="N53" s="90">
        <v>666.0</v>
      </c>
      <c r="O53" s="96" t="s">
        <v>108</v>
      </c>
      <c r="P53" s="97">
        <v>0.8604166666666667</v>
      </c>
      <c r="Q53" s="98"/>
      <c r="R53" s="39"/>
      <c r="S53" s="109"/>
      <c r="T53" s="101"/>
      <c r="U53" s="76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46002.0</v>
      </c>
      <c r="I54" s="68"/>
      <c r="J54" s="69"/>
      <c r="K54" s="70"/>
      <c r="L54" s="71"/>
      <c r="M54" s="111" t="s">
        <v>42</v>
      </c>
      <c r="N54" s="112">
        <v>107.25</v>
      </c>
      <c r="O54" s="113" t="s">
        <v>109</v>
      </c>
      <c r="P54" s="97">
        <v>0.6527777777777778</v>
      </c>
      <c r="R54" s="39"/>
      <c r="S54" s="109"/>
      <c r="T54" s="26"/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46002.0</v>
      </c>
      <c r="I55" s="68"/>
      <c r="J55" s="69"/>
      <c r="K55" s="70"/>
      <c r="L55" s="71"/>
      <c r="M55" s="72" t="s">
        <v>20</v>
      </c>
      <c r="N55" s="102">
        <v>25.0</v>
      </c>
      <c r="O55" s="96" t="s">
        <v>98</v>
      </c>
      <c r="P55" s="75">
        <v>0.66875</v>
      </c>
      <c r="R55" s="39"/>
      <c r="S55" s="109"/>
      <c r="T55" s="101"/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46002.0</v>
      </c>
      <c r="I56" s="68" t="s">
        <v>25</v>
      </c>
      <c r="J56" s="69">
        <v>10000.0</v>
      </c>
      <c r="K56" s="70"/>
      <c r="L56" s="71">
        <v>0.6791666666666667</v>
      </c>
      <c r="M56" s="72" t="s">
        <v>83</v>
      </c>
      <c r="N56" s="90">
        <v>29160.0</v>
      </c>
      <c r="O56" s="74" t="s">
        <v>110</v>
      </c>
      <c r="P56" s="75">
        <v>0.7645833333333333</v>
      </c>
      <c r="R56" s="39"/>
      <c r="S56" s="109">
        <f>SUMIF(I:I,"路人互动",J:J)</f>
        <v>1448.89</v>
      </c>
      <c r="T56" s="101" t="s">
        <v>36</v>
      </c>
      <c r="U56" s="76"/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46002.0</v>
      </c>
      <c r="I57" s="68"/>
      <c r="J57" s="69"/>
      <c r="K57" s="87"/>
      <c r="L57" s="88"/>
      <c r="M57" s="72" t="s">
        <v>111</v>
      </c>
      <c r="N57" s="90">
        <v>483.0</v>
      </c>
      <c r="O57" s="74" t="s">
        <v>112</v>
      </c>
      <c r="P57" s="75">
        <v>0.8013888888888889</v>
      </c>
      <c r="R57" s="39"/>
      <c r="S57" s="109">
        <f>SUMIF(I:I,"谷歌共享户/老户",J:J)</f>
        <v>998</v>
      </c>
      <c r="T57" s="101" t="s">
        <v>34</v>
      </c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46002.0</v>
      </c>
      <c r="I58" s="68" t="s">
        <v>102</v>
      </c>
      <c r="J58" s="69">
        <v>18000.0</v>
      </c>
      <c r="K58" s="70"/>
      <c r="L58" s="71">
        <v>0.8138888888888889</v>
      </c>
      <c r="M58" s="72" t="s">
        <v>81</v>
      </c>
      <c r="N58" s="102">
        <v>7500.0</v>
      </c>
      <c r="O58" s="74"/>
      <c r="P58" s="75">
        <v>0.8243055555555555</v>
      </c>
      <c r="R58" s="39"/>
      <c r="S58" s="109">
        <f>SUMIF(I:I,"启航",J:J)</f>
        <v>2067.02</v>
      </c>
      <c r="T58" s="101" t="s">
        <v>43</v>
      </c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46003.0</v>
      </c>
      <c r="I59" s="68" t="s">
        <v>71</v>
      </c>
      <c r="J59" s="69">
        <v>6000.0</v>
      </c>
      <c r="K59" s="70"/>
      <c r="L59" s="71">
        <v>0.013194444444444444</v>
      </c>
      <c r="M59" s="72" t="s">
        <v>59</v>
      </c>
      <c r="N59" s="102">
        <v>1221.0</v>
      </c>
      <c r="O59" s="115" t="s">
        <v>113</v>
      </c>
      <c r="P59" s="116">
        <v>0.8180555555555555</v>
      </c>
      <c r="R59" s="39"/>
      <c r="S59" s="109">
        <f>SUMIF(I:I,"华侨粉测试 ",J:J)</f>
        <v>355.971</v>
      </c>
      <c r="T59" s="52" t="s">
        <v>85</v>
      </c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46004.0</v>
      </c>
      <c r="I60" s="68" t="s">
        <v>27</v>
      </c>
      <c r="J60" s="69">
        <v>990.25</v>
      </c>
      <c r="K60" s="85"/>
      <c r="L60" s="71">
        <v>0.8673611111111111</v>
      </c>
      <c r="M60" s="72" t="s">
        <v>20</v>
      </c>
      <c r="N60" s="102">
        <v>25.0</v>
      </c>
      <c r="O60" s="96" t="s">
        <v>98</v>
      </c>
      <c r="P60" s="116">
        <v>0.4625</v>
      </c>
      <c r="R60" s="39"/>
      <c r="S60" s="109">
        <f>SUMIF(I:I,"印度企业户 欧洲美金户下户",J:J)</f>
        <v>990.25</v>
      </c>
      <c r="T60" s="101" t="s">
        <v>27</v>
      </c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46004.0</v>
      </c>
      <c r="I61" s="68"/>
      <c r="J61" s="69"/>
      <c r="K61" s="70"/>
      <c r="L61" s="71"/>
      <c r="M61" s="72" t="s">
        <v>20</v>
      </c>
      <c r="N61" s="73">
        <v>12.05</v>
      </c>
      <c r="O61" s="115" t="s">
        <v>23</v>
      </c>
      <c r="P61" s="116">
        <v>0.47430555555555554</v>
      </c>
      <c r="R61" s="39"/>
      <c r="S61" s="117">
        <f>J7</f>
        <v>26016.4956</v>
      </c>
      <c r="T61" s="26" t="s">
        <v>17</v>
      </c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46004.0</v>
      </c>
      <c r="I62" s="68" t="s">
        <v>71</v>
      </c>
      <c r="J62" s="69">
        <v>6000.0</v>
      </c>
      <c r="K62" s="87"/>
      <c r="L62" s="71">
        <v>0.8965277777777778</v>
      </c>
      <c r="M62" s="72"/>
      <c r="N62" s="73"/>
      <c r="O62" s="115"/>
      <c r="P62" s="118"/>
      <c r="R62" s="39"/>
      <c r="S62" s="40">
        <f>SUM(S44:S61)</f>
        <v>220076.6266</v>
      </c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46004.0</v>
      </c>
      <c r="I63" s="68" t="s">
        <v>102</v>
      </c>
      <c r="J63" s="69">
        <v>18000.0</v>
      </c>
      <c r="K63" s="87"/>
      <c r="L63" s="71">
        <v>0.9208333333333333</v>
      </c>
      <c r="M63" s="72" t="s">
        <v>79</v>
      </c>
      <c r="N63" s="73">
        <v>7500.0</v>
      </c>
      <c r="O63" s="115"/>
      <c r="P63" s="116">
        <v>0.9791666666666666</v>
      </c>
      <c r="R63" s="39"/>
      <c r="S63" s="76"/>
      <c r="T63" s="119">
        <f>S62-C21</f>
        <v>0</v>
      </c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46005.0</v>
      </c>
      <c r="I64" s="68"/>
      <c r="J64" s="69"/>
      <c r="K64" s="70"/>
      <c r="L64" s="71"/>
      <c r="M64" s="72" t="s">
        <v>81</v>
      </c>
      <c r="N64" s="90">
        <v>8550.0</v>
      </c>
      <c r="O64" s="115"/>
      <c r="P64" s="116">
        <v>0.5833333333333334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46005.0</v>
      </c>
      <c r="I65" s="68"/>
      <c r="J65" s="69"/>
      <c r="K65" s="70"/>
      <c r="L65" s="88"/>
      <c r="M65" s="72" t="s">
        <v>75</v>
      </c>
      <c r="N65" s="73">
        <v>3107.96</v>
      </c>
      <c r="O65" s="115" t="s">
        <v>114</v>
      </c>
      <c r="P65" s="116">
        <v>0.6847222222222222</v>
      </c>
      <c r="R65" s="39"/>
      <c r="S65" s="76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46005.0</v>
      </c>
      <c r="I66" s="68" t="s">
        <v>102</v>
      </c>
      <c r="J66" s="69">
        <v>18000.0</v>
      </c>
      <c r="K66" s="70"/>
      <c r="L66" s="71">
        <v>0.83125</v>
      </c>
      <c r="M66" s="80"/>
      <c r="N66" s="90"/>
      <c r="O66" s="115"/>
      <c r="P66" s="116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46006.0</v>
      </c>
      <c r="I67" s="68"/>
      <c r="J67" s="69"/>
      <c r="K67" s="70"/>
      <c r="L67" s="71"/>
      <c r="M67" s="80" t="s">
        <v>49</v>
      </c>
      <c r="N67" s="90">
        <v>3462.9</v>
      </c>
      <c r="O67" s="115" t="s">
        <v>115</v>
      </c>
      <c r="P67" s="116">
        <v>0.43194444444444446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46006.0</v>
      </c>
      <c r="I68" s="68"/>
      <c r="J68" s="69"/>
      <c r="K68" s="70"/>
      <c r="L68" s="71"/>
      <c r="M68" s="72" t="s">
        <v>79</v>
      </c>
      <c r="N68" s="73">
        <v>7500.0</v>
      </c>
      <c r="O68" s="115"/>
      <c r="P68" s="116">
        <v>0.4444444444444444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46006.0</v>
      </c>
      <c r="I69" s="68"/>
      <c r="J69" s="69"/>
      <c r="K69" s="70"/>
      <c r="L69" s="71"/>
      <c r="M69" s="72" t="s">
        <v>20</v>
      </c>
      <c r="N69" s="73">
        <v>25.0</v>
      </c>
      <c r="O69" s="96" t="s">
        <v>98</v>
      </c>
      <c r="P69" s="116">
        <v>0.4673611111111111</v>
      </c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46006.0</v>
      </c>
      <c r="I70" s="68"/>
      <c r="J70" s="69"/>
      <c r="K70" s="70"/>
      <c r="L70" s="71"/>
      <c r="M70" s="72" t="s">
        <v>20</v>
      </c>
      <c r="N70" s="73">
        <v>1450.0</v>
      </c>
      <c r="O70" s="115" t="s">
        <v>116</v>
      </c>
      <c r="P70" s="116">
        <v>0.4736111111111111</v>
      </c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46006.0</v>
      </c>
      <c r="I71" s="68"/>
      <c r="J71" s="69"/>
      <c r="K71" s="70"/>
      <c r="L71" s="71"/>
      <c r="M71" s="72" t="s">
        <v>14</v>
      </c>
      <c r="N71" s="73">
        <v>10.0</v>
      </c>
      <c r="O71" s="115" t="s">
        <v>117</v>
      </c>
      <c r="P71" s="116">
        <v>0.6479166666666667</v>
      </c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46006.0</v>
      </c>
      <c r="I72" s="68"/>
      <c r="J72" s="69"/>
      <c r="K72" s="87"/>
      <c r="L72" s="71"/>
      <c r="M72" s="72" t="s">
        <v>14</v>
      </c>
      <c r="N72" s="73">
        <v>1126.76</v>
      </c>
      <c r="O72" s="115" t="s">
        <v>117</v>
      </c>
      <c r="P72" s="116">
        <v>0.6513888888888889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46006.0</v>
      </c>
      <c r="I73" s="68"/>
      <c r="J73" s="69"/>
      <c r="K73" s="70"/>
      <c r="L73" s="71"/>
      <c r="M73" s="72" t="s">
        <v>14</v>
      </c>
      <c r="N73" s="73">
        <v>720.23</v>
      </c>
      <c r="O73" s="74" t="s">
        <v>117</v>
      </c>
      <c r="P73" s="75">
        <v>0.6527777777777778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46006.0</v>
      </c>
      <c r="I74" s="120"/>
      <c r="J74" s="121"/>
      <c r="K74" s="93"/>
      <c r="L74" s="71"/>
      <c r="M74" s="72" t="s">
        <v>14</v>
      </c>
      <c r="N74" s="73">
        <v>1126.76</v>
      </c>
      <c r="O74" s="74" t="s">
        <v>117</v>
      </c>
      <c r="P74" s="75">
        <v>0.6555555555555556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46006.0</v>
      </c>
      <c r="I75" s="68"/>
      <c r="J75" s="69"/>
      <c r="K75" s="70"/>
      <c r="L75" s="88"/>
      <c r="M75" s="72" t="s">
        <v>14</v>
      </c>
      <c r="N75" s="73">
        <v>10.0</v>
      </c>
      <c r="O75" s="74" t="s">
        <v>117</v>
      </c>
      <c r="P75" s="75">
        <v>0.65625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46006.0</v>
      </c>
      <c r="I76" s="68"/>
      <c r="J76" s="69"/>
      <c r="K76" s="70"/>
      <c r="L76" s="71"/>
      <c r="M76" s="72" t="s">
        <v>14</v>
      </c>
      <c r="N76" s="73">
        <v>10.0</v>
      </c>
      <c r="O76" s="74" t="s">
        <v>117</v>
      </c>
      <c r="P76" s="75">
        <v>0.6576388888888889</v>
      </c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46006.0</v>
      </c>
      <c r="I77" s="68"/>
      <c r="J77" s="69"/>
      <c r="K77" s="70"/>
      <c r="L77" s="71"/>
      <c r="M77" s="72" t="s">
        <v>14</v>
      </c>
      <c r="N77" s="73">
        <v>263.38</v>
      </c>
      <c r="O77" s="74" t="s">
        <v>117</v>
      </c>
      <c r="P77" s="75">
        <v>0.6618055555555555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46006.0</v>
      </c>
      <c r="I78" s="68"/>
      <c r="J78" s="69"/>
      <c r="K78" s="87"/>
      <c r="L78" s="71"/>
      <c r="M78" s="72" t="s">
        <v>14</v>
      </c>
      <c r="N78" s="73">
        <v>566.5</v>
      </c>
      <c r="O78" s="74" t="s">
        <v>117</v>
      </c>
      <c r="P78" s="75">
        <v>0.6631944444444444</v>
      </c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46006.0</v>
      </c>
      <c r="I79" s="68"/>
      <c r="J79" s="69"/>
      <c r="K79" s="70"/>
      <c r="L79" s="88"/>
      <c r="M79" s="72" t="s">
        <v>14</v>
      </c>
      <c r="N79" s="73">
        <v>950.62</v>
      </c>
      <c r="O79" s="74" t="s">
        <v>117</v>
      </c>
      <c r="P79" s="75">
        <v>0.6652777777777777</v>
      </c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46006.0</v>
      </c>
      <c r="I80" s="68"/>
      <c r="J80" s="69"/>
      <c r="K80" s="92"/>
      <c r="L80" s="71"/>
      <c r="M80" s="72" t="s">
        <v>14</v>
      </c>
      <c r="N80" s="73">
        <v>1524.08</v>
      </c>
      <c r="O80" s="74" t="s">
        <v>117</v>
      </c>
      <c r="P80" s="75">
        <v>0.6666666666666666</v>
      </c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46006.0</v>
      </c>
      <c r="I81" s="68"/>
      <c r="J81" s="69"/>
      <c r="K81" s="70"/>
      <c r="L81" s="88"/>
      <c r="M81" s="72" t="s">
        <v>14</v>
      </c>
      <c r="N81" s="73">
        <v>2512.52</v>
      </c>
      <c r="O81" s="74" t="s">
        <v>117</v>
      </c>
      <c r="P81" s="75">
        <v>0.6680555555555555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46006.0</v>
      </c>
      <c r="I82" s="68"/>
      <c r="J82" s="69"/>
      <c r="K82" s="70"/>
      <c r="L82" s="71"/>
      <c r="M82" s="72" t="s">
        <v>14</v>
      </c>
      <c r="N82" s="73">
        <v>685.69</v>
      </c>
      <c r="O82" s="74" t="s">
        <v>117</v>
      </c>
      <c r="P82" s="75">
        <v>0.6694444444444444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46006.0</v>
      </c>
      <c r="I83" s="68"/>
      <c r="J83" s="69"/>
      <c r="K83" s="70"/>
      <c r="L83" s="71"/>
      <c r="M83" s="72" t="s">
        <v>14</v>
      </c>
      <c r="N83" s="73">
        <v>10.0</v>
      </c>
      <c r="O83" s="74" t="s">
        <v>117</v>
      </c>
      <c r="P83" s="75">
        <v>0.6722222222222223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46006.0</v>
      </c>
      <c r="I84" s="68"/>
      <c r="J84" s="69"/>
      <c r="K84" s="70"/>
      <c r="L84" s="71"/>
      <c r="M84" s="72" t="s">
        <v>14</v>
      </c>
      <c r="N84" s="73">
        <v>644.89</v>
      </c>
      <c r="O84" s="74" t="s">
        <v>117</v>
      </c>
      <c r="P84" s="75">
        <v>0.6729166666666667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46006.0</v>
      </c>
      <c r="I85" s="68"/>
      <c r="J85" s="69"/>
      <c r="K85" s="87"/>
      <c r="L85" s="71"/>
      <c r="M85" s="72" t="s">
        <v>14</v>
      </c>
      <c r="N85" s="73">
        <v>869.71</v>
      </c>
      <c r="O85" s="74" t="s">
        <v>117</v>
      </c>
      <c r="P85" s="75">
        <v>0.675</v>
      </c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46006.0</v>
      </c>
      <c r="I86" s="68"/>
      <c r="J86" s="69"/>
      <c r="K86" s="70"/>
      <c r="L86" s="71"/>
      <c r="M86" s="72" t="s">
        <v>14</v>
      </c>
      <c r="N86" s="73">
        <v>5000.0</v>
      </c>
      <c r="O86" s="74" t="s">
        <v>117</v>
      </c>
      <c r="P86" s="75">
        <v>0.6763888888888889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46006.0</v>
      </c>
      <c r="I87" s="68"/>
      <c r="J87" s="69"/>
      <c r="K87" s="85"/>
      <c r="L87" s="71"/>
      <c r="M87" s="72" t="s">
        <v>14</v>
      </c>
      <c r="N87" s="73">
        <v>703.62</v>
      </c>
      <c r="O87" s="74" t="s">
        <v>117</v>
      </c>
      <c r="P87" s="75">
        <v>0.6777777777777778</v>
      </c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46006.0</v>
      </c>
      <c r="I88" s="68" t="s">
        <v>85</v>
      </c>
      <c r="J88" s="69">
        <v>355.971</v>
      </c>
      <c r="K88" s="70"/>
      <c r="L88" s="71">
        <v>0.7131944444444445</v>
      </c>
      <c r="M88" s="72" t="s">
        <v>14</v>
      </c>
      <c r="N88" s="73">
        <v>144.93</v>
      </c>
      <c r="O88" s="74" t="s">
        <v>117</v>
      </c>
      <c r="P88" s="75">
        <v>0.7145833333333333</v>
      </c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46006.0</v>
      </c>
      <c r="I89" s="68"/>
      <c r="J89" s="69"/>
      <c r="K89" s="70"/>
      <c r="L89" s="71"/>
      <c r="M89" s="72" t="s">
        <v>46</v>
      </c>
      <c r="N89" s="73">
        <v>20.0</v>
      </c>
      <c r="O89" s="74" t="s">
        <v>118</v>
      </c>
      <c r="P89" s="75">
        <v>0.7229166666666667</v>
      </c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46006.0</v>
      </c>
      <c r="I90" s="68" t="s">
        <v>25</v>
      </c>
      <c r="J90" s="69">
        <v>10000.0</v>
      </c>
      <c r="K90" s="70"/>
      <c r="L90" s="88" t="s">
        <v>119</v>
      </c>
      <c r="M90" s="72" t="s">
        <v>14</v>
      </c>
      <c r="N90" s="73">
        <v>1221.55</v>
      </c>
      <c r="O90" s="74" t="s">
        <v>117</v>
      </c>
      <c r="P90" s="75">
        <v>0.75</v>
      </c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46006.0</v>
      </c>
      <c r="I91" s="68"/>
      <c r="J91" s="69"/>
      <c r="K91" s="70"/>
      <c r="L91" s="71"/>
      <c r="M91" s="72" t="s">
        <v>53</v>
      </c>
      <c r="N91" s="73">
        <v>101.0</v>
      </c>
      <c r="O91" s="74" t="s">
        <v>89</v>
      </c>
      <c r="P91" s="75">
        <v>0.7986111111111112</v>
      </c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46006.0</v>
      </c>
      <c r="I92" s="68"/>
      <c r="J92" s="69"/>
      <c r="K92" s="70"/>
      <c r="L92" s="71"/>
      <c r="M92" s="72" t="s">
        <v>14</v>
      </c>
      <c r="N92" s="73">
        <v>617.89</v>
      </c>
      <c r="O92" s="74" t="s">
        <v>117</v>
      </c>
      <c r="P92" s="75">
        <v>0.8013888888888889</v>
      </c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46006.0</v>
      </c>
      <c r="I93" s="68"/>
      <c r="J93" s="69"/>
      <c r="K93" s="70"/>
      <c r="L93" s="71"/>
      <c r="M93" s="72" t="s">
        <v>14</v>
      </c>
      <c r="N93" s="73">
        <v>6000.0</v>
      </c>
      <c r="O93" s="74" t="s">
        <v>120</v>
      </c>
      <c r="P93" s="75">
        <v>0.8069444444444445</v>
      </c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46006.0</v>
      </c>
      <c r="I94" s="68"/>
      <c r="J94" s="69"/>
      <c r="K94" s="70"/>
      <c r="L94" s="71"/>
      <c r="M94" s="72" t="s">
        <v>56</v>
      </c>
      <c r="N94" s="73">
        <v>101.0</v>
      </c>
      <c r="O94" s="74" t="s">
        <v>89</v>
      </c>
      <c r="P94" s="75">
        <v>0.8423611111111111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46006.0</v>
      </c>
      <c r="I95" s="68"/>
      <c r="J95" s="69"/>
      <c r="K95" s="70"/>
      <c r="L95" s="71"/>
      <c r="M95" s="72" t="s">
        <v>14</v>
      </c>
      <c r="N95" s="73">
        <v>610.54</v>
      </c>
      <c r="O95" s="74" t="s">
        <v>121</v>
      </c>
      <c r="P95" s="75">
        <v>0.8826388888888889</v>
      </c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46006.0</v>
      </c>
      <c r="I96" s="68" t="s">
        <v>43</v>
      </c>
      <c r="J96" s="69">
        <v>2067.02</v>
      </c>
      <c r="K96" s="70"/>
      <c r="L96" s="71">
        <v>0.9076388888888889</v>
      </c>
      <c r="M96" s="72"/>
      <c r="N96" s="73"/>
      <c r="O96" s="74"/>
      <c r="P96" s="75"/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46006.0</v>
      </c>
      <c r="I97" s="68" t="s">
        <v>102</v>
      </c>
      <c r="J97" s="69">
        <v>18000.0</v>
      </c>
      <c r="K97" s="70"/>
      <c r="L97" s="71">
        <v>0.9368055555555556</v>
      </c>
      <c r="M97" s="72" t="s">
        <v>79</v>
      </c>
      <c r="N97" s="73">
        <v>5550.0</v>
      </c>
      <c r="O97" s="74"/>
      <c r="P97" s="75">
        <v>0.9916666666666667</v>
      </c>
      <c r="R97" s="39"/>
      <c r="S97" s="95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46006.0</v>
      </c>
      <c r="I98" s="68"/>
      <c r="J98" s="69"/>
      <c r="K98" s="70"/>
      <c r="L98" s="71"/>
      <c r="M98" s="72" t="s">
        <v>81</v>
      </c>
      <c r="N98" s="73">
        <v>7200.0</v>
      </c>
      <c r="O98" s="74"/>
      <c r="P98" s="75">
        <v>0.9944444444444445</v>
      </c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46007.0</v>
      </c>
      <c r="I99" s="68"/>
      <c r="J99" s="69"/>
      <c r="K99" s="70"/>
      <c r="L99" s="71"/>
      <c r="M99" s="72" t="s">
        <v>20</v>
      </c>
      <c r="N99" s="102">
        <v>25.0</v>
      </c>
      <c r="O99" s="96" t="s">
        <v>98</v>
      </c>
      <c r="P99" s="75">
        <v>0.6208333333333333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46007.0</v>
      </c>
      <c r="I100" s="68"/>
      <c r="J100" s="69"/>
      <c r="K100" s="85"/>
      <c r="L100" s="71"/>
      <c r="M100" s="72" t="s">
        <v>39</v>
      </c>
      <c r="N100" s="73">
        <v>917.15</v>
      </c>
      <c r="O100" s="74" t="s">
        <v>122</v>
      </c>
      <c r="P100" s="75">
        <v>0.6708333333333333</v>
      </c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46007.0</v>
      </c>
      <c r="I101" s="68"/>
      <c r="J101" s="69"/>
      <c r="K101" s="70"/>
      <c r="L101" s="71"/>
      <c r="M101" s="72" t="s">
        <v>79</v>
      </c>
      <c r="N101" s="73">
        <v>7500.0</v>
      </c>
      <c r="O101" s="74"/>
      <c r="P101" s="94" t="s">
        <v>123</v>
      </c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46007.0</v>
      </c>
      <c r="I102" s="68" t="s">
        <v>25</v>
      </c>
      <c r="J102" s="69">
        <v>10000.0</v>
      </c>
      <c r="K102" s="70"/>
      <c r="L102" s="71">
        <v>0.7111111111111111</v>
      </c>
      <c r="M102" s="72" t="s">
        <v>56</v>
      </c>
      <c r="N102" s="73">
        <v>101.0</v>
      </c>
      <c r="O102" s="74" t="s">
        <v>89</v>
      </c>
      <c r="P102" s="116">
        <v>0.7854166666666667</v>
      </c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46007.0</v>
      </c>
      <c r="I103" s="68"/>
      <c r="J103" s="69"/>
      <c r="K103" s="70"/>
      <c r="L103" s="71"/>
      <c r="M103" s="72" t="s">
        <v>53</v>
      </c>
      <c r="N103" s="73">
        <v>101.0</v>
      </c>
      <c r="O103" s="96" t="s">
        <v>124</v>
      </c>
      <c r="P103" s="97">
        <v>0.8388888888888889</v>
      </c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46007.0</v>
      </c>
      <c r="I104" s="68"/>
      <c r="J104" s="69"/>
      <c r="K104" s="87"/>
      <c r="L104" s="88"/>
      <c r="M104" s="72" t="s">
        <v>56</v>
      </c>
      <c r="N104" s="73">
        <v>202.0</v>
      </c>
      <c r="O104" s="96" t="s">
        <v>124</v>
      </c>
      <c r="P104" s="97">
        <v>0.8388888888888889</v>
      </c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46007.0</v>
      </c>
      <c r="I105" s="68"/>
      <c r="J105" s="69"/>
      <c r="K105" s="87"/>
      <c r="L105" s="71"/>
      <c r="M105" s="72" t="s">
        <v>18</v>
      </c>
      <c r="N105" s="73">
        <v>703.39</v>
      </c>
      <c r="O105" s="96" t="s">
        <v>125</v>
      </c>
      <c r="P105" s="97">
        <v>0.8951388888888889</v>
      </c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46007.0</v>
      </c>
      <c r="I106" s="68" t="s">
        <v>105</v>
      </c>
      <c r="J106" s="69">
        <v>3900.0</v>
      </c>
      <c r="K106" s="70"/>
      <c r="L106" s="71">
        <v>0.9736111111111111</v>
      </c>
      <c r="M106" s="72" t="s">
        <v>79</v>
      </c>
      <c r="N106" s="73">
        <v>5850.0</v>
      </c>
      <c r="O106" s="74"/>
      <c r="P106" s="75">
        <v>0.9743055555555555</v>
      </c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46008.0</v>
      </c>
      <c r="I107" s="68"/>
      <c r="J107" s="69"/>
      <c r="K107" s="70"/>
      <c r="L107" s="71"/>
      <c r="M107" s="72" t="s">
        <v>42</v>
      </c>
      <c r="N107" s="73">
        <v>107.49</v>
      </c>
      <c r="O107" s="74" t="s">
        <v>126</v>
      </c>
      <c r="P107" s="75">
        <v>0.49027777777777776</v>
      </c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46008.0</v>
      </c>
      <c r="I108" s="68"/>
      <c r="J108" s="69"/>
      <c r="K108" s="70"/>
      <c r="L108" s="71"/>
      <c r="M108" s="72" t="s">
        <v>56</v>
      </c>
      <c r="N108" s="73">
        <v>505.0</v>
      </c>
      <c r="O108" s="74" t="s">
        <v>127</v>
      </c>
      <c r="P108" s="75">
        <v>0.5791666666666667</v>
      </c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46008.0</v>
      </c>
      <c r="I109" s="68"/>
      <c r="J109" s="69"/>
      <c r="K109" s="70"/>
      <c r="L109" s="71"/>
      <c r="M109" s="72" t="s">
        <v>77</v>
      </c>
      <c r="N109" s="73">
        <v>2167.81</v>
      </c>
      <c r="O109" s="74"/>
      <c r="P109" s="75">
        <v>0.6583333333333333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46008.0</v>
      </c>
      <c r="I110" s="68"/>
      <c r="J110" s="69"/>
      <c r="K110" s="93"/>
      <c r="L110" s="71"/>
      <c r="M110" s="72" t="s">
        <v>56</v>
      </c>
      <c r="N110" s="73">
        <v>505.0</v>
      </c>
      <c r="O110" s="74" t="s">
        <v>127</v>
      </c>
      <c r="P110" s="75">
        <v>0.7229166666666667</v>
      </c>
      <c r="Q110" s="123"/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46008.0</v>
      </c>
      <c r="I111" s="68" t="s">
        <v>34</v>
      </c>
      <c r="J111" s="69">
        <v>998.0</v>
      </c>
      <c r="K111" s="70"/>
      <c r="L111" s="71">
        <v>0.7270833333333333</v>
      </c>
      <c r="M111" s="72"/>
      <c r="N111" s="90"/>
      <c r="O111" s="74"/>
      <c r="P111" s="75"/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46008.0</v>
      </c>
      <c r="I112" s="68" t="s">
        <v>107</v>
      </c>
      <c r="J112" s="69">
        <v>3200.0</v>
      </c>
      <c r="K112" s="70"/>
      <c r="L112" s="71">
        <v>0.8958333333333334</v>
      </c>
      <c r="M112" s="72" t="s">
        <v>39</v>
      </c>
      <c r="N112" s="90">
        <v>1483.24</v>
      </c>
      <c r="O112" s="96" t="s">
        <v>128</v>
      </c>
      <c r="P112" s="97">
        <v>0.9444444444444444</v>
      </c>
      <c r="Q112" s="98"/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46008.0</v>
      </c>
      <c r="I113" s="68"/>
      <c r="J113" s="69"/>
      <c r="K113" s="70"/>
      <c r="L113" s="71"/>
      <c r="M113" s="72" t="s">
        <v>79</v>
      </c>
      <c r="N113" s="90">
        <v>11250.0</v>
      </c>
      <c r="O113" s="96"/>
      <c r="P113" s="97">
        <v>0.9597222222222223</v>
      </c>
      <c r="Q113" s="98"/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46009.0</v>
      </c>
      <c r="I114" s="68"/>
      <c r="J114" s="69"/>
      <c r="K114" s="70"/>
      <c r="L114" s="71"/>
      <c r="M114" s="72" t="s">
        <v>56</v>
      </c>
      <c r="N114" s="90">
        <v>1010.0</v>
      </c>
      <c r="O114" s="96" t="s">
        <v>129</v>
      </c>
      <c r="P114" s="97">
        <v>0.43333333333333335</v>
      </c>
      <c r="Q114" s="98"/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46009.0</v>
      </c>
      <c r="I115" s="68"/>
      <c r="J115" s="69"/>
      <c r="K115" s="70"/>
      <c r="L115" s="71"/>
      <c r="M115" s="72" t="s">
        <v>20</v>
      </c>
      <c r="N115" s="102">
        <v>25.0</v>
      </c>
      <c r="O115" s="96" t="s">
        <v>98</v>
      </c>
      <c r="P115" s="97">
        <v>0.45555555555555555</v>
      </c>
      <c r="Q115" s="98"/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46009.0</v>
      </c>
      <c r="I116" s="68"/>
      <c r="J116" s="69"/>
      <c r="K116" s="70"/>
      <c r="L116" s="88"/>
      <c r="M116" s="72" t="s">
        <v>56</v>
      </c>
      <c r="N116" s="90">
        <v>2020.0</v>
      </c>
      <c r="O116" s="96" t="s">
        <v>130</v>
      </c>
      <c r="P116" s="97">
        <v>0.8722222222222222</v>
      </c>
      <c r="Q116" s="98"/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46009.0</v>
      </c>
      <c r="I117" s="68"/>
      <c r="J117" s="69"/>
      <c r="K117" s="70"/>
      <c r="L117" s="71"/>
      <c r="M117" s="72" t="s">
        <v>53</v>
      </c>
      <c r="N117" s="90">
        <v>202.0</v>
      </c>
      <c r="O117" s="96" t="s">
        <v>131</v>
      </c>
      <c r="P117" s="97">
        <v>0.8722222222222222</v>
      </c>
      <c r="Q117" s="98"/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46009.0</v>
      </c>
      <c r="I118" s="68"/>
      <c r="J118" s="69"/>
      <c r="K118" s="92"/>
      <c r="L118" s="71"/>
      <c r="M118" s="72" t="s">
        <v>42</v>
      </c>
      <c r="N118" s="90">
        <v>214.27</v>
      </c>
      <c r="O118" s="96" t="s">
        <v>132</v>
      </c>
      <c r="P118" s="97">
        <v>0.8875</v>
      </c>
      <c r="Q118" s="98"/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46009.0</v>
      </c>
      <c r="I119" s="68" t="s">
        <v>102</v>
      </c>
      <c r="J119" s="69">
        <v>18000.0</v>
      </c>
      <c r="K119" s="70"/>
      <c r="L119" s="71">
        <v>0.9479166666666666</v>
      </c>
      <c r="M119" s="72"/>
      <c r="N119" s="90"/>
      <c r="O119" s="96"/>
      <c r="P119" s="97"/>
      <c r="Q119" s="98"/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46009.0</v>
      </c>
      <c r="I120" s="68" t="s">
        <v>36</v>
      </c>
      <c r="J120" s="69">
        <v>1448.89</v>
      </c>
      <c r="K120" s="70"/>
      <c r="L120" s="71">
        <v>0.9833333333333333</v>
      </c>
      <c r="M120" s="72"/>
      <c r="N120" s="90"/>
      <c r="O120" s="96"/>
      <c r="P120" s="97"/>
      <c r="Q120" s="98"/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46010.0</v>
      </c>
      <c r="I121" s="68" t="s">
        <v>71</v>
      </c>
      <c r="J121" s="69">
        <v>6500.0</v>
      </c>
      <c r="K121" s="70"/>
      <c r="L121" s="71">
        <v>0.04097222222222222</v>
      </c>
      <c r="M121" s="72" t="s">
        <v>79</v>
      </c>
      <c r="N121" s="90">
        <v>9450.0</v>
      </c>
      <c r="O121" s="96"/>
      <c r="P121" s="97">
        <v>0.42569444444444443</v>
      </c>
      <c r="Q121" s="98"/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46010.0</v>
      </c>
      <c r="I122" s="68"/>
      <c r="J122" s="69"/>
      <c r="K122" s="70"/>
      <c r="L122" s="71"/>
      <c r="M122" s="72" t="s">
        <v>87</v>
      </c>
      <c r="N122" s="90">
        <v>12405.0</v>
      </c>
      <c r="O122" s="96"/>
      <c r="P122" s="97">
        <v>0.42777777777777776</v>
      </c>
      <c r="Q122" s="98"/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46010.0</v>
      </c>
      <c r="I123" s="68"/>
      <c r="J123" s="69"/>
      <c r="K123" s="70"/>
      <c r="L123" s="71"/>
      <c r="M123" s="72" t="s">
        <v>18</v>
      </c>
      <c r="N123" s="90">
        <v>176.79</v>
      </c>
      <c r="O123" s="96" t="s">
        <v>133</v>
      </c>
      <c r="P123" s="97">
        <v>0.4326388888888889</v>
      </c>
      <c r="Q123" s="98"/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46010.0</v>
      </c>
      <c r="I124" s="68"/>
      <c r="J124" s="69"/>
      <c r="K124" s="70"/>
      <c r="L124" s="71"/>
      <c r="M124" s="72" t="s">
        <v>75</v>
      </c>
      <c r="N124" s="90">
        <v>5118.23</v>
      </c>
      <c r="O124" s="96" t="s">
        <v>134</v>
      </c>
      <c r="P124" s="97">
        <v>0.4423611111111111</v>
      </c>
      <c r="Q124" s="98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46010.0</v>
      </c>
      <c r="I125" s="68"/>
      <c r="J125" s="69"/>
      <c r="K125" s="70"/>
      <c r="L125" s="71"/>
      <c r="M125" s="72" t="s">
        <v>20</v>
      </c>
      <c r="N125" s="102">
        <v>25.0</v>
      </c>
      <c r="O125" s="96" t="s">
        <v>98</v>
      </c>
      <c r="P125" s="97">
        <v>0.5076388888888889</v>
      </c>
      <c r="Q125" s="98"/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46010.0</v>
      </c>
      <c r="I126" s="68"/>
      <c r="J126" s="69"/>
      <c r="K126" s="70"/>
      <c r="L126" s="71"/>
      <c r="M126" s="72" t="s">
        <v>88</v>
      </c>
      <c r="N126" s="90">
        <v>326.33</v>
      </c>
      <c r="O126" s="96" t="s">
        <v>135</v>
      </c>
      <c r="P126" s="97">
        <v>0.5159722222222223</v>
      </c>
      <c r="Q126" s="123" t="s">
        <v>136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46010.0</v>
      </c>
      <c r="I127" s="68"/>
      <c r="J127" s="69"/>
      <c r="K127" s="85"/>
      <c r="L127" s="71"/>
      <c r="M127" s="72"/>
      <c r="N127" s="90"/>
      <c r="O127" s="96"/>
      <c r="P127" s="97"/>
      <c r="Q127" s="98"/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46010.0</v>
      </c>
      <c r="I128" s="68"/>
      <c r="J128" s="69"/>
      <c r="K128" s="70"/>
      <c r="L128" s="71"/>
      <c r="M128" s="72"/>
      <c r="N128" s="90"/>
      <c r="O128" s="96"/>
      <c r="P128" s="97"/>
      <c r="Q128" s="98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46010.0</v>
      </c>
      <c r="I129" s="68"/>
      <c r="J129" s="69"/>
      <c r="K129" s="70"/>
      <c r="L129" s="71"/>
      <c r="M129" s="72"/>
      <c r="N129" s="90"/>
      <c r="O129" s="96"/>
      <c r="P129" s="97"/>
      <c r="Q129" s="98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/>
      <c r="I130" s="68"/>
      <c r="J130" s="69"/>
      <c r="K130" s="70"/>
      <c r="L130" s="71"/>
      <c r="M130" s="72"/>
      <c r="N130" s="90"/>
      <c r="O130" s="96"/>
      <c r="P130" s="97"/>
      <c r="Q130" s="98"/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/>
      <c r="I131" s="68"/>
      <c r="J131" s="69"/>
      <c r="K131" s="70"/>
      <c r="L131" s="88"/>
      <c r="M131" s="72"/>
      <c r="N131" s="90"/>
      <c r="O131" s="96"/>
      <c r="P131" s="97"/>
      <c r="Q131" s="98"/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/>
      <c r="I132" s="68"/>
      <c r="J132" s="69"/>
      <c r="K132" s="85"/>
      <c r="L132" s="71"/>
      <c r="M132" s="72"/>
      <c r="N132" s="90"/>
      <c r="O132" s="96"/>
      <c r="P132" s="97"/>
      <c r="Q132" s="98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/>
      <c r="I133" s="68"/>
      <c r="J133" s="69"/>
      <c r="K133" s="70"/>
      <c r="L133" s="88"/>
      <c r="M133" s="72"/>
      <c r="N133" s="90"/>
      <c r="O133" s="96"/>
      <c r="P133" s="97"/>
      <c r="Q133" s="98"/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/>
      <c r="I134" s="68"/>
      <c r="J134" s="69"/>
      <c r="K134" s="70"/>
      <c r="L134" s="71"/>
      <c r="M134" s="72"/>
      <c r="N134" s="90"/>
      <c r="O134" s="96"/>
      <c r="P134" s="124"/>
      <c r="Q134" s="98"/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/>
      <c r="I135" s="68"/>
      <c r="J135" s="69"/>
      <c r="K135" s="70"/>
      <c r="L135" s="71"/>
      <c r="M135" s="72"/>
      <c r="N135" s="90"/>
      <c r="O135" s="96"/>
      <c r="P135" s="97"/>
      <c r="Q135" s="98"/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/>
      <c r="I136" s="68"/>
      <c r="J136" s="69"/>
      <c r="K136" s="70"/>
      <c r="L136" s="71"/>
      <c r="M136" s="72"/>
      <c r="N136" s="90"/>
      <c r="O136" s="96"/>
      <c r="P136" s="97"/>
      <c r="Q136" s="98"/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/>
      <c r="I137" s="84"/>
      <c r="J137" s="17"/>
      <c r="K137" s="85"/>
      <c r="L137" s="86"/>
      <c r="M137" s="72"/>
      <c r="N137" s="90"/>
      <c r="O137" s="96"/>
      <c r="P137" s="97"/>
      <c r="Q137" s="98"/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/>
      <c r="I138" s="68"/>
      <c r="J138" s="69"/>
      <c r="K138" s="70"/>
      <c r="L138" s="71"/>
      <c r="M138" s="72"/>
      <c r="N138" s="90"/>
      <c r="O138" s="96"/>
      <c r="P138" s="97"/>
      <c r="Q138" s="98"/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/>
      <c r="I139" s="68"/>
      <c r="J139" s="69"/>
      <c r="K139" s="70"/>
      <c r="L139" s="71"/>
      <c r="M139" s="72"/>
      <c r="N139" s="90"/>
      <c r="O139" s="96"/>
      <c r="P139" s="97"/>
      <c r="Q139" s="98"/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/>
      <c r="I140" s="68"/>
      <c r="J140" s="69"/>
      <c r="K140" s="70"/>
      <c r="L140" s="71"/>
      <c r="M140" s="72"/>
      <c r="N140" s="90"/>
      <c r="O140" s="96"/>
      <c r="P140" s="97"/>
      <c r="Q140" s="98"/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/>
      <c r="I141" s="84"/>
      <c r="J141" s="17"/>
      <c r="K141" s="85"/>
      <c r="L141" s="86"/>
      <c r="M141" s="72"/>
      <c r="N141" s="90"/>
      <c r="O141" s="96"/>
      <c r="P141" s="97"/>
      <c r="Q141" s="98"/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/>
      <c r="I142" s="68"/>
      <c r="J142" s="69"/>
      <c r="K142" s="70"/>
      <c r="L142" s="71"/>
      <c r="M142" s="72"/>
      <c r="N142" s="90"/>
      <c r="O142" s="96"/>
      <c r="P142" s="97"/>
      <c r="Q142" s="98"/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/>
      <c r="I143" s="68"/>
      <c r="J143" s="69"/>
      <c r="K143" s="70"/>
      <c r="L143" s="71"/>
      <c r="M143" s="72"/>
      <c r="N143" s="90"/>
      <c r="O143" s="96"/>
      <c r="P143" s="97"/>
      <c r="Q143" s="98"/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/>
      <c r="I144" s="68"/>
      <c r="J144" s="69"/>
      <c r="K144" s="85"/>
      <c r="L144" s="71"/>
      <c r="M144" s="72"/>
      <c r="N144" s="90"/>
      <c r="O144" s="96"/>
      <c r="P144" s="99"/>
      <c r="Q144" s="100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/>
      <c r="I145" s="68"/>
      <c r="J145" s="69"/>
      <c r="K145" s="70"/>
      <c r="L145" s="71"/>
      <c r="M145" s="72"/>
      <c r="N145" s="90"/>
      <c r="O145" s="96"/>
      <c r="P145" s="97"/>
      <c r="Q145" s="98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/>
      <c r="I146" s="68"/>
      <c r="J146" s="69"/>
      <c r="K146" s="70"/>
      <c r="L146" s="71"/>
      <c r="M146" s="72"/>
      <c r="N146" s="90"/>
      <c r="O146" s="96"/>
      <c r="P146" s="97"/>
      <c r="Q146" s="98"/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/>
      <c r="I147" s="68"/>
      <c r="J147" s="69"/>
      <c r="K147" s="70"/>
      <c r="L147" s="88"/>
      <c r="M147" s="72"/>
      <c r="N147" s="90"/>
      <c r="O147" s="96"/>
      <c r="P147" s="97"/>
      <c r="Q147" s="98"/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/>
      <c r="I148" s="68"/>
      <c r="J148" s="69"/>
      <c r="K148" s="85"/>
      <c r="L148" s="88"/>
      <c r="M148" s="72"/>
      <c r="N148" s="90"/>
      <c r="O148" s="96"/>
      <c r="P148" s="97"/>
      <c r="Q148" s="98"/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/>
      <c r="I149" s="68"/>
      <c r="J149" s="69"/>
      <c r="K149" s="70"/>
      <c r="L149" s="71"/>
      <c r="M149" s="72"/>
      <c r="N149" s="90"/>
      <c r="O149" s="96"/>
      <c r="P149" s="97"/>
      <c r="Q149" s="98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/>
      <c r="I150" s="68"/>
      <c r="J150" s="69"/>
      <c r="K150" s="70"/>
      <c r="L150" s="71"/>
      <c r="M150" s="72"/>
      <c r="N150" s="90"/>
      <c r="O150" s="96"/>
      <c r="P150" s="97"/>
      <c r="Q150" s="98"/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/>
      <c r="I151" s="68"/>
      <c r="J151" s="69"/>
      <c r="K151" s="70"/>
      <c r="L151" s="71"/>
      <c r="M151" s="72"/>
      <c r="N151" s="90"/>
      <c r="O151" s="96"/>
      <c r="P151" s="97"/>
      <c r="Q151" s="98"/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/>
      <c r="I152" s="68"/>
      <c r="J152" s="69"/>
      <c r="K152" s="87"/>
      <c r="L152" s="71"/>
      <c r="M152" s="72"/>
      <c r="N152" s="90"/>
      <c r="O152" s="96"/>
      <c r="P152" s="99"/>
      <c r="Q152" s="100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/>
      <c r="I153" s="68"/>
      <c r="J153" s="69"/>
      <c r="K153" s="70"/>
      <c r="L153" s="71"/>
      <c r="M153" s="72"/>
      <c r="N153" s="90"/>
      <c r="O153" s="96"/>
      <c r="P153" s="97"/>
      <c r="Q153" s="98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/>
      <c r="I154" s="68"/>
      <c r="J154" s="69"/>
      <c r="K154" s="85"/>
      <c r="L154" s="71"/>
      <c r="M154" s="72"/>
      <c r="N154" s="90"/>
      <c r="O154" s="96"/>
      <c r="P154" s="97"/>
      <c r="Q154" s="98"/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/>
      <c r="I155" s="68"/>
      <c r="J155" s="69"/>
      <c r="K155" s="85"/>
      <c r="L155" s="71"/>
      <c r="M155" s="72"/>
      <c r="N155" s="73"/>
      <c r="O155" s="115"/>
      <c r="P155" s="75"/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/>
      <c r="I156" s="68"/>
      <c r="J156" s="69"/>
      <c r="K156" s="70"/>
      <c r="L156" s="71"/>
      <c r="M156" s="72"/>
      <c r="N156" s="73"/>
      <c r="O156" s="115"/>
      <c r="P156" s="75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/>
      <c r="I157" s="68"/>
      <c r="J157" s="69"/>
      <c r="K157" s="70"/>
      <c r="L157" s="71"/>
      <c r="M157" s="72"/>
      <c r="N157" s="73"/>
      <c r="O157" s="115"/>
      <c r="P157" s="75"/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/>
      <c r="I158" s="68"/>
      <c r="J158" s="69"/>
      <c r="K158" s="87"/>
      <c r="L158" s="71"/>
      <c r="M158" s="72"/>
      <c r="N158" s="73"/>
      <c r="O158" s="115"/>
      <c r="P158" s="75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/>
      <c r="I159" s="68"/>
      <c r="J159" s="69"/>
      <c r="K159" s="87"/>
      <c r="L159" s="71"/>
      <c r="M159" s="72"/>
      <c r="N159" s="73"/>
      <c r="O159" s="115"/>
      <c r="P159" s="75"/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/>
      <c r="I160" s="68"/>
      <c r="J160" s="69"/>
      <c r="K160" s="70"/>
      <c r="L160" s="88"/>
      <c r="M160" s="72"/>
      <c r="N160" s="73"/>
      <c r="O160" s="115"/>
      <c r="P160" s="75"/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/>
      <c r="I161" s="68"/>
      <c r="J161" s="69"/>
      <c r="K161" s="70"/>
      <c r="L161" s="71"/>
      <c r="M161" s="72"/>
      <c r="N161" s="90"/>
      <c r="O161" s="74"/>
      <c r="P161" s="75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/>
      <c r="I162" s="68"/>
      <c r="J162" s="69"/>
      <c r="K162" s="93"/>
      <c r="L162" s="71"/>
      <c r="M162" s="72"/>
      <c r="N162" s="90"/>
      <c r="O162" s="74"/>
      <c r="P162" s="75"/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/>
      <c r="I163" s="68"/>
      <c r="J163" s="69"/>
      <c r="K163" s="70"/>
      <c r="L163" s="71"/>
      <c r="M163" s="72"/>
      <c r="N163" s="90"/>
      <c r="O163" s="74"/>
      <c r="P163" s="75"/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/>
      <c r="I164" s="68"/>
      <c r="J164" s="69"/>
      <c r="K164" s="70"/>
      <c r="L164" s="71"/>
      <c r="M164" s="72"/>
      <c r="N164" s="90"/>
      <c r="O164" s="74"/>
      <c r="P164" s="75"/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/>
      <c r="I165" s="68"/>
      <c r="J165" s="69"/>
      <c r="K165" s="70"/>
      <c r="L165" s="71"/>
      <c r="M165" s="72"/>
      <c r="N165" s="90"/>
      <c r="O165" s="74"/>
      <c r="P165" s="75"/>
      <c r="R165" s="39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/>
      <c r="I166" s="68"/>
      <c r="J166" s="69"/>
      <c r="K166" s="70"/>
      <c r="L166" s="71"/>
      <c r="M166" s="72"/>
      <c r="N166" s="90"/>
      <c r="O166" s="74"/>
      <c r="P166" s="75"/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/>
      <c r="I167" s="68"/>
      <c r="J167" s="69"/>
      <c r="K167" s="70"/>
      <c r="L167" s="71"/>
      <c r="M167" s="72"/>
      <c r="N167" s="90"/>
      <c r="O167" s="74"/>
      <c r="P167" s="75"/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/>
      <c r="I168" s="68"/>
      <c r="J168" s="69"/>
      <c r="K168" s="87"/>
      <c r="L168" s="71"/>
      <c r="M168" s="72"/>
      <c r="N168" s="90"/>
      <c r="O168" s="74"/>
      <c r="P168" s="75"/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/>
      <c r="I169" s="68"/>
      <c r="J169" s="69"/>
      <c r="K169" s="70"/>
      <c r="L169" s="71"/>
      <c r="M169" s="72"/>
      <c r="N169" s="90"/>
      <c r="O169" s="74"/>
      <c r="P169" s="75"/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/>
      <c r="I170" s="68"/>
      <c r="J170" s="69"/>
      <c r="K170" s="70"/>
      <c r="L170" s="71"/>
      <c r="M170" s="72"/>
      <c r="N170" s="90"/>
      <c r="O170" s="74"/>
      <c r="P170" s="75"/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/>
      <c r="I171" s="68"/>
      <c r="J171" s="69"/>
      <c r="K171" s="85"/>
      <c r="L171" s="71"/>
      <c r="M171" s="72"/>
      <c r="N171" s="90"/>
      <c r="O171" s="74"/>
      <c r="P171" s="75"/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/>
      <c r="I172" s="84"/>
      <c r="J172" s="17"/>
      <c r="K172" s="85"/>
      <c r="L172" s="86"/>
      <c r="M172" s="72"/>
      <c r="N172" s="90"/>
      <c r="O172" s="74"/>
      <c r="P172" s="75"/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/>
      <c r="I173" s="84"/>
      <c r="J173" s="17"/>
      <c r="K173" s="85"/>
      <c r="L173" s="86"/>
      <c r="M173" s="72"/>
      <c r="N173" s="90"/>
      <c r="O173" s="74"/>
      <c r="P173" s="94"/>
      <c r="R173" s="39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/>
      <c r="I174" s="68"/>
      <c r="J174" s="69"/>
      <c r="K174" s="70"/>
      <c r="L174" s="71"/>
      <c r="M174" s="72"/>
      <c r="N174" s="90"/>
      <c r="O174" s="74"/>
      <c r="P174" s="75"/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/>
      <c r="I175" s="68"/>
      <c r="J175" s="69"/>
      <c r="K175" s="87"/>
      <c r="L175" s="71"/>
      <c r="M175" s="72"/>
      <c r="N175" s="90"/>
      <c r="O175" s="74"/>
      <c r="P175" s="75"/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/>
      <c r="I176" s="68"/>
      <c r="J176" s="69"/>
      <c r="K176" s="70"/>
      <c r="L176" s="71"/>
      <c r="M176" s="72"/>
      <c r="N176" s="90"/>
      <c r="O176" s="74"/>
      <c r="P176" s="75"/>
      <c r="Q176" s="41"/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/>
      <c r="I177" s="68"/>
      <c r="J177" s="69"/>
      <c r="K177" s="70"/>
      <c r="L177" s="71"/>
      <c r="M177" s="72"/>
      <c r="N177" s="90"/>
      <c r="O177" s="74"/>
      <c r="P177" s="75"/>
      <c r="Q177" s="41"/>
      <c r="R177" s="39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/>
      <c r="I178" s="68"/>
      <c r="J178" s="69"/>
      <c r="K178" s="70"/>
      <c r="L178" s="71"/>
      <c r="M178" s="72"/>
      <c r="N178" s="90"/>
      <c r="O178" s="74"/>
      <c r="P178" s="75"/>
      <c r="Q178" s="41"/>
      <c r="R178" s="39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/>
      <c r="I179" s="68"/>
      <c r="J179" s="69"/>
      <c r="K179" s="70"/>
      <c r="L179" s="71"/>
      <c r="M179" s="72"/>
      <c r="N179" s="90"/>
      <c r="O179" s="74"/>
      <c r="P179" s="75"/>
      <c r="Q179" s="41"/>
      <c r="R179" s="39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/>
      <c r="I180" s="68"/>
      <c r="J180" s="69"/>
      <c r="K180" s="87"/>
      <c r="L180" s="71"/>
      <c r="M180" s="72"/>
      <c r="N180" s="90"/>
      <c r="O180" s="74"/>
      <c r="P180" s="75"/>
      <c r="R180" s="39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/>
      <c r="I181" s="68"/>
      <c r="J181" s="69"/>
      <c r="K181" s="85"/>
      <c r="L181" s="71"/>
      <c r="M181" s="72"/>
      <c r="N181" s="90"/>
      <c r="O181" s="74"/>
      <c r="P181" s="75"/>
      <c r="Q181" s="125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/>
      <c r="I182" s="68"/>
      <c r="J182" s="69"/>
      <c r="K182" s="85"/>
      <c r="L182" s="71"/>
      <c r="M182" s="72"/>
      <c r="N182" s="19"/>
      <c r="O182" s="126"/>
      <c r="P182" s="94"/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/>
      <c r="I183" s="68"/>
      <c r="J183" s="69"/>
      <c r="K183" s="85"/>
      <c r="L183" s="71"/>
      <c r="M183" s="72"/>
      <c r="N183" s="19"/>
      <c r="O183" s="126"/>
      <c r="P183" s="94"/>
      <c r="Q183" s="41"/>
      <c r="R183" s="39"/>
      <c r="S183" s="125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/>
      <c r="I184" s="68"/>
      <c r="J184" s="69"/>
      <c r="K184" s="87"/>
      <c r="L184" s="71"/>
      <c r="M184" s="72"/>
      <c r="N184" s="90"/>
      <c r="O184" s="74"/>
      <c r="P184" s="94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/>
      <c r="I185" s="68"/>
      <c r="J185" s="69"/>
      <c r="K185" s="87"/>
      <c r="L185" s="71"/>
      <c r="M185" s="127"/>
      <c r="N185" s="19"/>
      <c r="O185" s="128"/>
      <c r="P185" s="129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/>
      <c r="I186" s="68"/>
      <c r="J186" s="69"/>
      <c r="K186" s="87"/>
      <c r="L186" s="71"/>
      <c r="M186" s="72"/>
      <c r="N186" s="90"/>
      <c r="O186" s="74"/>
      <c r="P186" s="75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/>
      <c r="I187" s="84"/>
      <c r="J187" s="17"/>
      <c r="K187" s="85"/>
      <c r="L187" s="86"/>
      <c r="M187" s="72"/>
      <c r="N187" s="90"/>
      <c r="O187" s="74"/>
      <c r="P187" s="75"/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/>
      <c r="I190" s="84"/>
      <c r="J190" s="17"/>
      <c r="K190" s="85"/>
      <c r="L190" s="86"/>
      <c r="M190" s="72"/>
      <c r="N190" s="90"/>
      <c r="O190" s="74"/>
      <c r="P190" s="75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/>
      <c r="I191" s="68"/>
      <c r="J191" s="69"/>
      <c r="K191" s="87"/>
      <c r="L191" s="71"/>
      <c r="M191" s="72"/>
      <c r="N191" s="90"/>
      <c r="O191" s="74"/>
      <c r="P191" s="75"/>
      <c r="Q191" s="41"/>
      <c r="R191" s="39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/>
      <c r="I192" s="84"/>
      <c r="J192" s="17"/>
      <c r="K192" s="85"/>
      <c r="L192" s="86"/>
      <c r="M192" s="72"/>
      <c r="N192" s="90"/>
      <c r="O192" s="74"/>
      <c r="P192" s="75"/>
      <c r="Q192" s="41"/>
      <c r="R192" s="39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/>
      <c r="I193" s="84"/>
      <c r="J193" s="17"/>
      <c r="K193" s="85"/>
      <c r="L193" s="86"/>
      <c r="M193" s="72"/>
      <c r="N193" s="90"/>
      <c r="O193" s="74"/>
      <c r="P193" s="75"/>
      <c r="Q193" s="41"/>
      <c r="R193" s="39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/>
      <c r="I194" s="84"/>
      <c r="J194" s="17"/>
      <c r="K194" s="85"/>
      <c r="L194" s="86"/>
      <c r="M194" s="72"/>
      <c r="N194" s="90"/>
      <c r="O194" s="74"/>
      <c r="P194" s="75"/>
      <c r="Q194" s="41"/>
      <c r="R194" s="39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/>
      <c r="I195" s="84"/>
      <c r="J195" s="17"/>
      <c r="K195" s="85"/>
      <c r="L195" s="86"/>
      <c r="M195" s="72"/>
      <c r="N195" s="90"/>
      <c r="O195" s="74"/>
      <c r="P195" s="94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/>
      <c r="I196" s="84"/>
      <c r="J196" s="17"/>
      <c r="K196" s="85"/>
      <c r="L196" s="86"/>
      <c r="M196" s="72"/>
      <c r="N196" s="90"/>
      <c r="O196" s="74"/>
      <c r="P196" s="94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/>
      <c r="I197" s="84"/>
      <c r="J197" s="17"/>
      <c r="K197" s="85"/>
      <c r="L197" s="86"/>
      <c r="M197" s="72"/>
      <c r="N197" s="90"/>
      <c r="O197" s="74"/>
      <c r="P197" s="75"/>
      <c r="Q197" s="41"/>
      <c r="R197" s="39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/>
      <c r="I198" s="84"/>
      <c r="J198" s="17"/>
      <c r="K198" s="85"/>
      <c r="L198" s="86"/>
      <c r="M198" s="72"/>
      <c r="N198" s="90"/>
      <c r="O198" s="74"/>
      <c r="P198" s="75"/>
      <c r="Q198" s="41"/>
      <c r="R198" s="39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/>
      <c r="I199" s="84"/>
      <c r="J199" s="17"/>
      <c r="K199" s="85"/>
      <c r="L199" s="86"/>
      <c r="M199" s="72"/>
      <c r="N199" s="90"/>
      <c r="O199" s="74"/>
      <c r="P199" s="75"/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/>
      <c r="I200" s="84"/>
      <c r="J200" s="17"/>
      <c r="K200" s="85"/>
      <c r="L200" s="86"/>
      <c r="M200" s="72"/>
      <c r="N200" s="90"/>
      <c r="O200" s="74"/>
      <c r="P200" s="75"/>
      <c r="Q200" s="41"/>
      <c r="R200" s="39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/>
      <c r="I201" s="84"/>
      <c r="J201" s="17"/>
      <c r="K201" s="85"/>
      <c r="L201" s="86"/>
      <c r="M201" s="72"/>
      <c r="N201" s="90"/>
      <c r="O201" s="74"/>
      <c r="P201" s="75"/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/>
      <c r="I202" s="84"/>
      <c r="J202" s="17"/>
      <c r="K202" s="85"/>
      <c r="L202" s="86"/>
      <c r="M202" s="72"/>
      <c r="N202" s="90"/>
      <c r="O202" s="74"/>
      <c r="P202" s="75"/>
      <c r="Q202" s="41"/>
      <c r="R202" s="39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/>
      <c r="I203" s="84"/>
      <c r="J203" s="17"/>
      <c r="K203" s="85"/>
      <c r="L203" s="86"/>
      <c r="M203" s="72"/>
      <c r="N203" s="90"/>
      <c r="O203" s="74"/>
      <c r="P203" s="75"/>
      <c r="Q203" s="41"/>
      <c r="R203" s="39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/>
      <c r="I204" s="84"/>
      <c r="J204" s="17"/>
      <c r="K204" s="85"/>
      <c r="L204" s="86"/>
      <c r="M204" s="72"/>
      <c r="N204" s="90"/>
      <c r="O204" s="74"/>
      <c r="P204" s="75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/>
      <c r="I205" s="84"/>
      <c r="J205" s="17"/>
      <c r="K205" s="85"/>
      <c r="L205" s="86"/>
      <c r="M205" s="72"/>
      <c r="N205" s="90"/>
      <c r="O205" s="74"/>
      <c r="P205" s="75"/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/>
      <c r="I206" s="84"/>
      <c r="J206" s="17"/>
      <c r="K206" s="85"/>
      <c r="L206" s="86"/>
      <c r="M206" s="72"/>
      <c r="N206" s="90"/>
      <c r="O206" s="74"/>
      <c r="P206" s="75"/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/>
      <c r="I207" s="84"/>
      <c r="J207" s="17"/>
      <c r="K207" s="85"/>
      <c r="L207" s="86"/>
      <c r="M207" s="72"/>
      <c r="N207" s="90"/>
      <c r="O207" s="74"/>
      <c r="P207" s="75"/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/>
      <c r="I208" s="84"/>
      <c r="J208" s="17"/>
      <c r="K208" s="85"/>
      <c r="L208" s="86"/>
      <c r="M208" s="72"/>
      <c r="N208" s="90"/>
      <c r="O208" s="74"/>
      <c r="P208" s="94"/>
      <c r="Q208" s="41"/>
      <c r="R208" s="39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/>
      <c r="I209" s="84"/>
      <c r="J209" s="17"/>
      <c r="K209" s="85"/>
      <c r="L209" s="86"/>
      <c r="M209" s="72"/>
      <c r="N209" s="90"/>
      <c r="O209" s="74"/>
      <c r="P209" s="75"/>
      <c r="Q209" s="41"/>
      <c r="R209" s="39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/>
      <c r="I210" s="84"/>
      <c r="J210" s="17"/>
      <c r="K210" s="85"/>
      <c r="L210" s="86"/>
      <c r="M210" s="72"/>
      <c r="N210" s="90"/>
      <c r="O210" s="74"/>
      <c r="P210" s="75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/>
      <c r="I211" s="84"/>
      <c r="J211" s="17"/>
      <c r="K211" s="85"/>
      <c r="L211" s="86"/>
      <c r="M211" s="72"/>
      <c r="N211" s="90"/>
      <c r="O211" s="74"/>
      <c r="P211" s="75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/>
      <c r="I212" s="84"/>
      <c r="J212" s="17"/>
      <c r="K212" s="85"/>
      <c r="L212" s="86"/>
      <c r="M212" s="72"/>
      <c r="N212" s="90"/>
      <c r="O212" s="74"/>
      <c r="P212" s="75"/>
      <c r="Q212" s="41"/>
      <c r="R212" s="39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/>
      <c r="I213" s="84"/>
      <c r="J213" s="17"/>
      <c r="K213" s="85"/>
      <c r="L213" s="86"/>
      <c r="M213" s="72"/>
      <c r="N213" s="90"/>
      <c r="O213" s="74"/>
      <c r="P213" s="75"/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/>
      <c r="I214" s="84"/>
      <c r="J214" s="17"/>
      <c r="K214" s="85"/>
      <c r="L214" s="86"/>
      <c r="M214" s="72"/>
      <c r="N214" s="90"/>
      <c r="O214" s="74"/>
      <c r="P214" s="75"/>
      <c r="Q214" s="41"/>
      <c r="R214" s="39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/>
      <c r="I215" s="68"/>
      <c r="J215" s="69"/>
      <c r="K215" s="85"/>
      <c r="L215" s="71"/>
      <c r="M215" s="72"/>
      <c r="N215" s="90"/>
      <c r="O215" s="74"/>
      <c r="P215" s="75"/>
      <c r="Q215" s="41"/>
      <c r="R215" s="39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/>
      <c r="I216" s="84"/>
      <c r="J216" s="17"/>
      <c r="K216" s="85"/>
      <c r="L216" s="86"/>
      <c r="M216" s="72"/>
      <c r="N216" s="90"/>
      <c r="O216" s="74"/>
      <c r="P216" s="75"/>
      <c r="Q216" s="41"/>
      <c r="R216" s="39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/>
      <c r="I217" s="84"/>
      <c r="J217" s="17"/>
      <c r="K217" s="85"/>
      <c r="L217" s="86"/>
      <c r="M217" s="72"/>
      <c r="N217" s="90"/>
      <c r="O217" s="74"/>
      <c r="P217" s="94"/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/>
      <c r="I218" s="84"/>
      <c r="J218" s="17"/>
      <c r="K218" s="85"/>
      <c r="L218" s="86"/>
      <c r="M218" s="72"/>
      <c r="N218" s="90"/>
      <c r="O218" s="74"/>
      <c r="P218" s="75"/>
      <c r="Q218" s="41"/>
      <c r="R218" s="39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/>
      <c r="I219" s="84"/>
      <c r="J219" s="17"/>
      <c r="K219" s="85"/>
      <c r="L219" s="86"/>
      <c r="M219" s="72"/>
      <c r="N219" s="19"/>
      <c r="O219" s="74"/>
      <c r="P219" s="75"/>
      <c r="Q219" s="41"/>
      <c r="R219" s="39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/>
      <c r="I220" s="84"/>
      <c r="J220" s="17"/>
      <c r="K220" s="85"/>
      <c r="L220" s="86"/>
      <c r="M220" s="72"/>
      <c r="N220" s="90"/>
      <c r="O220" s="74"/>
      <c r="P220" s="75"/>
      <c r="Q220" s="41"/>
      <c r="R220" s="39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/>
      <c r="I221" s="84"/>
      <c r="J221" s="17"/>
      <c r="K221" s="85"/>
      <c r="L221" s="86"/>
      <c r="M221" s="72"/>
      <c r="N221" s="90"/>
      <c r="O221" s="74"/>
      <c r="P221" s="75"/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/>
      <c r="I222" s="84"/>
      <c r="J222" s="17"/>
      <c r="K222" s="85"/>
      <c r="L222" s="86"/>
      <c r="M222" s="72"/>
      <c r="N222" s="90"/>
      <c r="O222" s="74"/>
      <c r="P222" s="75"/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42:AB42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0.38"/>
    <col customWidth="1" min="22" max="23" width="6.88"/>
    <col customWidth="1" min="24" max="24" width="6.5"/>
    <col customWidth="1" min="25" max="28" width="6.88"/>
  </cols>
  <sheetData>
    <row r="1" ht="48.75" customHeight="1">
      <c r="A1" s="1" t="s">
        <v>0</v>
      </c>
      <c r="B1" s="2"/>
      <c r="C1" s="3" t="s">
        <v>137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138</v>
      </c>
      <c r="D4" s="21"/>
      <c r="E4" s="20"/>
      <c r="F4" s="21"/>
      <c r="G4" s="23" t="s">
        <v>139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8873.59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190060.2481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140</v>
      </c>
      <c r="D7" s="54" t="s">
        <v>16</v>
      </c>
      <c r="E7" s="29"/>
      <c r="F7" s="30"/>
      <c r="G7" s="55">
        <v>1.0</v>
      </c>
      <c r="H7" s="56">
        <v>45962.0</v>
      </c>
      <c r="I7" s="57" t="s">
        <v>141</v>
      </c>
      <c r="J7" s="58">
        <f>'2025年10月收支财务报表'!C25</f>
        <v>221029.655</v>
      </c>
      <c r="K7" s="59"/>
      <c r="L7" s="60"/>
      <c r="M7" s="61" t="s">
        <v>18</v>
      </c>
      <c r="N7" s="62">
        <v>1150.0</v>
      </c>
      <c r="O7" s="63" t="s">
        <v>142</v>
      </c>
      <c r="P7" s="64">
        <v>0.46805555555555556</v>
      </c>
      <c r="R7" s="39"/>
      <c r="S7" s="25">
        <f>SUMIF(M:M,"凤凰渠道-泰华",N:N)</f>
        <v>2220</v>
      </c>
      <c r="T7" s="101" t="s">
        <v>75</v>
      </c>
      <c r="U7" s="40"/>
      <c r="V7" s="40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45962.0</v>
      </c>
      <c r="I8" s="68"/>
      <c r="J8" s="69"/>
      <c r="K8" s="70"/>
      <c r="L8" s="71"/>
      <c r="M8" s="80" t="s">
        <v>28</v>
      </c>
      <c r="N8" s="90">
        <v>218.0</v>
      </c>
      <c r="O8" s="74" t="s">
        <v>143</v>
      </c>
      <c r="P8" s="75">
        <v>0.6291666666666667</v>
      </c>
      <c r="R8" s="39"/>
      <c r="S8" s="25">
        <f>SUMIF(M:M,"wade shen 美金谷歌户25+5%",N:N)</f>
        <v>633.93</v>
      </c>
      <c r="T8" s="101" t="s">
        <v>19</v>
      </c>
      <c r="U8" s="76" t="s">
        <v>144</v>
      </c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357273.995</v>
      </c>
      <c r="D9" s="30"/>
      <c r="E9" s="29"/>
      <c r="F9" s="30"/>
      <c r="G9" s="66">
        <v>3.0</v>
      </c>
      <c r="H9" s="67">
        <v>45962.0</v>
      </c>
      <c r="I9" s="68" t="s">
        <v>83</v>
      </c>
      <c r="J9" s="69">
        <v>18000.0</v>
      </c>
      <c r="K9" s="70"/>
      <c r="L9" s="71">
        <v>0.6569444444444444</v>
      </c>
      <c r="M9" s="61" t="s">
        <v>81</v>
      </c>
      <c r="N9" s="90">
        <v>7500.0</v>
      </c>
      <c r="O9" s="74"/>
      <c r="P9" s="75">
        <v>0.6597222222222222</v>
      </c>
      <c r="R9" s="39"/>
      <c r="S9" s="25">
        <f>SUMIF(M:M,"二不限企业户",N:N)</f>
        <v>1414.78</v>
      </c>
      <c r="T9" s="101" t="s">
        <v>73</v>
      </c>
      <c r="U9" s="95" t="s">
        <v>145</v>
      </c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45962.0</v>
      </c>
      <c r="I10" s="68"/>
      <c r="J10" s="69"/>
      <c r="K10" s="70"/>
      <c r="L10" s="71"/>
      <c r="M10" s="80" t="s">
        <v>146</v>
      </c>
      <c r="N10" s="90">
        <v>104.0</v>
      </c>
      <c r="O10" s="74" t="s">
        <v>147</v>
      </c>
      <c r="P10" s="75">
        <v>0.7006944444444444</v>
      </c>
      <c r="R10" s="39"/>
      <c r="S10" s="25">
        <f>SUMIF(M:M,"星链-AdNova",N:N)</f>
        <v>25845.8718</v>
      </c>
      <c r="T10" s="101" t="s">
        <v>49</v>
      </c>
      <c r="V10" s="40"/>
      <c r="Y10" s="30"/>
      <c r="Z10" s="30"/>
      <c r="AA10" s="30"/>
      <c r="AB10" s="30"/>
    </row>
    <row r="11" ht="27.75" customHeight="1">
      <c r="A11" s="29"/>
      <c r="B11" s="30"/>
      <c r="C11" s="79">
        <f>C23</f>
        <v>331257.4994</v>
      </c>
      <c r="D11" s="30"/>
      <c r="E11" s="29"/>
      <c r="F11" s="30"/>
      <c r="G11" s="66">
        <v>5.0</v>
      </c>
      <c r="H11" s="67">
        <v>45962.0</v>
      </c>
      <c r="I11" s="68"/>
      <c r="J11" s="69"/>
      <c r="K11" s="70"/>
      <c r="L11" s="71"/>
      <c r="M11" s="80" t="s">
        <v>146</v>
      </c>
      <c r="N11" s="90">
        <v>208.0</v>
      </c>
      <c r="O11" s="74" t="s">
        <v>148</v>
      </c>
      <c r="P11" s="75">
        <v>0.86875</v>
      </c>
      <c r="R11" s="39"/>
      <c r="S11" s="25">
        <f>SUMIF(M:M,"GT&amp;SHEN 欧洲户新",N:N)</f>
        <v>218</v>
      </c>
      <c r="T11" s="101" t="s">
        <v>28</v>
      </c>
      <c r="U11" s="95" t="s">
        <v>149</v>
      </c>
      <c r="V11" s="40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45962.0</v>
      </c>
      <c r="I12" s="68"/>
      <c r="J12" s="69"/>
      <c r="K12" s="70"/>
      <c r="L12" s="71"/>
      <c r="M12" s="72" t="s">
        <v>81</v>
      </c>
      <c r="N12" s="90">
        <v>9150.0</v>
      </c>
      <c r="O12" s="74"/>
      <c r="P12" s="75">
        <v>0.9472222222222222</v>
      </c>
      <c r="R12" s="39"/>
      <c r="S12" s="25">
        <f>SUMIF(M:M,"fb三不限10➕1Nancy",N:N)</f>
        <v>5394.88</v>
      </c>
      <c r="T12" s="52" t="s">
        <v>18</v>
      </c>
      <c r="U12" s="40"/>
      <c r="V12" s="40"/>
      <c r="Y12" s="30"/>
      <c r="Z12" s="30"/>
      <c r="AA12" s="30"/>
      <c r="AB12" s="30"/>
    </row>
    <row r="13" ht="27.75" customHeight="1">
      <c r="A13" s="29"/>
      <c r="B13" s="30"/>
      <c r="C13" s="82">
        <f>C9-C11</f>
        <v>26016.4956</v>
      </c>
      <c r="D13" s="30"/>
      <c r="E13" s="29"/>
      <c r="F13" s="30"/>
      <c r="G13" s="66">
        <v>7.0</v>
      </c>
      <c r="H13" s="67">
        <v>45963.0</v>
      </c>
      <c r="I13" s="68" t="s">
        <v>83</v>
      </c>
      <c r="J13" s="69">
        <v>36000.0</v>
      </c>
      <c r="K13" s="70"/>
      <c r="L13" s="71">
        <v>0.5576388888888889</v>
      </c>
      <c r="M13" s="80" t="s">
        <v>20</v>
      </c>
      <c r="N13" s="90">
        <v>14.15</v>
      </c>
      <c r="O13" s="74" t="s">
        <v>150</v>
      </c>
      <c r="P13" s="75">
        <v>0.5888888888888889</v>
      </c>
      <c r="R13" s="39"/>
      <c r="S13" s="25">
        <f>SUMIF(M:M,"GT&amp;papa 二不限",N:N)</f>
        <v>312</v>
      </c>
      <c r="T13" s="101" t="s">
        <v>31</v>
      </c>
      <c r="U13" s="76" t="s">
        <v>151</v>
      </c>
      <c r="V13" s="76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45963.0</v>
      </c>
      <c r="I14" s="84"/>
      <c r="J14" s="17"/>
      <c r="K14" s="85"/>
      <c r="L14" s="86"/>
      <c r="M14" s="80" t="s">
        <v>111</v>
      </c>
      <c r="N14" s="90">
        <v>1414.78</v>
      </c>
      <c r="O14" s="74" t="s">
        <v>152</v>
      </c>
      <c r="P14" s="75">
        <v>0.5965277777777778</v>
      </c>
      <c r="R14" s="39"/>
      <c r="S14" s="25">
        <f>SUMIF(M:M,"岳总",N:N)</f>
        <v>31650</v>
      </c>
      <c r="T14" s="101" t="s">
        <v>81</v>
      </c>
      <c r="U14" s="76"/>
      <c r="V14" s="40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45963.0</v>
      </c>
      <c r="I15" s="68"/>
      <c r="J15" s="69"/>
      <c r="K15" s="87"/>
      <c r="L15" s="88"/>
      <c r="M15" s="61" t="s">
        <v>81</v>
      </c>
      <c r="N15" s="90">
        <v>15000.0</v>
      </c>
      <c r="O15" s="74"/>
      <c r="P15" s="75">
        <v>0.6625</v>
      </c>
      <c r="R15" s="39"/>
      <c r="S15" s="25">
        <f>SUMIF(M:M,"GT&amp;SHEN 谷歌原生账单户",N:N)</f>
        <v>50</v>
      </c>
      <c r="T15" s="101" t="s">
        <v>37</v>
      </c>
      <c r="U15" s="95" t="s">
        <v>149</v>
      </c>
      <c r="V15" s="40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45963.0</v>
      </c>
      <c r="I16" s="84"/>
      <c r="J16" s="17"/>
      <c r="K16" s="85"/>
      <c r="L16" s="86"/>
      <c r="M16" s="72" t="s">
        <v>20</v>
      </c>
      <c r="N16" s="90">
        <v>240.0</v>
      </c>
      <c r="O16" s="74" t="s">
        <v>153</v>
      </c>
      <c r="P16" s="75">
        <v>0.6729166666666667</v>
      </c>
      <c r="R16" s="39"/>
      <c r="S16" s="25">
        <f>SUMIF(M:M,"路人互动",N:N)</f>
        <v>5809.98</v>
      </c>
      <c r="T16" s="101" t="s">
        <v>36</v>
      </c>
      <c r="U16" s="40"/>
      <c r="V16" s="76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45964.0</v>
      </c>
      <c r="I17" s="68" t="s">
        <v>154</v>
      </c>
      <c r="J17" s="69">
        <v>200.0</v>
      </c>
      <c r="K17" s="70" t="s">
        <v>155</v>
      </c>
      <c r="L17" s="71">
        <v>0.44583333333333336</v>
      </c>
      <c r="M17" s="72" t="s">
        <v>20</v>
      </c>
      <c r="N17" s="102">
        <v>66.0</v>
      </c>
      <c r="O17" s="74" t="s">
        <v>156</v>
      </c>
      <c r="P17" s="75">
        <v>0.4722222222222222</v>
      </c>
      <c r="R17" s="39"/>
      <c r="S17" s="25">
        <f>SUMIF(M:M,"启航",N:N)</f>
        <v>4633.29</v>
      </c>
      <c r="T17" s="101" t="s">
        <v>43</v>
      </c>
      <c r="U17" s="40"/>
      <c r="V17" s="40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45964.0</v>
      </c>
      <c r="I18" s="68"/>
      <c r="J18" s="69"/>
      <c r="K18" s="92"/>
      <c r="L18" s="88"/>
      <c r="M18" s="80" t="s">
        <v>157</v>
      </c>
      <c r="N18" s="90">
        <v>633.93</v>
      </c>
      <c r="O18" s="74" t="s">
        <v>158</v>
      </c>
      <c r="P18" s="75">
        <v>0.4895833333333333</v>
      </c>
      <c r="R18" s="39"/>
      <c r="S18" s="25">
        <f>SUMIF(M:M,"印度户印尼企业户",N:N)</f>
        <v>5779.89</v>
      </c>
      <c r="T18" s="101" t="s">
        <v>47</v>
      </c>
      <c r="V18" s="40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45964.0</v>
      </c>
      <c r="I19" s="68"/>
      <c r="J19" s="69"/>
      <c r="K19" s="70"/>
      <c r="L19" s="71"/>
      <c r="M19" s="80" t="s">
        <v>20</v>
      </c>
      <c r="N19" s="90">
        <v>14.15</v>
      </c>
      <c r="O19" s="74" t="s">
        <v>150</v>
      </c>
      <c r="P19" s="75">
        <v>0.5090277777777777</v>
      </c>
      <c r="R19" s="39"/>
      <c r="S19" s="25">
        <f>SUMIF(M:M,"海总新渠道",N:N)</f>
        <v>1665</v>
      </c>
      <c r="T19" s="101" t="s">
        <v>50</v>
      </c>
      <c r="V19" s="40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45964.0</v>
      </c>
      <c r="I20" s="68"/>
      <c r="J20" s="69"/>
      <c r="K20" s="70"/>
      <c r="L20" s="88"/>
      <c r="M20" s="72" t="s">
        <v>37</v>
      </c>
      <c r="N20" s="90">
        <v>50.0</v>
      </c>
      <c r="O20" s="74" t="s">
        <v>159</v>
      </c>
      <c r="P20" s="75">
        <v>0.5472222222222223</v>
      </c>
      <c r="R20" s="39"/>
      <c r="S20" s="25">
        <f>SUMIF(M:M,"GT&amp;海总 欧洲金融户",N:N)</f>
        <v>387.63</v>
      </c>
      <c r="T20" s="101" t="s">
        <v>54</v>
      </c>
    </row>
    <row r="21" ht="27.75" customHeight="1">
      <c r="A21" s="29"/>
      <c r="B21" s="30"/>
      <c r="C21" s="77">
        <f>SUMIFS(J:J,H:H,"&gt;="&amp;$C$17,H:H,"&lt;="&amp;$C$19)</f>
        <v>357273.995</v>
      </c>
      <c r="D21" s="30"/>
      <c r="E21" s="29"/>
      <c r="F21" s="30"/>
      <c r="G21" s="66">
        <v>15.0</v>
      </c>
      <c r="H21" s="67">
        <v>45964.0</v>
      </c>
      <c r="I21" s="68"/>
      <c r="J21" s="69"/>
      <c r="K21" s="70"/>
      <c r="L21" s="71"/>
      <c r="M21" s="72" t="s">
        <v>14</v>
      </c>
      <c r="N21" s="90">
        <v>15000.0</v>
      </c>
      <c r="O21" s="74" t="s">
        <v>160</v>
      </c>
      <c r="P21" s="75">
        <v>0.64375</v>
      </c>
      <c r="R21" s="39"/>
      <c r="S21" s="25">
        <f>SUMIF(M:M,"海总-黑泽",N:N)</f>
        <v>3720.187497</v>
      </c>
      <c r="T21" s="101" t="s">
        <v>57</v>
      </c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45964.0</v>
      </c>
      <c r="I22" s="68" t="s">
        <v>161</v>
      </c>
      <c r="J22" s="69">
        <v>10000.0</v>
      </c>
      <c r="K22" s="70"/>
      <c r="L22" s="71">
        <v>0.7041666666666667</v>
      </c>
      <c r="M22" s="80" t="s">
        <v>20</v>
      </c>
      <c r="N22" s="90">
        <v>288.86</v>
      </c>
      <c r="O22" s="74" t="s">
        <v>26</v>
      </c>
      <c r="P22" s="75">
        <v>0.8256944444444444</v>
      </c>
      <c r="R22" s="39"/>
      <c r="S22" s="25">
        <f>SUMIF(M:M,"Y-5208 FB欧/美户",N:N)</f>
        <v>4335.69</v>
      </c>
      <c r="T22" s="52" t="s">
        <v>30</v>
      </c>
    </row>
    <row r="23" ht="27.75" customHeight="1">
      <c r="A23" s="29"/>
      <c r="B23" s="30"/>
      <c r="C23" s="79">
        <f>SUMIFS(N:N,H:H,"&gt;="&amp;$C$17,H:H,"&lt;="&amp;$C$19)</f>
        <v>331257.4994</v>
      </c>
      <c r="D23" s="30"/>
      <c r="E23" s="29"/>
      <c r="F23" s="30"/>
      <c r="G23" s="66">
        <v>17.0</v>
      </c>
      <c r="H23" s="67">
        <v>45964.0</v>
      </c>
      <c r="I23" s="68"/>
      <c r="J23" s="69"/>
      <c r="K23" s="93"/>
      <c r="L23" s="88"/>
      <c r="M23" s="72" t="s">
        <v>75</v>
      </c>
      <c r="N23" s="90">
        <v>2220.0</v>
      </c>
      <c r="O23" s="74" t="s">
        <v>162</v>
      </c>
      <c r="P23" s="75">
        <v>0.9902777777777778</v>
      </c>
      <c r="R23" s="39"/>
      <c r="S23" s="25">
        <f>SUMIF(M:M,"志诚三不限",N:N)</f>
        <v>4652.83</v>
      </c>
      <c r="T23" s="101" t="s">
        <v>39</v>
      </c>
      <c r="U23" s="76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45964.0</v>
      </c>
      <c r="I24" s="68" t="s">
        <v>163</v>
      </c>
      <c r="J24" s="69">
        <v>941.2</v>
      </c>
      <c r="K24" s="70" t="s">
        <v>155</v>
      </c>
      <c r="L24" s="71">
        <v>0.9909722222222223</v>
      </c>
      <c r="M24" s="80" t="s">
        <v>20</v>
      </c>
      <c r="N24" s="90">
        <v>14.14</v>
      </c>
      <c r="O24" s="74" t="s">
        <v>150</v>
      </c>
      <c r="P24" s="75">
        <v>0.4486111111111111</v>
      </c>
      <c r="R24" s="39"/>
      <c r="S24" s="25">
        <f>SUMIF(M:M,"SZ_TK下户Chris Ryan",N:N)</f>
        <v>6107.85</v>
      </c>
      <c r="T24" s="101" t="s">
        <v>24</v>
      </c>
      <c r="V24" s="40"/>
      <c r="W24" s="76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26016.4956</v>
      </c>
      <c r="D25" s="30"/>
      <c r="E25" s="29"/>
      <c r="F25" s="30"/>
      <c r="G25" s="66">
        <v>19.0</v>
      </c>
      <c r="H25" s="67">
        <v>45965.0</v>
      </c>
      <c r="I25" s="68"/>
      <c r="J25" s="69"/>
      <c r="K25" s="85"/>
      <c r="L25" s="88"/>
      <c r="M25" s="72" t="s">
        <v>18</v>
      </c>
      <c r="N25" s="90">
        <v>1110.0</v>
      </c>
      <c r="O25" s="74" t="s">
        <v>164</v>
      </c>
      <c r="P25" s="75">
        <v>0.4965277777777778</v>
      </c>
      <c r="R25" s="39"/>
      <c r="S25" s="25">
        <f>SUMIF(M:M,"TK下户hailey",N:N)</f>
        <v>255</v>
      </c>
      <c r="T25" s="101" t="s">
        <v>64</v>
      </c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45965.0</v>
      </c>
      <c r="I26" s="68"/>
      <c r="J26" s="69"/>
      <c r="K26" s="70"/>
      <c r="L26" s="88"/>
      <c r="M26" s="72" t="s">
        <v>14</v>
      </c>
      <c r="N26" s="90">
        <v>12056.74</v>
      </c>
      <c r="O26" s="74" t="s">
        <v>165</v>
      </c>
      <c r="P26" s="75">
        <v>0.45416666666666666</v>
      </c>
      <c r="R26" s="39"/>
      <c r="S26" s="25">
        <f>SUMIF(M:M,"大鱼速汇",N:N)</f>
        <v>808</v>
      </c>
      <c r="T26" s="101" t="s">
        <v>53</v>
      </c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45966.0</v>
      </c>
      <c r="I27" s="68"/>
      <c r="J27" s="69"/>
      <c r="K27" s="70"/>
      <c r="L27" s="71"/>
      <c r="M27" s="72" t="s">
        <v>14</v>
      </c>
      <c r="N27" s="136">
        <v>2270.900281690141</v>
      </c>
      <c r="O27" s="74" t="s">
        <v>117</v>
      </c>
      <c r="P27" s="75">
        <v>0.6256944444444444</v>
      </c>
      <c r="R27" s="39"/>
      <c r="S27" s="25">
        <f>SUMIF(M:M,"SZ-2_TK广告户-村长",N:N)</f>
        <v>160</v>
      </c>
      <c r="T27" s="101" t="s">
        <v>70</v>
      </c>
      <c r="U27" s="76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45966.0</v>
      </c>
      <c r="I28" s="68"/>
      <c r="J28" s="69"/>
      <c r="K28" s="70"/>
      <c r="L28" s="71"/>
      <c r="M28" s="72" t="s">
        <v>14</v>
      </c>
      <c r="N28" s="136">
        <v>4867.47422080872</v>
      </c>
      <c r="O28" s="74" t="s">
        <v>117</v>
      </c>
      <c r="P28" s="75">
        <v>0.6277777777777778</v>
      </c>
      <c r="Q28" s="41"/>
      <c r="R28" s="39"/>
      <c r="S28" s="25">
        <f>SUMIF(M:M,"谷歌-饭团",N:N)</f>
        <v>1247.752</v>
      </c>
      <c r="T28" s="52" t="s">
        <v>59</v>
      </c>
      <c r="U28" s="76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45966.0</v>
      </c>
      <c r="I29" s="68"/>
      <c r="J29" s="69"/>
      <c r="K29" s="70"/>
      <c r="L29" s="71"/>
      <c r="M29" s="72" t="s">
        <v>14</v>
      </c>
      <c r="N29" s="136">
        <v>3434.003380281694</v>
      </c>
      <c r="O29" s="74" t="s">
        <v>117</v>
      </c>
      <c r="P29" s="75">
        <v>0.6291666666666667</v>
      </c>
      <c r="R29" s="39"/>
      <c r="S29" s="25">
        <f>SUMIF(M:M,"bc 的广告费",N:N)</f>
        <v>4231.1</v>
      </c>
      <c r="T29" s="101" t="s">
        <v>166</v>
      </c>
      <c r="U29" s="7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45966.0</v>
      </c>
      <c r="I30" s="68"/>
      <c r="J30" s="69"/>
      <c r="K30" s="85"/>
      <c r="L30" s="88"/>
      <c r="M30" s="72" t="s">
        <v>14</v>
      </c>
      <c r="N30" s="136">
        <v>5425.275492957744</v>
      </c>
      <c r="O30" s="74" t="s">
        <v>117</v>
      </c>
      <c r="P30" s="75">
        <v>0.63125</v>
      </c>
      <c r="R30" s="39"/>
      <c r="S30" s="25">
        <f>SUMIF(M:M,"德国单粉—summer FB180",N:N)</f>
        <v>16470</v>
      </c>
      <c r="T30" s="52" t="s">
        <v>167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45966.0</v>
      </c>
      <c r="I31" s="68"/>
      <c r="J31" s="69"/>
      <c r="K31" s="70"/>
      <c r="L31" s="88"/>
      <c r="M31" s="72" t="s">
        <v>14</v>
      </c>
      <c r="N31" s="137">
        <v>2487.765070422534</v>
      </c>
      <c r="O31" s="74" t="s">
        <v>117</v>
      </c>
      <c r="P31" s="75">
        <v>0.6333333333333333</v>
      </c>
      <c r="R31" s="39"/>
      <c r="S31" s="25">
        <f>SUMIF(M:M,"渠道BF 德国F",N:N)</f>
        <v>4320</v>
      </c>
      <c r="T31" s="101" t="s">
        <v>168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45966.0</v>
      </c>
      <c r="I32" s="68"/>
      <c r="J32" s="69"/>
      <c r="K32" s="70"/>
      <c r="L32" s="88"/>
      <c r="M32" s="72" t="s">
        <v>14</v>
      </c>
      <c r="N32" s="137">
        <v>1646.545697410268</v>
      </c>
      <c r="O32" s="74" t="s">
        <v>117</v>
      </c>
      <c r="P32" s="75">
        <v>0.6340277777777777</v>
      </c>
      <c r="R32" s="39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45966.0</v>
      </c>
      <c r="I33" s="68"/>
      <c r="J33" s="69"/>
      <c r="K33" s="70"/>
      <c r="L33" s="71"/>
      <c r="M33" s="72" t="s">
        <v>14</v>
      </c>
      <c r="N33" s="138">
        <v>5000.0</v>
      </c>
      <c r="O33" s="74" t="s">
        <v>117</v>
      </c>
      <c r="P33" s="75">
        <v>0.6361111111111111</v>
      </c>
      <c r="R33" s="39"/>
      <c r="S33" s="103">
        <f>SUM(S4:S31)</f>
        <v>331257.4994</v>
      </c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45966.0</v>
      </c>
      <c r="I34" s="68"/>
      <c r="J34" s="69"/>
      <c r="K34" s="70"/>
      <c r="L34" s="71"/>
      <c r="M34" s="72" t="s">
        <v>14</v>
      </c>
      <c r="N34" s="138">
        <v>10.0</v>
      </c>
      <c r="O34" s="74" t="s">
        <v>117</v>
      </c>
      <c r="P34" s="75">
        <v>0.6375</v>
      </c>
      <c r="Q34" s="41"/>
      <c r="R34" s="39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45966.0</v>
      </c>
      <c r="I35" s="68"/>
      <c r="J35" s="69"/>
      <c r="K35" s="70"/>
      <c r="L35" s="71"/>
      <c r="M35" s="72" t="s">
        <v>14</v>
      </c>
      <c r="N35" s="138">
        <v>10.0</v>
      </c>
      <c r="O35" s="74" t="s">
        <v>117</v>
      </c>
      <c r="P35" s="75">
        <v>0.6381944444444444</v>
      </c>
      <c r="R35" s="39"/>
      <c r="S35" s="106" t="s">
        <v>97</v>
      </c>
      <c r="T35" s="107"/>
      <c r="U35" s="107"/>
      <c r="V35" s="107"/>
      <c r="W35" s="107"/>
      <c r="X35" s="107"/>
      <c r="Y35" s="107"/>
      <c r="Z35" s="107"/>
      <c r="AA35" s="107"/>
      <c r="AB35" s="108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45966.0</v>
      </c>
      <c r="I36" s="68"/>
      <c r="J36" s="69"/>
      <c r="K36" s="70"/>
      <c r="L36" s="71"/>
      <c r="M36" s="72" t="s">
        <v>14</v>
      </c>
      <c r="N36" s="138">
        <v>10.0</v>
      </c>
      <c r="O36" s="74" t="s">
        <v>117</v>
      </c>
      <c r="P36" s="99">
        <v>0.6395833333333333</v>
      </c>
      <c r="Q36" s="100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45966.0</v>
      </c>
      <c r="I37" s="68"/>
      <c r="J37" s="69"/>
      <c r="K37" s="85"/>
      <c r="L37" s="86"/>
      <c r="M37" s="72" t="s">
        <v>14</v>
      </c>
      <c r="N37" s="138">
        <v>10.0</v>
      </c>
      <c r="O37" s="74" t="s">
        <v>117</v>
      </c>
      <c r="P37" s="99">
        <v>0.6402777777777777</v>
      </c>
      <c r="Q37" s="100"/>
      <c r="R37" s="39"/>
      <c r="S37" s="109">
        <f>SUMIF(I:I,"渠道106-本土fb🇯🇵",J:J)</f>
        <v>54000</v>
      </c>
      <c r="T37" s="26" t="s">
        <v>83</v>
      </c>
      <c r="U37" s="76">
        <f>S37+'2025年10月收支财务报表'!S46</f>
        <v>95760</v>
      </c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45966.0</v>
      </c>
      <c r="I38" s="68"/>
      <c r="J38" s="69"/>
      <c r="K38" s="85"/>
      <c r="L38" s="86"/>
      <c r="M38" s="72" t="s">
        <v>14</v>
      </c>
      <c r="N38" s="138">
        <v>10.0</v>
      </c>
      <c r="O38" s="74" t="s">
        <v>117</v>
      </c>
      <c r="P38" s="99">
        <v>0.6409722222222223</v>
      </c>
      <c r="R38" s="39"/>
      <c r="S38" s="109">
        <f>SUMIF(I:I,"bc 的广告费",J:J)</f>
        <v>10000</v>
      </c>
      <c r="T38" s="26" t="s">
        <v>161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45966.0</v>
      </c>
      <c r="I39" s="68"/>
      <c r="J39" s="69"/>
      <c r="K39" s="70"/>
      <c r="L39" s="71"/>
      <c r="M39" s="72" t="s">
        <v>14</v>
      </c>
      <c r="N39" s="138">
        <v>10.0</v>
      </c>
      <c r="O39" s="74" t="s">
        <v>117</v>
      </c>
      <c r="P39" s="99">
        <v>0.6416666666666667</v>
      </c>
      <c r="Q39" s="100"/>
      <c r="R39" s="39"/>
      <c r="S39" s="109">
        <f>SUMIF(I:I,"新K4",J:J)</f>
        <v>1173.97</v>
      </c>
      <c r="T39" s="26" t="s">
        <v>169</v>
      </c>
      <c r="U39" s="76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45966.0</v>
      </c>
      <c r="I40" s="68"/>
      <c r="J40" s="69"/>
      <c r="K40" s="70"/>
      <c r="L40" s="88"/>
      <c r="M40" s="72" t="s">
        <v>14</v>
      </c>
      <c r="N40" s="138">
        <v>10.0</v>
      </c>
      <c r="O40" s="74" t="s">
        <v>117</v>
      </c>
      <c r="P40" s="99">
        <v>0.6430555555555556</v>
      </c>
      <c r="Q40" s="100"/>
      <c r="R40" s="39"/>
      <c r="S40" s="109">
        <f>SUMIF(I:I,"瑞典1梯队（蟑螂哥）结算群",J:J)</f>
        <v>3420</v>
      </c>
      <c r="T40" s="26" t="s">
        <v>170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45966.0</v>
      </c>
      <c r="I41" s="68"/>
      <c r="J41" s="69"/>
      <c r="K41" s="70"/>
      <c r="L41" s="88"/>
      <c r="M41" s="72" t="s">
        <v>14</v>
      </c>
      <c r="N41" s="138">
        <v>10.0</v>
      </c>
      <c r="O41" s="74" t="s">
        <v>117</v>
      </c>
      <c r="P41" s="99">
        <v>0.64375</v>
      </c>
      <c r="R41" s="39"/>
      <c r="S41" s="109">
        <f>SUMIF(I:I,"海总-新加坡、加拿大",J:J)</f>
        <v>6300</v>
      </c>
      <c r="T41" s="26" t="s">
        <v>25</v>
      </c>
      <c r="U41" s="11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45966.0</v>
      </c>
      <c r="I42" s="68"/>
      <c r="J42" s="69"/>
      <c r="K42" s="70"/>
      <c r="L42" s="88"/>
      <c r="M42" s="72" t="s">
        <v>14</v>
      </c>
      <c r="N42" s="138">
        <v>10.0</v>
      </c>
      <c r="O42" s="74" t="s">
        <v>117</v>
      </c>
      <c r="P42" s="99">
        <v>0.6444444444444445</v>
      </c>
      <c r="R42" s="39"/>
      <c r="S42" s="109">
        <f>SUMIF(I:I,"德国单粉—summer FB180",J:J)</f>
        <v>38000</v>
      </c>
      <c r="T42" s="26" t="s">
        <v>167</v>
      </c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45966.0</v>
      </c>
      <c r="I43" s="68"/>
      <c r="J43" s="69"/>
      <c r="K43" s="87"/>
      <c r="L43" s="71"/>
      <c r="M43" s="72" t="s">
        <v>14</v>
      </c>
      <c r="N43" s="138">
        <v>2372.56</v>
      </c>
      <c r="O43" s="74" t="s">
        <v>117</v>
      </c>
      <c r="P43" s="99">
        <v>0.6472222222222223</v>
      </c>
      <c r="Q43" s="100"/>
      <c r="R43" s="39"/>
      <c r="S43" s="109">
        <f>SUMIF(I:I,"印尼二期",J:J)</f>
        <v>7000</v>
      </c>
      <c r="T43" s="26" t="s">
        <v>171</v>
      </c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45966.0</v>
      </c>
      <c r="I44" s="68"/>
      <c r="J44" s="69"/>
      <c r="K44" s="70"/>
      <c r="L44" s="71"/>
      <c r="M44" s="72" t="s">
        <v>14</v>
      </c>
      <c r="N44" s="138">
        <v>1406.34</v>
      </c>
      <c r="O44" s="74" t="s">
        <v>117</v>
      </c>
      <c r="P44" s="99">
        <v>0.6486111111111111</v>
      </c>
      <c r="R44" s="39"/>
      <c r="S44" s="109"/>
      <c r="T44" s="26"/>
      <c r="U44" s="76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45966.0</v>
      </c>
      <c r="I45" s="68"/>
      <c r="J45" s="69"/>
      <c r="K45" s="85"/>
      <c r="L45" s="71"/>
      <c r="M45" s="72" t="s">
        <v>14</v>
      </c>
      <c r="N45" s="73">
        <v>3605.09</v>
      </c>
      <c r="O45" s="96" t="s">
        <v>117</v>
      </c>
      <c r="P45" s="99">
        <v>0.65</v>
      </c>
      <c r="R45" s="39"/>
      <c r="S45" s="109"/>
      <c r="T45" s="26"/>
      <c r="U45" s="76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45966.0</v>
      </c>
      <c r="I46" s="68"/>
      <c r="J46" s="69"/>
      <c r="K46" s="85"/>
      <c r="L46" s="88"/>
      <c r="M46" s="72" t="s">
        <v>14</v>
      </c>
      <c r="N46" s="73">
        <v>1383.94</v>
      </c>
      <c r="O46" s="74" t="s">
        <v>117</v>
      </c>
      <c r="P46" s="75">
        <v>0.6520833333333333</v>
      </c>
      <c r="R46" s="39"/>
      <c r="S46" s="109"/>
      <c r="T46" s="26"/>
      <c r="U46" s="76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45966.0</v>
      </c>
      <c r="I47" s="68"/>
      <c r="J47" s="69"/>
      <c r="K47" s="70"/>
      <c r="L47" s="71"/>
      <c r="M47" s="72" t="s">
        <v>14</v>
      </c>
      <c r="N47" s="73">
        <v>975.92</v>
      </c>
      <c r="O47" s="74" t="s">
        <v>117</v>
      </c>
      <c r="P47" s="75">
        <v>0.6541666666666667</v>
      </c>
      <c r="R47" s="39"/>
      <c r="S47" s="109"/>
      <c r="T47" s="26"/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45966.0</v>
      </c>
      <c r="I48" s="68"/>
      <c r="J48" s="69"/>
      <c r="K48" s="70"/>
      <c r="L48" s="71"/>
      <c r="M48" s="72" t="s">
        <v>14</v>
      </c>
      <c r="N48" s="73">
        <v>1116.76</v>
      </c>
      <c r="O48" s="74" t="s">
        <v>117</v>
      </c>
      <c r="P48" s="75">
        <v>0.6548611111111111</v>
      </c>
      <c r="R48" s="39"/>
      <c r="S48" s="109"/>
      <c r="T48" s="26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45966.0</v>
      </c>
      <c r="I49" s="68"/>
      <c r="J49" s="69"/>
      <c r="K49" s="70"/>
      <c r="L49" s="88"/>
      <c r="M49" s="72" t="s">
        <v>14</v>
      </c>
      <c r="N49" s="73">
        <v>804.23</v>
      </c>
      <c r="O49" s="74" t="s">
        <v>117</v>
      </c>
      <c r="P49" s="75">
        <v>0.65625</v>
      </c>
      <c r="R49" s="39"/>
      <c r="S49" s="109"/>
      <c r="T49" s="26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45966.0</v>
      </c>
      <c r="I50" s="68"/>
      <c r="J50" s="69"/>
      <c r="K50" s="85"/>
      <c r="L50" s="71"/>
      <c r="M50" s="72" t="s">
        <v>14</v>
      </c>
      <c r="N50" s="73">
        <v>1116.76</v>
      </c>
      <c r="O50" s="74" t="s">
        <v>117</v>
      </c>
      <c r="P50" s="75">
        <v>0.6569444444444444</v>
      </c>
      <c r="R50" s="39"/>
      <c r="S50" s="109"/>
      <c r="T50" s="26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45966.0</v>
      </c>
      <c r="I51" s="68"/>
      <c r="J51" s="69"/>
      <c r="K51" s="87"/>
      <c r="L51" s="71"/>
      <c r="M51" s="72" t="s">
        <v>14</v>
      </c>
      <c r="N51" s="73">
        <v>376.19</v>
      </c>
      <c r="O51" s="74" t="s">
        <v>117</v>
      </c>
      <c r="P51" s="75">
        <v>0.6597222222222222</v>
      </c>
      <c r="R51" s="39"/>
      <c r="S51" s="109">
        <f>SUMIF(I:I,"海总新渠道",J:J)</f>
        <v>1488.1</v>
      </c>
      <c r="T51" s="26" t="s">
        <v>50</v>
      </c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45966.0</v>
      </c>
      <c r="I52" s="68" t="s">
        <v>81</v>
      </c>
      <c r="J52" s="69">
        <v>8400.0</v>
      </c>
      <c r="K52" s="70"/>
      <c r="L52" s="71">
        <v>0.6868055555555556</v>
      </c>
      <c r="M52" s="72" t="s">
        <v>14</v>
      </c>
      <c r="N52" s="73">
        <v>60083.847</v>
      </c>
      <c r="O52" s="74" t="s">
        <v>172</v>
      </c>
      <c r="P52" s="75">
        <v>0.7</v>
      </c>
      <c r="R52" s="39"/>
      <c r="S52" s="109">
        <f>SUMIF(I:I,"十月二不限",J:J)</f>
        <v>225.12</v>
      </c>
      <c r="T52" s="101" t="s">
        <v>173</v>
      </c>
      <c r="U52" s="76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45966.0</v>
      </c>
      <c r="I53" s="68"/>
      <c r="J53" s="69"/>
      <c r="K53" s="70"/>
      <c r="L53" s="71"/>
      <c r="M53" s="72" t="s">
        <v>20</v>
      </c>
      <c r="N53" s="102">
        <v>66.0</v>
      </c>
      <c r="O53" s="74" t="s">
        <v>156</v>
      </c>
      <c r="P53" s="75">
        <v>0.7416666666666667</v>
      </c>
      <c r="R53" s="39"/>
      <c r="S53" s="109">
        <f>SUMIF(I:I,"星链-AdNova",J:J)</f>
        <v>890.09</v>
      </c>
      <c r="T53" s="101" t="s">
        <v>49</v>
      </c>
      <c r="U53" s="76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45966.0</v>
      </c>
      <c r="I54" s="68" t="s">
        <v>169</v>
      </c>
      <c r="J54" s="69">
        <v>1173.97</v>
      </c>
      <c r="K54" s="70" t="s">
        <v>174</v>
      </c>
      <c r="L54" s="71">
        <v>0.8854166666666666</v>
      </c>
      <c r="M54" s="72"/>
      <c r="N54" s="90"/>
      <c r="O54" s="74"/>
      <c r="P54" s="75"/>
      <c r="R54" s="39"/>
      <c r="S54" s="109">
        <f>SUMIF(I:I,"wade shen 美金谷歌户25+5%",J:J)</f>
        <v>1200.73</v>
      </c>
      <c r="T54" s="26" t="s">
        <v>157</v>
      </c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45967.0</v>
      </c>
      <c r="I55" s="68"/>
      <c r="J55" s="69"/>
      <c r="K55" s="70"/>
      <c r="L55" s="71"/>
      <c r="M55" s="72" t="s">
        <v>20</v>
      </c>
      <c r="N55" s="90">
        <v>225.0</v>
      </c>
      <c r="O55" s="74" t="s">
        <v>45</v>
      </c>
      <c r="P55" s="75">
        <v>0.4409722222222222</v>
      </c>
      <c r="R55" s="39"/>
      <c r="S55" s="109">
        <f>SUMIF(I:I,"Alex_1011——谷歌原生户",J:J)</f>
        <v>828</v>
      </c>
      <c r="T55" s="101" t="s">
        <v>175</v>
      </c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45967.0</v>
      </c>
      <c r="I56" s="68"/>
      <c r="J56" s="69"/>
      <c r="K56" s="87"/>
      <c r="L56" s="88"/>
      <c r="M56" s="72" t="s">
        <v>14</v>
      </c>
      <c r="N56" s="90">
        <v>1260.52</v>
      </c>
      <c r="O56" s="74" t="s">
        <v>176</v>
      </c>
      <c r="P56" s="75">
        <v>0.5680555555555555</v>
      </c>
      <c r="R56" s="39"/>
      <c r="S56" s="109">
        <f>SUMIF(I:I,"泰华 &amp; Bigad 谷歌老户 8+1",J:J)</f>
        <v>1877.13</v>
      </c>
      <c r="T56" s="101" t="s">
        <v>177</v>
      </c>
      <c r="U56" s="76"/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45967.0</v>
      </c>
      <c r="I57" s="68" t="s">
        <v>170</v>
      </c>
      <c r="J57" s="69">
        <v>360.0</v>
      </c>
      <c r="K57" s="70" t="s">
        <v>178</v>
      </c>
      <c r="L57" s="71">
        <v>0.6048611111111111</v>
      </c>
      <c r="M57" s="72" t="s">
        <v>168</v>
      </c>
      <c r="N57" s="90">
        <v>4320.0</v>
      </c>
      <c r="O57" s="74" t="s">
        <v>155</v>
      </c>
      <c r="P57" s="75">
        <v>0.675</v>
      </c>
      <c r="R57" s="39"/>
      <c r="S57" s="109">
        <f>SUMIF(I:I,"谷歌-饭团",J:J)</f>
        <v>300</v>
      </c>
      <c r="T57" s="101" t="s">
        <v>59</v>
      </c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45967.0</v>
      </c>
      <c r="I58" s="68"/>
      <c r="J58" s="69"/>
      <c r="K58" s="70"/>
      <c r="L58" s="71"/>
      <c r="M58" s="72" t="s">
        <v>49</v>
      </c>
      <c r="N58" s="90">
        <v>472.0</v>
      </c>
      <c r="O58" s="74" t="s">
        <v>179</v>
      </c>
      <c r="P58" s="75">
        <v>0.7993055555555556</v>
      </c>
      <c r="R58" s="39"/>
      <c r="S58" s="109">
        <f>SUMIF(I:I,"岳总",J:J)</f>
        <v>8400</v>
      </c>
      <c r="T58" s="101" t="s">
        <v>81</v>
      </c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45968.0</v>
      </c>
      <c r="I59" s="68"/>
      <c r="J59" s="69"/>
      <c r="K59" s="70"/>
      <c r="L59" s="71"/>
      <c r="M59" s="72" t="s">
        <v>20</v>
      </c>
      <c r="N59" s="102">
        <v>66.0</v>
      </c>
      <c r="O59" s="74" t="s">
        <v>156</v>
      </c>
      <c r="P59" s="75">
        <v>0.6819444444444445</v>
      </c>
      <c r="R59" s="39"/>
      <c r="S59" s="109">
        <f>SUMIF(I:I,"Alex &amp; Doris_谷歌户",J:J)</f>
        <v>941.2</v>
      </c>
      <c r="T59" s="101" t="s">
        <v>163</v>
      </c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45968.0</v>
      </c>
      <c r="I60" s="68"/>
      <c r="J60" s="69"/>
      <c r="K60" s="85"/>
      <c r="L60" s="88"/>
      <c r="M60" s="72" t="s">
        <v>20</v>
      </c>
      <c r="N60" s="73">
        <v>792.0</v>
      </c>
      <c r="O60" s="74" t="s">
        <v>180</v>
      </c>
      <c r="P60" s="75">
        <v>0.8138888888888889</v>
      </c>
      <c r="R60" s="39"/>
      <c r="S60" s="109">
        <f>SUMIF(I:I,"华飞-Alex（三不限）8+千分6",J:J)</f>
        <v>200</v>
      </c>
      <c r="T60" s="101" t="s">
        <v>154</v>
      </c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45969.0</v>
      </c>
      <c r="I61" s="68"/>
      <c r="J61" s="69"/>
      <c r="K61" s="70"/>
      <c r="L61" s="71"/>
      <c r="M61" s="72" t="s">
        <v>49</v>
      </c>
      <c r="N61" s="73">
        <v>1004.0</v>
      </c>
      <c r="O61" s="74" t="s">
        <v>181</v>
      </c>
      <c r="P61" s="75">
        <v>0.6402777777777777</v>
      </c>
      <c r="R61" s="39"/>
      <c r="S61" s="117">
        <f>J7</f>
        <v>221029.655</v>
      </c>
      <c r="T61" s="26" t="s">
        <v>141</v>
      </c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45970.0</v>
      </c>
      <c r="I62" s="68"/>
      <c r="J62" s="69"/>
      <c r="K62" s="87"/>
      <c r="L62" s="88"/>
      <c r="M62" s="72" t="s">
        <v>36</v>
      </c>
      <c r="N62" s="73">
        <v>200.0</v>
      </c>
      <c r="O62" s="74" t="s">
        <v>182</v>
      </c>
      <c r="P62" s="94" t="s">
        <v>183</v>
      </c>
      <c r="R62" s="39"/>
      <c r="S62" s="40">
        <f>SUM(S37:S61)</f>
        <v>357273.995</v>
      </c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45970.0</v>
      </c>
      <c r="I63" s="68"/>
      <c r="J63" s="69"/>
      <c r="K63" s="87"/>
      <c r="L63" s="71"/>
      <c r="M63" s="72" t="s">
        <v>18</v>
      </c>
      <c r="N63" s="73">
        <v>1112.7</v>
      </c>
      <c r="O63" s="74" t="s">
        <v>184</v>
      </c>
      <c r="P63" s="75">
        <v>0.5180555555555556</v>
      </c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45971.0</v>
      </c>
      <c r="I64" s="68" t="s">
        <v>170</v>
      </c>
      <c r="J64" s="69">
        <v>1620.0</v>
      </c>
      <c r="K64" s="70" t="s">
        <v>185</v>
      </c>
      <c r="L64" s="71">
        <v>0.12222222222222222</v>
      </c>
      <c r="M64" s="72" t="s">
        <v>36</v>
      </c>
      <c r="N64" s="73">
        <v>535.0</v>
      </c>
      <c r="O64" s="74" t="s">
        <v>186</v>
      </c>
      <c r="P64" s="75">
        <v>0.45416666666666666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45971.0</v>
      </c>
      <c r="I65" s="68"/>
      <c r="J65" s="69"/>
      <c r="K65" s="70"/>
      <c r="L65" s="88"/>
      <c r="M65" s="72" t="s">
        <v>43</v>
      </c>
      <c r="N65" s="73">
        <v>2961.23</v>
      </c>
      <c r="O65" s="74" t="s">
        <v>187</v>
      </c>
      <c r="P65" s="75">
        <v>0.47152777777777777</v>
      </c>
      <c r="R65" s="39"/>
      <c r="S65" s="76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45971.0</v>
      </c>
      <c r="I66" s="68"/>
      <c r="J66" s="69"/>
      <c r="K66" s="70"/>
      <c r="L66" s="71"/>
      <c r="M66" s="80" t="s">
        <v>20</v>
      </c>
      <c r="N66" s="90">
        <v>288.86</v>
      </c>
      <c r="O66" s="74" t="s">
        <v>26</v>
      </c>
      <c r="P66" s="75">
        <v>0.5034722222222222</v>
      </c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45971.0</v>
      </c>
      <c r="I67" s="68" t="s">
        <v>59</v>
      </c>
      <c r="J67" s="69">
        <v>300.0</v>
      </c>
      <c r="K67" s="70" t="s">
        <v>155</v>
      </c>
      <c r="L67" s="71">
        <v>0.6430555555555556</v>
      </c>
      <c r="M67" s="72" t="s">
        <v>20</v>
      </c>
      <c r="N67" s="102">
        <v>66.0</v>
      </c>
      <c r="O67" s="74" t="s">
        <v>156</v>
      </c>
      <c r="P67" s="75">
        <v>0.7208333333333333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45971.0</v>
      </c>
      <c r="I68" s="68"/>
      <c r="J68" s="69"/>
      <c r="K68" s="70"/>
      <c r="L68" s="71"/>
      <c r="M68" s="72" t="s">
        <v>36</v>
      </c>
      <c r="N68" s="73">
        <v>535.0</v>
      </c>
      <c r="O68" s="74" t="s">
        <v>186</v>
      </c>
      <c r="P68" s="75">
        <v>0.775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45971.0</v>
      </c>
      <c r="I69" s="68" t="s">
        <v>170</v>
      </c>
      <c r="J69" s="69">
        <v>180.0</v>
      </c>
      <c r="K69" s="70" t="s">
        <v>188</v>
      </c>
      <c r="L69" s="71">
        <v>0.78125</v>
      </c>
      <c r="M69" s="72" t="s">
        <v>47</v>
      </c>
      <c r="N69" s="73">
        <v>5779.89</v>
      </c>
      <c r="O69" s="74" t="s">
        <v>189</v>
      </c>
      <c r="P69" s="75">
        <v>0.8166666666666667</v>
      </c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45971.0</v>
      </c>
      <c r="I70" s="68"/>
      <c r="J70" s="69"/>
      <c r="K70" s="70"/>
      <c r="L70" s="71"/>
      <c r="M70" s="72" t="s">
        <v>14</v>
      </c>
      <c r="N70" s="73">
        <v>60083.847</v>
      </c>
      <c r="O70" s="74" t="s">
        <v>190</v>
      </c>
      <c r="P70" s="75">
        <v>0.91875</v>
      </c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45972.0</v>
      </c>
      <c r="I71" s="68" t="s">
        <v>177</v>
      </c>
      <c r="J71" s="69">
        <v>1877.13</v>
      </c>
      <c r="K71" s="70" t="s">
        <v>155</v>
      </c>
      <c r="L71" s="71">
        <v>0.4701388888888889</v>
      </c>
      <c r="M71" s="72" t="s">
        <v>36</v>
      </c>
      <c r="N71" s="73">
        <v>535.0</v>
      </c>
      <c r="O71" s="74" t="s">
        <v>186</v>
      </c>
      <c r="P71" s="75">
        <v>0.5152777777777777</v>
      </c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45972.0</v>
      </c>
      <c r="I72" s="68"/>
      <c r="J72" s="69"/>
      <c r="K72" s="87"/>
      <c r="L72" s="71"/>
      <c r="M72" s="72" t="s">
        <v>49</v>
      </c>
      <c r="N72" s="73">
        <v>718.0</v>
      </c>
      <c r="O72" s="74" t="s">
        <v>191</v>
      </c>
      <c r="P72" s="75">
        <v>0.7277777777777777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45972.0</v>
      </c>
      <c r="I73" s="68"/>
      <c r="J73" s="69"/>
      <c r="K73" s="70"/>
      <c r="L73" s="71"/>
      <c r="M73" s="72" t="s">
        <v>36</v>
      </c>
      <c r="N73" s="73">
        <v>535.0</v>
      </c>
      <c r="O73" s="74" t="s">
        <v>186</v>
      </c>
      <c r="P73" s="75">
        <v>0.7333333333333333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45972.0</v>
      </c>
      <c r="I74" s="120"/>
      <c r="J74" s="121"/>
      <c r="K74" s="93"/>
      <c r="L74" s="71"/>
      <c r="M74" s="72" t="s">
        <v>18</v>
      </c>
      <c r="N74" s="73">
        <v>650.29</v>
      </c>
      <c r="O74" s="74" t="s">
        <v>192</v>
      </c>
      <c r="P74" s="75">
        <v>0.7361111111111112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45972.0</v>
      </c>
      <c r="I75" s="68"/>
      <c r="J75" s="69"/>
      <c r="K75" s="70"/>
      <c r="L75" s="88"/>
      <c r="M75" s="72" t="s">
        <v>36</v>
      </c>
      <c r="N75" s="73">
        <v>100.0</v>
      </c>
      <c r="O75" s="74" t="s">
        <v>193</v>
      </c>
      <c r="P75" s="75">
        <v>0.81875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45973.0</v>
      </c>
      <c r="I76" s="68"/>
      <c r="J76" s="69"/>
      <c r="K76" s="70"/>
      <c r="L76" s="71"/>
      <c r="M76" s="72" t="s">
        <v>20</v>
      </c>
      <c r="N76" s="73">
        <v>28.31</v>
      </c>
      <c r="O76" s="74" t="s">
        <v>194</v>
      </c>
      <c r="P76" s="75">
        <v>0.36041666666666666</v>
      </c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45973.0</v>
      </c>
      <c r="I77" s="68"/>
      <c r="J77" s="69"/>
      <c r="K77" s="70"/>
      <c r="L77" s="71"/>
      <c r="M77" s="72" t="s">
        <v>49</v>
      </c>
      <c r="N77" s="73">
        <v>261.07</v>
      </c>
      <c r="O77" s="74" t="s">
        <v>195</v>
      </c>
      <c r="P77" s="75">
        <v>0.5361111111111111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45973.0</v>
      </c>
      <c r="I78" s="68"/>
      <c r="J78" s="69"/>
      <c r="K78" s="87"/>
      <c r="L78" s="71"/>
      <c r="M78" s="72" t="s">
        <v>54</v>
      </c>
      <c r="N78" s="73">
        <v>387.63</v>
      </c>
      <c r="O78" s="74" t="s">
        <v>196</v>
      </c>
      <c r="P78" s="75">
        <v>0.5576388888888889</v>
      </c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45973.0</v>
      </c>
      <c r="I79" s="68"/>
      <c r="J79" s="69"/>
      <c r="K79" s="70"/>
      <c r="L79" s="88"/>
      <c r="M79" s="72" t="s">
        <v>50</v>
      </c>
      <c r="N79" s="73">
        <v>1665.0</v>
      </c>
      <c r="O79" s="74" t="s">
        <v>197</v>
      </c>
      <c r="P79" s="75">
        <v>0.6597222222222222</v>
      </c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45973.0</v>
      </c>
      <c r="I80" s="68" t="s">
        <v>25</v>
      </c>
      <c r="J80" s="69">
        <v>2000.0</v>
      </c>
      <c r="K80" s="92"/>
      <c r="L80" s="71">
        <v>0.6680555555555555</v>
      </c>
      <c r="M80" s="72"/>
      <c r="N80" s="73"/>
      <c r="O80" s="74"/>
      <c r="P80" s="75"/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45974.0</v>
      </c>
      <c r="I81" s="68"/>
      <c r="J81" s="69"/>
      <c r="K81" s="70"/>
      <c r="L81" s="88"/>
      <c r="M81" s="72" t="s">
        <v>57</v>
      </c>
      <c r="N81" s="73">
        <v>409.16</v>
      </c>
      <c r="O81" s="74" t="s">
        <v>198</v>
      </c>
      <c r="P81" s="75">
        <v>0.4388888888888889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45974.0</v>
      </c>
      <c r="I82" s="68" t="s">
        <v>175</v>
      </c>
      <c r="J82" s="69">
        <v>828.0</v>
      </c>
      <c r="K82" s="70" t="s">
        <v>155</v>
      </c>
      <c r="L82" s="71">
        <v>0.64375</v>
      </c>
      <c r="M82" s="72" t="s">
        <v>57</v>
      </c>
      <c r="N82" s="73">
        <v>545.4</v>
      </c>
      <c r="O82" s="74" t="s">
        <v>199</v>
      </c>
      <c r="P82" s="75">
        <v>0.6541666666666667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45974.0</v>
      </c>
      <c r="I83" s="68" t="s">
        <v>157</v>
      </c>
      <c r="J83" s="69">
        <v>1200.73</v>
      </c>
      <c r="K83" s="70"/>
      <c r="L83" s="71">
        <v>0.6881944444444444</v>
      </c>
      <c r="M83" s="72" t="s">
        <v>57</v>
      </c>
      <c r="N83" s="73">
        <v>545.4</v>
      </c>
      <c r="O83" s="74" t="s">
        <v>199</v>
      </c>
      <c r="P83" s="75">
        <v>0.7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45974.0</v>
      </c>
      <c r="I84" s="68"/>
      <c r="J84" s="69"/>
      <c r="K84" s="70"/>
      <c r="L84" s="71"/>
      <c r="M84" s="72" t="s">
        <v>30</v>
      </c>
      <c r="N84" s="73">
        <v>452.87</v>
      </c>
      <c r="O84" s="74" t="s">
        <v>200</v>
      </c>
      <c r="P84" s="75">
        <v>0.7972222222222223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45975.0</v>
      </c>
      <c r="I85" s="68"/>
      <c r="J85" s="69"/>
      <c r="K85" s="87"/>
      <c r="L85" s="71"/>
      <c r="M85" s="72" t="s">
        <v>36</v>
      </c>
      <c r="N85" s="73">
        <v>535.0</v>
      </c>
      <c r="O85" s="74" t="s">
        <v>186</v>
      </c>
      <c r="P85" s="75">
        <v>0.4513888888888889</v>
      </c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45975.0</v>
      </c>
      <c r="I86" s="68"/>
      <c r="J86" s="69"/>
      <c r="K86" s="70"/>
      <c r="L86" s="71"/>
      <c r="M86" s="72" t="s">
        <v>49</v>
      </c>
      <c r="N86" s="73">
        <v>1598.06</v>
      </c>
      <c r="O86" s="74" t="s">
        <v>201</v>
      </c>
      <c r="P86" s="75">
        <v>0.5305555555555556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45975.0</v>
      </c>
      <c r="I87" s="68"/>
      <c r="J87" s="69"/>
      <c r="K87" s="85"/>
      <c r="L87" s="71"/>
      <c r="M87" s="72" t="s">
        <v>49</v>
      </c>
      <c r="N87" s="73">
        <v>216.54</v>
      </c>
      <c r="O87" s="74" t="s">
        <v>202</v>
      </c>
      <c r="P87" s="75">
        <v>0.6916666666666667</v>
      </c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45975.0</v>
      </c>
      <c r="I88" s="68" t="s">
        <v>170</v>
      </c>
      <c r="J88" s="69">
        <v>900.0</v>
      </c>
      <c r="K88" s="70"/>
      <c r="L88" s="71">
        <v>0.7111111111111111</v>
      </c>
      <c r="M88" s="72" t="s">
        <v>39</v>
      </c>
      <c r="N88" s="73">
        <v>573.14</v>
      </c>
      <c r="O88" s="74" t="s">
        <v>203</v>
      </c>
      <c r="P88" s="75">
        <v>0.8569444444444444</v>
      </c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45975.0</v>
      </c>
      <c r="I89" s="68"/>
      <c r="J89" s="69"/>
      <c r="K89" s="70"/>
      <c r="L89" s="71"/>
      <c r="M89" s="72" t="s">
        <v>20</v>
      </c>
      <c r="N89" s="73">
        <v>1092.0</v>
      </c>
      <c r="O89" s="74" t="s">
        <v>204</v>
      </c>
      <c r="P89" s="75">
        <v>0.8604166666666667</v>
      </c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45975.0</v>
      </c>
      <c r="I90" s="68"/>
      <c r="J90" s="69"/>
      <c r="K90" s="70"/>
      <c r="L90" s="71"/>
      <c r="M90" s="72" t="s">
        <v>24</v>
      </c>
      <c r="N90" s="73">
        <v>252.0</v>
      </c>
      <c r="O90" s="74" t="s">
        <v>205</v>
      </c>
      <c r="P90" s="75">
        <v>0.98125</v>
      </c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45976.0</v>
      </c>
      <c r="I91" s="68"/>
      <c r="J91" s="69"/>
      <c r="K91" s="70"/>
      <c r="L91" s="71"/>
      <c r="M91" s="72" t="s">
        <v>20</v>
      </c>
      <c r="N91" s="73">
        <v>18.46</v>
      </c>
      <c r="O91" s="74" t="s">
        <v>206</v>
      </c>
      <c r="P91" s="75">
        <v>0.4395833333333333</v>
      </c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45976.0</v>
      </c>
      <c r="I92" s="68"/>
      <c r="J92" s="69"/>
      <c r="K92" s="70"/>
      <c r="L92" s="71"/>
      <c r="M92" s="72" t="s">
        <v>24</v>
      </c>
      <c r="N92" s="73">
        <v>252.0</v>
      </c>
      <c r="O92" s="74" t="s">
        <v>205</v>
      </c>
      <c r="P92" s="75">
        <v>0.7131944444444445</v>
      </c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45976.0</v>
      </c>
      <c r="I93" s="68"/>
      <c r="J93" s="69"/>
      <c r="K93" s="70"/>
      <c r="L93" s="71"/>
      <c r="M93" s="72" t="s">
        <v>20</v>
      </c>
      <c r="N93" s="73">
        <v>110.0</v>
      </c>
      <c r="O93" s="74" t="s">
        <v>207</v>
      </c>
      <c r="P93" s="75">
        <v>0.84375</v>
      </c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45977.0</v>
      </c>
      <c r="I94" s="68"/>
      <c r="J94" s="69"/>
      <c r="K94" s="70"/>
      <c r="L94" s="71"/>
      <c r="M94" s="72" t="s">
        <v>24</v>
      </c>
      <c r="N94" s="73">
        <v>126.0</v>
      </c>
      <c r="O94" s="74" t="s">
        <v>208</v>
      </c>
      <c r="P94" s="75">
        <v>0.7756944444444445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45977.0</v>
      </c>
      <c r="I95" s="68"/>
      <c r="J95" s="69"/>
      <c r="K95" s="70"/>
      <c r="L95" s="71"/>
      <c r="M95" s="72" t="s">
        <v>49</v>
      </c>
      <c r="N95" s="73">
        <v>343.83</v>
      </c>
      <c r="O95" s="74" t="s">
        <v>209</v>
      </c>
      <c r="P95" s="75">
        <v>0.7909722222222222</v>
      </c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45977.0</v>
      </c>
      <c r="I96" s="68"/>
      <c r="J96" s="69"/>
      <c r="K96" s="70"/>
      <c r="L96" s="88"/>
      <c r="M96" s="72" t="s">
        <v>49</v>
      </c>
      <c r="N96" s="73">
        <v>1404.0</v>
      </c>
      <c r="O96" s="74" t="s">
        <v>210</v>
      </c>
      <c r="P96" s="75">
        <v>0.9145833333333333</v>
      </c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45978.0</v>
      </c>
      <c r="I97" s="68"/>
      <c r="J97" s="69"/>
      <c r="K97" s="70"/>
      <c r="L97" s="71"/>
      <c r="M97" s="72" t="s">
        <v>20</v>
      </c>
      <c r="N97" s="73">
        <v>14.18</v>
      </c>
      <c r="O97" s="74" t="s">
        <v>150</v>
      </c>
      <c r="P97" s="75">
        <v>0.4354166666666667</v>
      </c>
      <c r="R97" s="39"/>
      <c r="S97" s="95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45978.0</v>
      </c>
      <c r="I98" s="68"/>
      <c r="J98" s="69"/>
      <c r="K98" s="70"/>
      <c r="L98" s="71"/>
      <c r="M98" s="72" t="s">
        <v>20</v>
      </c>
      <c r="N98" s="73">
        <v>500.0</v>
      </c>
      <c r="O98" s="74" t="s">
        <v>211</v>
      </c>
      <c r="P98" s="75">
        <v>0.44027777777777777</v>
      </c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45978.0</v>
      </c>
      <c r="I99" s="68"/>
      <c r="J99" s="69"/>
      <c r="K99" s="70"/>
      <c r="L99" s="71"/>
      <c r="M99" s="72" t="s">
        <v>30</v>
      </c>
      <c r="N99" s="73">
        <v>1100.0</v>
      </c>
      <c r="O99" s="74" t="s">
        <v>212</v>
      </c>
      <c r="P99" s="75">
        <v>0.45069444444444445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45978.0</v>
      </c>
      <c r="I100" s="68"/>
      <c r="J100" s="69"/>
      <c r="K100" s="85"/>
      <c r="L100" s="71"/>
      <c r="M100" s="72" t="s">
        <v>36</v>
      </c>
      <c r="N100" s="73">
        <v>50.0</v>
      </c>
      <c r="O100" s="74" t="s">
        <v>159</v>
      </c>
      <c r="P100" s="75">
        <v>0.4576388888888889</v>
      </c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45978.0</v>
      </c>
      <c r="I101" s="68"/>
      <c r="J101" s="69"/>
      <c r="K101" s="70"/>
      <c r="L101" s="71"/>
      <c r="M101" s="72" t="s">
        <v>24</v>
      </c>
      <c r="N101" s="73">
        <v>464.0</v>
      </c>
      <c r="O101" s="74" t="s">
        <v>213</v>
      </c>
      <c r="P101" s="75">
        <v>0.5131944444444444</v>
      </c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45978.0</v>
      </c>
      <c r="I102" s="68"/>
      <c r="J102" s="69"/>
      <c r="K102" s="70"/>
      <c r="L102" s="71"/>
      <c r="M102" s="72" t="s">
        <v>20</v>
      </c>
      <c r="N102" s="73">
        <v>288.86</v>
      </c>
      <c r="O102" s="115" t="s">
        <v>26</v>
      </c>
      <c r="P102" s="116">
        <v>0.6305555555555555</v>
      </c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45978.0</v>
      </c>
      <c r="I103" s="68"/>
      <c r="J103" s="69"/>
      <c r="K103" s="70"/>
      <c r="L103" s="71"/>
      <c r="M103" s="72" t="s">
        <v>64</v>
      </c>
      <c r="N103" s="90">
        <v>255.0</v>
      </c>
      <c r="O103" s="96" t="s">
        <v>214</v>
      </c>
      <c r="P103" s="97">
        <v>0.6416666666666667</v>
      </c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45978.0</v>
      </c>
      <c r="I104" s="68"/>
      <c r="J104" s="69"/>
      <c r="K104" s="87"/>
      <c r="L104" s="88"/>
      <c r="M104" s="72" t="s">
        <v>43</v>
      </c>
      <c r="N104" s="90">
        <v>1672.06</v>
      </c>
      <c r="O104" s="96" t="s">
        <v>215</v>
      </c>
      <c r="P104" s="124" t="s">
        <v>216</v>
      </c>
      <c r="Q104" s="139"/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45978.0</v>
      </c>
      <c r="I105" s="68"/>
      <c r="J105" s="69"/>
      <c r="K105" s="87"/>
      <c r="L105" s="71"/>
      <c r="M105" s="72" t="s">
        <v>49</v>
      </c>
      <c r="N105" s="90">
        <v>1296.0</v>
      </c>
      <c r="O105" s="96" t="s">
        <v>217</v>
      </c>
      <c r="P105" s="97">
        <v>0.8770833333333333</v>
      </c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45978.0</v>
      </c>
      <c r="I106" s="68"/>
      <c r="J106" s="69"/>
      <c r="K106" s="70"/>
      <c r="L106" s="71"/>
      <c r="M106" s="72" t="s">
        <v>24</v>
      </c>
      <c r="N106" s="90">
        <v>636.0</v>
      </c>
      <c r="O106" s="74" t="s">
        <v>218</v>
      </c>
      <c r="P106" s="75">
        <v>0.9194444444444444</v>
      </c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45978.0</v>
      </c>
      <c r="I107" s="68"/>
      <c r="J107" s="69"/>
      <c r="K107" s="70"/>
      <c r="L107" s="71"/>
      <c r="M107" s="72" t="s">
        <v>24</v>
      </c>
      <c r="N107" s="90">
        <v>80.0</v>
      </c>
      <c r="O107" s="74" t="s">
        <v>219</v>
      </c>
      <c r="P107" s="75">
        <v>0.6208333333333333</v>
      </c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45979.0</v>
      </c>
      <c r="I108" s="68"/>
      <c r="J108" s="69"/>
      <c r="K108" s="70"/>
      <c r="L108" s="71"/>
      <c r="M108" s="72" t="s">
        <v>20</v>
      </c>
      <c r="N108" s="90">
        <v>66.0</v>
      </c>
      <c r="O108" s="74" t="s">
        <v>156</v>
      </c>
      <c r="P108" s="75">
        <v>0.8347222222222223</v>
      </c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45979.0</v>
      </c>
      <c r="I109" s="68"/>
      <c r="J109" s="69"/>
      <c r="K109" s="70"/>
      <c r="L109" s="71"/>
      <c r="M109" s="72" t="s">
        <v>20</v>
      </c>
      <c r="N109" s="90">
        <v>360.0</v>
      </c>
      <c r="O109" s="74" t="s">
        <v>207</v>
      </c>
      <c r="P109" s="75">
        <v>0.9423611111111111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45980.0</v>
      </c>
      <c r="I110" s="68"/>
      <c r="J110" s="69"/>
      <c r="K110" s="93"/>
      <c r="L110" s="71"/>
      <c r="M110" s="72" t="s">
        <v>36</v>
      </c>
      <c r="N110" s="90">
        <v>100.0</v>
      </c>
      <c r="O110" s="74" t="s">
        <v>220</v>
      </c>
      <c r="P110" s="75">
        <v>0.43125</v>
      </c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45980.0</v>
      </c>
      <c r="I111" s="68"/>
      <c r="J111" s="69"/>
      <c r="K111" s="70"/>
      <c r="L111" s="71"/>
      <c r="M111" s="72" t="s">
        <v>53</v>
      </c>
      <c r="N111" s="90">
        <v>202.0</v>
      </c>
      <c r="O111" s="74" t="s">
        <v>95</v>
      </c>
      <c r="P111" s="75">
        <v>0.44027777777777777</v>
      </c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45980.0</v>
      </c>
      <c r="I112" s="68"/>
      <c r="J112" s="69"/>
      <c r="K112" s="70"/>
      <c r="L112" s="71"/>
      <c r="M112" s="72" t="s">
        <v>36</v>
      </c>
      <c r="N112" s="73">
        <v>50.0</v>
      </c>
      <c r="O112" s="74" t="s">
        <v>159</v>
      </c>
      <c r="P112" s="75">
        <v>0.4895833333333333</v>
      </c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45980.0</v>
      </c>
      <c r="I113" s="68" t="s">
        <v>170</v>
      </c>
      <c r="J113" s="69">
        <v>360.0</v>
      </c>
      <c r="K113" s="70" t="s">
        <v>221</v>
      </c>
      <c r="L113" s="71">
        <v>0.625</v>
      </c>
      <c r="M113" s="72" t="s">
        <v>30</v>
      </c>
      <c r="N113" s="73">
        <v>1100.0</v>
      </c>
      <c r="O113" s="74" t="s">
        <v>212</v>
      </c>
      <c r="P113" s="75">
        <v>0.6770833333333334</v>
      </c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45980.0</v>
      </c>
      <c r="I114" s="68"/>
      <c r="J114" s="69"/>
      <c r="K114" s="70"/>
      <c r="L114" s="71"/>
      <c r="M114" s="72" t="s">
        <v>70</v>
      </c>
      <c r="N114" s="73">
        <v>160.0</v>
      </c>
      <c r="O114" s="74" t="s">
        <v>222</v>
      </c>
      <c r="P114" s="75">
        <v>0.7048611111111112</v>
      </c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45980.0</v>
      </c>
      <c r="I115" s="68"/>
      <c r="J115" s="69"/>
      <c r="K115" s="70"/>
      <c r="L115" s="71"/>
      <c r="M115" s="72" t="s">
        <v>24</v>
      </c>
      <c r="N115" s="73">
        <v>659.75</v>
      </c>
      <c r="O115" s="74" t="s">
        <v>223</v>
      </c>
      <c r="P115" s="75">
        <v>0.7631944444444444</v>
      </c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45980.0</v>
      </c>
      <c r="I116" s="68"/>
      <c r="J116" s="69"/>
      <c r="K116" s="70"/>
      <c r="L116" s="88"/>
      <c r="M116" s="72" t="s">
        <v>59</v>
      </c>
      <c r="N116" s="73">
        <v>237.552</v>
      </c>
      <c r="O116" s="74" t="s">
        <v>224</v>
      </c>
      <c r="P116" s="75">
        <v>0.8402777777777778</v>
      </c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45980.0</v>
      </c>
      <c r="I117" s="68"/>
      <c r="J117" s="69"/>
      <c r="K117" s="70"/>
      <c r="L117" s="71"/>
      <c r="M117" s="72" t="s">
        <v>53</v>
      </c>
      <c r="N117" s="73">
        <v>606.0</v>
      </c>
      <c r="O117" s="74" t="s">
        <v>225</v>
      </c>
      <c r="P117" s="75">
        <v>0.8527777777777777</v>
      </c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45981.0</v>
      </c>
      <c r="I118" s="68"/>
      <c r="J118" s="69"/>
      <c r="K118" s="92"/>
      <c r="L118" s="71"/>
      <c r="M118" s="72" t="s">
        <v>36</v>
      </c>
      <c r="N118" s="73">
        <v>929.98</v>
      </c>
      <c r="O118" s="74" t="s">
        <v>226</v>
      </c>
      <c r="P118" s="75">
        <v>0.4395833333333333</v>
      </c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45981.0</v>
      </c>
      <c r="I119" s="68"/>
      <c r="J119" s="69"/>
      <c r="K119" s="70"/>
      <c r="L119" s="71"/>
      <c r="M119" s="72" t="s">
        <v>36</v>
      </c>
      <c r="N119" s="73">
        <v>535.0</v>
      </c>
      <c r="O119" s="74" t="s">
        <v>186</v>
      </c>
      <c r="P119" s="75">
        <v>0.4666666666666667</v>
      </c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45981.0</v>
      </c>
      <c r="I120" s="68"/>
      <c r="J120" s="69"/>
      <c r="K120" s="70"/>
      <c r="L120" s="71"/>
      <c r="M120" s="72" t="s">
        <v>49</v>
      </c>
      <c r="N120" s="73">
        <v>4175.03</v>
      </c>
      <c r="O120" s="74" t="s">
        <v>227</v>
      </c>
      <c r="P120" s="75">
        <v>0.4826388888888889</v>
      </c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45981.0</v>
      </c>
      <c r="I121" s="68"/>
      <c r="J121" s="69"/>
      <c r="K121" s="70"/>
      <c r="L121" s="71"/>
      <c r="M121" s="72" t="s">
        <v>24</v>
      </c>
      <c r="N121" s="73">
        <v>530.0</v>
      </c>
      <c r="O121" s="74" t="s">
        <v>228</v>
      </c>
      <c r="P121" s="75">
        <v>0.5048611111111111</v>
      </c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45981.0</v>
      </c>
      <c r="I122" s="68"/>
      <c r="J122" s="69"/>
      <c r="K122" s="70"/>
      <c r="L122" s="71"/>
      <c r="M122" s="72" t="s">
        <v>20</v>
      </c>
      <c r="N122" s="73">
        <v>14.17</v>
      </c>
      <c r="O122" s="74" t="s">
        <v>150</v>
      </c>
      <c r="P122" s="94" t="s">
        <v>229</v>
      </c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45981.0</v>
      </c>
      <c r="I123" s="68" t="s">
        <v>167</v>
      </c>
      <c r="J123" s="69">
        <v>19000.0</v>
      </c>
      <c r="K123" s="70"/>
      <c r="L123" s="71">
        <v>0.6513888888888889</v>
      </c>
      <c r="M123" s="72" t="s">
        <v>20</v>
      </c>
      <c r="N123" s="73">
        <v>500.0</v>
      </c>
      <c r="O123" s="74" t="s">
        <v>207</v>
      </c>
      <c r="P123" s="75">
        <v>0.6625</v>
      </c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45981.0</v>
      </c>
      <c r="I124" s="68" t="s">
        <v>49</v>
      </c>
      <c r="J124" s="69">
        <v>890.09</v>
      </c>
      <c r="K124" s="70"/>
      <c r="L124" s="71">
        <v>0.7958333333333333</v>
      </c>
      <c r="M124" s="72" t="s">
        <v>57</v>
      </c>
      <c r="N124" s="73">
        <v>584.027497</v>
      </c>
      <c r="O124" s="74" t="s">
        <v>230</v>
      </c>
      <c r="P124" s="75">
        <v>0.8652777777777778</v>
      </c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45981.0</v>
      </c>
      <c r="I125" s="68"/>
      <c r="J125" s="69"/>
      <c r="K125" s="70"/>
      <c r="L125" s="71"/>
      <c r="M125" s="72" t="s">
        <v>36</v>
      </c>
      <c r="N125" s="73">
        <v>1070.0</v>
      </c>
      <c r="O125" s="74" t="s">
        <v>231</v>
      </c>
      <c r="P125" s="75">
        <v>0.8729166666666667</v>
      </c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45981.0</v>
      </c>
      <c r="I126" s="68"/>
      <c r="J126" s="69"/>
      <c r="K126" s="70"/>
      <c r="L126" s="71"/>
      <c r="M126" s="72" t="s">
        <v>57</v>
      </c>
      <c r="N126" s="73">
        <v>545.4</v>
      </c>
      <c r="O126" s="74" t="s">
        <v>199</v>
      </c>
      <c r="P126" s="75">
        <v>0.9743055555555555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45982.0</v>
      </c>
      <c r="I127" s="68"/>
      <c r="J127" s="69"/>
      <c r="K127" s="85"/>
      <c r="L127" s="71"/>
      <c r="M127" s="72" t="s">
        <v>57</v>
      </c>
      <c r="N127" s="73">
        <v>1090.8</v>
      </c>
      <c r="O127" s="74" t="s">
        <v>232</v>
      </c>
      <c r="P127" s="75">
        <v>0.44027777777777777</v>
      </c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45982.0</v>
      </c>
      <c r="I128" s="68"/>
      <c r="J128" s="69"/>
      <c r="K128" s="70"/>
      <c r="L128" s="71"/>
      <c r="M128" s="72" t="s">
        <v>20</v>
      </c>
      <c r="N128" s="73">
        <v>25.0</v>
      </c>
      <c r="O128" s="74" t="s">
        <v>98</v>
      </c>
      <c r="P128" s="75">
        <v>0.70625</v>
      </c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45982.0</v>
      </c>
      <c r="I129" s="68"/>
      <c r="J129" s="69"/>
      <c r="K129" s="70"/>
      <c r="L129" s="71"/>
      <c r="M129" s="72" t="s">
        <v>20</v>
      </c>
      <c r="N129" s="73">
        <v>28.35</v>
      </c>
      <c r="O129" s="74" t="s">
        <v>233</v>
      </c>
      <c r="P129" s="75">
        <v>0.7722222222222223</v>
      </c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45982.0</v>
      </c>
      <c r="I130" s="68"/>
      <c r="J130" s="69"/>
      <c r="K130" s="70"/>
      <c r="L130" s="71"/>
      <c r="M130" s="72" t="s">
        <v>30</v>
      </c>
      <c r="N130" s="73">
        <v>1100.0</v>
      </c>
      <c r="O130" s="74" t="s">
        <v>212</v>
      </c>
      <c r="P130" s="75">
        <v>0.7895833333333333</v>
      </c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45982.0</v>
      </c>
      <c r="I131" s="68"/>
      <c r="J131" s="69"/>
      <c r="K131" s="70"/>
      <c r="L131" s="88"/>
      <c r="M131" s="72" t="s">
        <v>20</v>
      </c>
      <c r="N131" s="73">
        <v>522.0</v>
      </c>
      <c r="O131" s="74" t="s">
        <v>234</v>
      </c>
      <c r="P131" s="75">
        <v>0.8701388888888889</v>
      </c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45982.0</v>
      </c>
      <c r="I132" s="68"/>
      <c r="J132" s="69"/>
      <c r="K132" s="85"/>
      <c r="L132" s="71"/>
      <c r="M132" s="72" t="s">
        <v>49</v>
      </c>
      <c r="N132" s="73">
        <v>3043.29</v>
      </c>
      <c r="O132" s="74" t="s">
        <v>235</v>
      </c>
      <c r="P132" s="75">
        <v>0.8888888888888888</v>
      </c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45984.0</v>
      </c>
      <c r="I133" s="68"/>
      <c r="J133" s="69"/>
      <c r="K133" s="70"/>
      <c r="L133" s="88"/>
      <c r="M133" s="72" t="s">
        <v>14</v>
      </c>
      <c r="N133" s="73">
        <v>336.74</v>
      </c>
      <c r="O133" s="74" t="s">
        <v>236</v>
      </c>
      <c r="P133" s="75">
        <v>0.5986111111111111</v>
      </c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45984.0</v>
      </c>
      <c r="I134" s="68"/>
      <c r="J134" s="69"/>
      <c r="K134" s="70"/>
      <c r="L134" s="71"/>
      <c r="M134" s="72" t="s">
        <v>14</v>
      </c>
      <c r="N134" s="73">
        <v>2858.8</v>
      </c>
      <c r="O134" s="74" t="s">
        <v>237</v>
      </c>
      <c r="P134" s="94" t="s">
        <v>238</v>
      </c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45984.0</v>
      </c>
      <c r="I135" s="68"/>
      <c r="J135" s="69"/>
      <c r="K135" s="70"/>
      <c r="L135" s="71"/>
      <c r="M135" s="72" t="s">
        <v>20</v>
      </c>
      <c r="N135" s="73">
        <v>24.1</v>
      </c>
      <c r="O135" s="74" t="s">
        <v>23</v>
      </c>
      <c r="P135" s="75">
        <v>0.8930555555555556</v>
      </c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45984.0</v>
      </c>
      <c r="I136" s="68"/>
      <c r="J136" s="69"/>
      <c r="K136" s="70"/>
      <c r="L136" s="71"/>
      <c r="M136" s="72" t="s">
        <v>49</v>
      </c>
      <c r="N136" s="73">
        <v>1697.667</v>
      </c>
      <c r="O136" s="74" t="s">
        <v>239</v>
      </c>
      <c r="P136" s="75">
        <v>0.9819444444444444</v>
      </c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45985.0</v>
      </c>
      <c r="I137" s="84"/>
      <c r="J137" s="17"/>
      <c r="K137" s="85"/>
      <c r="L137" s="86"/>
      <c r="M137" s="72" t="s">
        <v>20</v>
      </c>
      <c r="N137" s="73">
        <v>25.0</v>
      </c>
      <c r="O137" s="74" t="s">
        <v>98</v>
      </c>
      <c r="P137" s="75">
        <v>0.44027777777777777</v>
      </c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45985.0</v>
      </c>
      <c r="I138" s="68"/>
      <c r="J138" s="69"/>
      <c r="K138" s="70"/>
      <c r="L138" s="71"/>
      <c r="M138" s="72" t="s">
        <v>18</v>
      </c>
      <c r="N138" s="73">
        <v>383.64</v>
      </c>
      <c r="O138" s="74" t="s">
        <v>240</v>
      </c>
      <c r="P138" s="75">
        <v>0.5104166666666666</v>
      </c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45985.0</v>
      </c>
      <c r="I139" s="68"/>
      <c r="J139" s="69"/>
      <c r="K139" s="70"/>
      <c r="L139" s="71"/>
      <c r="M139" s="72" t="s">
        <v>20</v>
      </c>
      <c r="N139" s="73">
        <v>25.0</v>
      </c>
      <c r="O139" s="74" t="s">
        <v>241</v>
      </c>
      <c r="P139" s="75">
        <v>0.5194444444444445</v>
      </c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45985.0</v>
      </c>
      <c r="I140" s="68"/>
      <c r="J140" s="69"/>
      <c r="K140" s="70"/>
      <c r="L140" s="71"/>
      <c r="M140" s="72" t="s">
        <v>20</v>
      </c>
      <c r="N140" s="73">
        <v>510.0</v>
      </c>
      <c r="O140" s="74" t="s">
        <v>207</v>
      </c>
      <c r="P140" s="75">
        <v>0.6625</v>
      </c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45985.0</v>
      </c>
      <c r="I141" s="84"/>
      <c r="J141" s="17"/>
      <c r="K141" s="85"/>
      <c r="L141" s="86"/>
      <c r="M141" s="72" t="s">
        <v>39</v>
      </c>
      <c r="N141" s="73">
        <v>1605.3</v>
      </c>
      <c r="O141" s="74" t="s">
        <v>242</v>
      </c>
      <c r="P141" s="75">
        <v>0.6888888888888889</v>
      </c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45985.0</v>
      </c>
      <c r="I142" s="68" t="s">
        <v>167</v>
      </c>
      <c r="J142" s="69">
        <v>19000.0</v>
      </c>
      <c r="K142" s="70"/>
      <c r="L142" s="71">
        <v>0.83125</v>
      </c>
      <c r="M142" s="72" t="s">
        <v>24</v>
      </c>
      <c r="N142" s="73">
        <v>563.51</v>
      </c>
      <c r="O142" s="74" t="s">
        <v>243</v>
      </c>
      <c r="P142" s="75">
        <v>0.8784722222222222</v>
      </c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45985.0</v>
      </c>
      <c r="I143" s="68"/>
      <c r="J143" s="69"/>
      <c r="K143" s="70"/>
      <c r="L143" s="71"/>
      <c r="M143" s="72" t="s">
        <v>18</v>
      </c>
      <c r="N143" s="73">
        <v>318.0</v>
      </c>
      <c r="O143" s="74" t="s">
        <v>244</v>
      </c>
      <c r="P143" s="75">
        <v>0.96875</v>
      </c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45986.0</v>
      </c>
      <c r="I144" s="68"/>
      <c r="J144" s="69"/>
      <c r="K144" s="85"/>
      <c r="L144" s="71"/>
      <c r="M144" s="72" t="s">
        <v>24</v>
      </c>
      <c r="N144" s="73">
        <v>742.0</v>
      </c>
      <c r="O144" s="74" t="s">
        <v>245</v>
      </c>
      <c r="P144" s="75">
        <v>0.42777777777777776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45986.0</v>
      </c>
      <c r="I145" s="68"/>
      <c r="J145" s="69"/>
      <c r="K145" s="70"/>
      <c r="L145" s="71"/>
      <c r="M145" s="72" t="s">
        <v>49</v>
      </c>
      <c r="N145" s="73">
        <v>5496.3848</v>
      </c>
      <c r="O145" s="74" t="s">
        <v>246</v>
      </c>
      <c r="P145" s="75">
        <v>0.42986111111111114</v>
      </c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45986.0</v>
      </c>
      <c r="I146" s="68"/>
      <c r="J146" s="69"/>
      <c r="K146" s="70"/>
      <c r="L146" s="71"/>
      <c r="M146" s="72" t="s">
        <v>59</v>
      </c>
      <c r="N146" s="73">
        <v>888.0</v>
      </c>
      <c r="O146" s="74" t="s">
        <v>247</v>
      </c>
      <c r="P146" s="75">
        <v>0.5402777777777777</v>
      </c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45986.0</v>
      </c>
      <c r="I147" s="68"/>
      <c r="J147" s="69"/>
      <c r="K147" s="70"/>
      <c r="L147" s="88"/>
      <c r="M147" s="72" t="s">
        <v>20</v>
      </c>
      <c r="N147" s="73">
        <v>25.0</v>
      </c>
      <c r="O147" s="74" t="s">
        <v>98</v>
      </c>
      <c r="P147" s="75">
        <v>0.6027777777777777</v>
      </c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45986.0</v>
      </c>
      <c r="I148" s="68"/>
      <c r="J148" s="69"/>
      <c r="K148" s="85"/>
      <c r="L148" s="88"/>
      <c r="M148" s="72" t="s">
        <v>24</v>
      </c>
      <c r="N148" s="73">
        <v>742.0</v>
      </c>
      <c r="O148" s="74" t="s">
        <v>248</v>
      </c>
      <c r="P148" s="75">
        <v>0.6569444444444444</v>
      </c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45986.0</v>
      </c>
      <c r="I149" s="68"/>
      <c r="J149" s="69"/>
      <c r="K149" s="70"/>
      <c r="L149" s="71"/>
      <c r="M149" s="72" t="s">
        <v>20</v>
      </c>
      <c r="N149" s="73">
        <v>530.0</v>
      </c>
      <c r="O149" s="74" t="s">
        <v>207</v>
      </c>
      <c r="P149" s="75">
        <v>0.6791666666666667</v>
      </c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45987.0</v>
      </c>
      <c r="I150" s="68"/>
      <c r="J150" s="69"/>
      <c r="K150" s="70"/>
      <c r="L150" s="71"/>
      <c r="M150" s="72" t="s">
        <v>20</v>
      </c>
      <c r="N150" s="73">
        <v>50.0</v>
      </c>
      <c r="O150" s="74" t="s">
        <v>21</v>
      </c>
      <c r="P150" s="75">
        <v>0.7152777777777778</v>
      </c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45987.0</v>
      </c>
      <c r="I151" s="68"/>
      <c r="J151" s="69"/>
      <c r="K151" s="70"/>
      <c r="L151" s="71"/>
      <c r="M151" s="72" t="s">
        <v>20</v>
      </c>
      <c r="N151" s="73">
        <v>260.0</v>
      </c>
      <c r="O151" s="74" t="s">
        <v>207</v>
      </c>
      <c r="P151" s="75">
        <v>0.7243055555555555</v>
      </c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45987.0</v>
      </c>
      <c r="I152" s="68"/>
      <c r="J152" s="69"/>
      <c r="K152" s="87"/>
      <c r="L152" s="71"/>
      <c r="M152" s="72" t="s">
        <v>36</v>
      </c>
      <c r="N152" s="73">
        <v>100.0</v>
      </c>
      <c r="O152" s="74" t="s">
        <v>193</v>
      </c>
      <c r="P152" s="75">
        <v>0.8333333333333334</v>
      </c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45987.0</v>
      </c>
      <c r="I153" s="68"/>
      <c r="J153" s="69"/>
      <c r="K153" s="70"/>
      <c r="L153" s="71"/>
      <c r="M153" s="72" t="s">
        <v>167</v>
      </c>
      <c r="N153" s="73">
        <v>16470.0</v>
      </c>
      <c r="O153" s="74" t="s">
        <v>155</v>
      </c>
      <c r="P153" s="75">
        <v>0.8979166666666667</v>
      </c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45988.0</v>
      </c>
      <c r="I154" s="68"/>
      <c r="J154" s="69"/>
      <c r="K154" s="85"/>
      <c r="L154" s="71"/>
      <c r="M154" s="72" t="s">
        <v>30</v>
      </c>
      <c r="N154" s="73">
        <v>582.82</v>
      </c>
      <c r="O154" s="74" t="s">
        <v>249</v>
      </c>
      <c r="P154" s="75">
        <v>0.6638888888888889</v>
      </c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45988.0</v>
      </c>
      <c r="I155" s="68" t="s">
        <v>25</v>
      </c>
      <c r="J155" s="69">
        <v>4300.0</v>
      </c>
      <c r="K155" s="85"/>
      <c r="L155" s="71">
        <v>0.6895833333333333</v>
      </c>
      <c r="M155" s="72" t="s">
        <v>59</v>
      </c>
      <c r="N155" s="73">
        <v>122.2</v>
      </c>
      <c r="O155" s="115" t="s">
        <v>250</v>
      </c>
      <c r="P155" s="75">
        <v>0.7159722222222222</v>
      </c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45988.0</v>
      </c>
      <c r="I156" s="68"/>
      <c r="J156" s="69"/>
      <c r="K156" s="70"/>
      <c r="L156" s="71"/>
      <c r="M156" s="72" t="s">
        <v>39</v>
      </c>
      <c r="N156" s="73">
        <v>2474.39</v>
      </c>
      <c r="O156" s="115" t="s">
        <v>251</v>
      </c>
      <c r="P156" s="75">
        <v>0.7354166666666667</v>
      </c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45988.0</v>
      </c>
      <c r="I157" s="68" t="s">
        <v>173</v>
      </c>
      <c r="J157" s="69">
        <v>225.12</v>
      </c>
      <c r="K157" s="70"/>
      <c r="L157" s="71">
        <v>0.7951388888888888</v>
      </c>
      <c r="M157" s="72" t="s">
        <v>49</v>
      </c>
      <c r="N157" s="73">
        <v>4120.0</v>
      </c>
      <c r="O157" s="115" t="s">
        <v>252</v>
      </c>
      <c r="P157" s="75">
        <v>0.9229166666666667</v>
      </c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45988.0</v>
      </c>
      <c r="I158" s="68" t="s">
        <v>171</v>
      </c>
      <c r="J158" s="69">
        <v>7000.0</v>
      </c>
      <c r="K158" s="87"/>
      <c r="L158" s="71">
        <v>0.9298611111111111</v>
      </c>
      <c r="M158" s="72" t="s">
        <v>18</v>
      </c>
      <c r="N158" s="73">
        <v>322.1</v>
      </c>
      <c r="O158" s="115" t="s">
        <v>253</v>
      </c>
      <c r="P158" s="75">
        <v>0.9965277777777778</v>
      </c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45989.0</v>
      </c>
      <c r="I159" s="68"/>
      <c r="J159" s="69"/>
      <c r="K159" s="87"/>
      <c r="L159" s="71"/>
      <c r="M159" s="72" t="s">
        <v>24</v>
      </c>
      <c r="N159" s="73">
        <v>424.59</v>
      </c>
      <c r="O159" s="115" t="s">
        <v>254</v>
      </c>
      <c r="P159" s="75">
        <v>0.7006944444444444</v>
      </c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45989.0</v>
      </c>
      <c r="I160" s="68"/>
      <c r="J160" s="69"/>
      <c r="K160" s="70"/>
      <c r="L160" s="88"/>
      <c r="M160" s="72" t="s">
        <v>18</v>
      </c>
      <c r="N160" s="73">
        <v>348.15</v>
      </c>
      <c r="O160" s="115" t="s">
        <v>255</v>
      </c>
      <c r="P160" s="75">
        <v>0.7298611111111111</v>
      </c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45989.0</v>
      </c>
      <c r="I161" s="68" t="s">
        <v>50</v>
      </c>
      <c r="J161" s="69">
        <v>1488.1</v>
      </c>
      <c r="K161" s="70" t="s">
        <v>155</v>
      </c>
      <c r="L161" s="71">
        <v>0.7472222222222222</v>
      </c>
      <c r="M161" s="72"/>
      <c r="N161" s="90"/>
      <c r="O161" s="74"/>
      <c r="P161" s="75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45990.0</v>
      </c>
      <c r="I162" s="68"/>
      <c r="J162" s="69"/>
      <c r="K162" s="93"/>
      <c r="L162" s="71"/>
      <c r="M162" s="72" t="s">
        <v>161</v>
      </c>
      <c r="N162" s="90">
        <v>4231.1</v>
      </c>
      <c r="O162" s="74" t="s">
        <v>155</v>
      </c>
      <c r="P162" s="75">
        <v>0.7708333333333334</v>
      </c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45991.0</v>
      </c>
      <c r="I163" s="68"/>
      <c r="J163" s="69"/>
      <c r="K163" s="70"/>
      <c r="L163" s="71"/>
      <c r="M163" s="72" t="s">
        <v>24</v>
      </c>
      <c r="N163" s="90">
        <v>636.0</v>
      </c>
      <c r="O163" s="74" t="s">
        <v>218</v>
      </c>
      <c r="P163" s="75">
        <v>0.6298611111111111</v>
      </c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45991.0</v>
      </c>
      <c r="I164" s="68"/>
      <c r="J164" s="69"/>
      <c r="K164" s="70"/>
      <c r="L164" s="71"/>
      <c r="M164" s="72" t="s">
        <v>20</v>
      </c>
      <c r="N164" s="90">
        <v>1688.0</v>
      </c>
      <c r="O164" s="74" t="s">
        <v>256</v>
      </c>
      <c r="P164" s="75">
        <v>0.7541666666666667</v>
      </c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45991.0</v>
      </c>
      <c r="I165" s="68"/>
      <c r="J165" s="69"/>
      <c r="K165" s="70"/>
      <c r="L165" s="71"/>
      <c r="M165" s="72" t="s">
        <v>20</v>
      </c>
      <c r="N165" s="90">
        <v>10.0</v>
      </c>
      <c r="O165" s="74" t="s">
        <v>211</v>
      </c>
      <c r="P165" s="75">
        <v>0.42569444444444443</v>
      </c>
      <c r="R165" s="39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45991.0</v>
      </c>
      <c r="I166" s="68"/>
      <c r="J166" s="69"/>
      <c r="K166" s="70"/>
      <c r="L166" s="71"/>
      <c r="M166" s="72" t="s">
        <v>20</v>
      </c>
      <c r="N166" s="90">
        <v>18.0</v>
      </c>
      <c r="O166" s="74" t="s">
        <v>257</v>
      </c>
      <c r="P166" s="75">
        <v>0.4583333333333333</v>
      </c>
      <c r="Q166" s="95" t="s">
        <v>136</v>
      </c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/>
      <c r="I167" s="68"/>
      <c r="J167" s="69"/>
      <c r="K167" s="70"/>
      <c r="L167" s="71"/>
      <c r="M167" s="72"/>
      <c r="N167" s="90"/>
      <c r="O167" s="74"/>
      <c r="P167" s="75"/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/>
      <c r="I168" s="68"/>
      <c r="J168" s="69"/>
      <c r="K168" s="87"/>
      <c r="L168" s="71"/>
      <c r="M168" s="72"/>
      <c r="N168" s="90"/>
      <c r="O168" s="74"/>
      <c r="P168" s="75"/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/>
      <c r="I169" s="68"/>
      <c r="J169" s="69"/>
      <c r="K169" s="70"/>
      <c r="L169" s="71"/>
      <c r="M169" s="72"/>
      <c r="N169" s="90"/>
      <c r="O169" s="74"/>
      <c r="P169" s="75"/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/>
      <c r="I170" s="68"/>
      <c r="J170" s="69"/>
      <c r="K170" s="70"/>
      <c r="L170" s="71"/>
      <c r="M170" s="72"/>
      <c r="N170" s="90"/>
      <c r="O170" s="74"/>
      <c r="P170" s="75"/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/>
      <c r="I171" s="68"/>
      <c r="J171" s="69"/>
      <c r="K171" s="85"/>
      <c r="L171" s="71"/>
      <c r="M171" s="72"/>
      <c r="N171" s="90"/>
      <c r="O171" s="74"/>
      <c r="P171" s="75"/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/>
      <c r="I172" s="84"/>
      <c r="J172" s="17"/>
      <c r="K172" s="85"/>
      <c r="L172" s="86"/>
      <c r="M172" s="72"/>
      <c r="N172" s="90"/>
      <c r="O172" s="74"/>
      <c r="P172" s="75"/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/>
      <c r="I173" s="84"/>
      <c r="J173" s="17"/>
      <c r="K173" s="85"/>
      <c r="L173" s="86"/>
      <c r="M173" s="72"/>
      <c r="N173" s="90"/>
      <c r="O173" s="74"/>
      <c r="P173" s="94"/>
      <c r="R173" s="39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/>
      <c r="I174" s="68"/>
      <c r="J174" s="69"/>
      <c r="K174" s="70"/>
      <c r="L174" s="71"/>
      <c r="M174" s="72"/>
      <c r="N174" s="90"/>
      <c r="O174" s="74"/>
      <c r="P174" s="75"/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/>
      <c r="I175" s="68"/>
      <c r="J175" s="69"/>
      <c r="K175" s="87"/>
      <c r="L175" s="71"/>
      <c r="M175" s="72"/>
      <c r="N175" s="90"/>
      <c r="O175" s="74"/>
      <c r="P175" s="75"/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/>
      <c r="I176" s="68"/>
      <c r="J176" s="69"/>
      <c r="K176" s="70"/>
      <c r="L176" s="71"/>
      <c r="M176" s="72"/>
      <c r="N176" s="90"/>
      <c r="O176" s="74"/>
      <c r="P176" s="75"/>
      <c r="Q176" s="41"/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/>
      <c r="I177" s="68"/>
      <c r="J177" s="69"/>
      <c r="K177" s="70"/>
      <c r="L177" s="71"/>
      <c r="M177" s="72"/>
      <c r="N177" s="90"/>
      <c r="O177" s="74"/>
      <c r="P177" s="75"/>
      <c r="Q177" s="41"/>
      <c r="R177" s="39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/>
      <c r="I178" s="68"/>
      <c r="J178" s="69"/>
      <c r="K178" s="70"/>
      <c r="L178" s="71"/>
      <c r="M178" s="72"/>
      <c r="N178" s="90"/>
      <c r="O178" s="74"/>
      <c r="P178" s="75"/>
      <c r="Q178" s="41"/>
      <c r="R178" s="39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/>
      <c r="I179" s="68"/>
      <c r="J179" s="69"/>
      <c r="K179" s="70"/>
      <c r="L179" s="71"/>
      <c r="M179" s="72"/>
      <c r="N179" s="90"/>
      <c r="O179" s="74"/>
      <c r="P179" s="75"/>
      <c r="Q179" s="41"/>
      <c r="R179" s="39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/>
      <c r="I180" s="68"/>
      <c r="J180" s="69"/>
      <c r="K180" s="87"/>
      <c r="L180" s="71"/>
      <c r="M180" s="72"/>
      <c r="N180" s="90"/>
      <c r="O180" s="74"/>
      <c r="P180" s="75"/>
      <c r="R180" s="39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/>
      <c r="I181" s="68"/>
      <c r="J181" s="69"/>
      <c r="K181" s="85"/>
      <c r="L181" s="71"/>
      <c r="M181" s="72"/>
      <c r="N181" s="90"/>
      <c r="O181" s="74"/>
      <c r="P181" s="75"/>
      <c r="Q181" s="125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/>
      <c r="I182" s="68"/>
      <c r="J182" s="69"/>
      <c r="K182" s="85"/>
      <c r="L182" s="71"/>
      <c r="M182" s="72"/>
      <c r="N182" s="19"/>
      <c r="O182" s="126"/>
      <c r="P182" s="94"/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/>
      <c r="I183" s="68"/>
      <c r="J183" s="69"/>
      <c r="K183" s="85"/>
      <c r="L183" s="71"/>
      <c r="M183" s="72"/>
      <c r="N183" s="19"/>
      <c r="O183" s="126"/>
      <c r="P183" s="94"/>
      <c r="Q183" s="41"/>
      <c r="R183" s="39"/>
      <c r="S183" s="125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/>
      <c r="I184" s="68"/>
      <c r="J184" s="69"/>
      <c r="K184" s="87"/>
      <c r="L184" s="71"/>
      <c r="M184" s="72"/>
      <c r="N184" s="90"/>
      <c r="O184" s="74"/>
      <c r="P184" s="94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/>
      <c r="I185" s="68"/>
      <c r="J185" s="69"/>
      <c r="K185" s="87"/>
      <c r="L185" s="71"/>
      <c r="M185" s="127"/>
      <c r="N185" s="19"/>
      <c r="O185" s="128"/>
      <c r="P185" s="129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/>
      <c r="I186" s="68"/>
      <c r="J186" s="69"/>
      <c r="K186" s="87"/>
      <c r="L186" s="71"/>
      <c r="M186" s="72"/>
      <c r="N186" s="90"/>
      <c r="O186" s="74"/>
      <c r="P186" s="75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/>
      <c r="I187" s="84"/>
      <c r="J187" s="17"/>
      <c r="K187" s="85"/>
      <c r="L187" s="86"/>
      <c r="M187" s="72"/>
      <c r="N187" s="90"/>
      <c r="O187" s="74"/>
      <c r="P187" s="75"/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/>
      <c r="I190" s="84"/>
      <c r="J190" s="17"/>
      <c r="K190" s="85"/>
      <c r="L190" s="86"/>
      <c r="M190" s="72"/>
      <c r="N190" s="90"/>
      <c r="O190" s="74"/>
      <c r="P190" s="75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/>
      <c r="I191" s="68"/>
      <c r="J191" s="69"/>
      <c r="K191" s="87"/>
      <c r="L191" s="71"/>
      <c r="M191" s="72"/>
      <c r="N191" s="90"/>
      <c r="O191" s="74"/>
      <c r="P191" s="75"/>
      <c r="Q191" s="41"/>
      <c r="R191" s="39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/>
      <c r="I192" s="84"/>
      <c r="J192" s="17"/>
      <c r="K192" s="85"/>
      <c r="L192" s="86"/>
      <c r="M192" s="72"/>
      <c r="N192" s="90"/>
      <c r="O192" s="74"/>
      <c r="P192" s="75"/>
      <c r="Q192" s="41"/>
      <c r="R192" s="39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/>
      <c r="I193" s="84"/>
      <c r="J193" s="17"/>
      <c r="K193" s="85"/>
      <c r="L193" s="86"/>
      <c r="M193" s="72"/>
      <c r="N193" s="90"/>
      <c r="O193" s="74"/>
      <c r="P193" s="75"/>
      <c r="Q193" s="41"/>
      <c r="R193" s="39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/>
      <c r="I194" s="84"/>
      <c r="J194" s="17"/>
      <c r="K194" s="85"/>
      <c r="L194" s="86"/>
      <c r="M194" s="72"/>
      <c r="N194" s="90"/>
      <c r="O194" s="74"/>
      <c r="P194" s="75"/>
      <c r="Q194" s="41"/>
      <c r="R194" s="39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/>
      <c r="I195" s="84"/>
      <c r="J195" s="17"/>
      <c r="K195" s="85"/>
      <c r="L195" s="86"/>
      <c r="M195" s="72"/>
      <c r="N195" s="90"/>
      <c r="O195" s="74"/>
      <c r="P195" s="94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/>
      <c r="I196" s="84"/>
      <c r="J196" s="17"/>
      <c r="K196" s="85"/>
      <c r="L196" s="86"/>
      <c r="M196" s="72"/>
      <c r="N196" s="90"/>
      <c r="O196" s="74"/>
      <c r="P196" s="94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/>
      <c r="I197" s="84"/>
      <c r="J197" s="17"/>
      <c r="K197" s="85"/>
      <c r="L197" s="86"/>
      <c r="M197" s="72"/>
      <c r="N197" s="90"/>
      <c r="O197" s="74"/>
      <c r="P197" s="75"/>
      <c r="Q197" s="41"/>
      <c r="R197" s="39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/>
      <c r="I198" s="84"/>
      <c r="J198" s="17"/>
      <c r="K198" s="85"/>
      <c r="L198" s="86"/>
      <c r="M198" s="72"/>
      <c r="N198" s="90"/>
      <c r="O198" s="74"/>
      <c r="P198" s="75"/>
      <c r="Q198" s="41"/>
      <c r="R198" s="39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/>
      <c r="I199" s="84"/>
      <c r="J199" s="17"/>
      <c r="K199" s="85"/>
      <c r="L199" s="86"/>
      <c r="M199" s="72"/>
      <c r="N199" s="90"/>
      <c r="O199" s="74"/>
      <c r="P199" s="75"/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/>
      <c r="I200" s="84"/>
      <c r="J200" s="17"/>
      <c r="K200" s="85"/>
      <c r="L200" s="86"/>
      <c r="M200" s="72"/>
      <c r="N200" s="90"/>
      <c r="O200" s="74"/>
      <c r="P200" s="75"/>
      <c r="Q200" s="41"/>
      <c r="R200" s="39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/>
      <c r="I201" s="84"/>
      <c r="J201" s="17"/>
      <c r="K201" s="85"/>
      <c r="L201" s="86"/>
      <c r="M201" s="72"/>
      <c r="N201" s="90"/>
      <c r="O201" s="74"/>
      <c r="P201" s="75"/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/>
      <c r="I202" s="84"/>
      <c r="J202" s="17"/>
      <c r="K202" s="85"/>
      <c r="L202" s="86"/>
      <c r="M202" s="72"/>
      <c r="N202" s="90"/>
      <c r="O202" s="74"/>
      <c r="P202" s="75"/>
      <c r="Q202" s="41"/>
      <c r="R202" s="39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/>
      <c r="I203" s="84"/>
      <c r="J203" s="17"/>
      <c r="K203" s="85"/>
      <c r="L203" s="86"/>
      <c r="M203" s="72"/>
      <c r="N203" s="90"/>
      <c r="O203" s="74"/>
      <c r="P203" s="75"/>
      <c r="Q203" s="41"/>
      <c r="R203" s="39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/>
      <c r="I204" s="84"/>
      <c r="J204" s="17"/>
      <c r="K204" s="85"/>
      <c r="L204" s="86"/>
      <c r="M204" s="72"/>
      <c r="N204" s="90"/>
      <c r="O204" s="74"/>
      <c r="P204" s="75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/>
      <c r="I205" s="84"/>
      <c r="J205" s="17"/>
      <c r="K205" s="85"/>
      <c r="L205" s="86"/>
      <c r="M205" s="72"/>
      <c r="N205" s="90"/>
      <c r="O205" s="74"/>
      <c r="P205" s="75"/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/>
      <c r="I206" s="84"/>
      <c r="J206" s="17"/>
      <c r="K206" s="85"/>
      <c r="L206" s="86"/>
      <c r="M206" s="72"/>
      <c r="N206" s="90"/>
      <c r="O206" s="74"/>
      <c r="P206" s="75"/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/>
      <c r="I207" s="84"/>
      <c r="J207" s="17"/>
      <c r="K207" s="85"/>
      <c r="L207" s="86"/>
      <c r="M207" s="72"/>
      <c r="N207" s="90"/>
      <c r="O207" s="74"/>
      <c r="P207" s="75"/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/>
      <c r="I208" s="84"/>
      <c r="J208" s="17"/>
      <c r="K208" s="85"/>
      <c r="L208" s="86"/>
      <c r="M208" s="72"/>
      <c r="N208" s="90"/>
      <c r="O208" s="74"/>
      <c r="P208" s="94"/>
      <c r="Q208" s="41"/>
      <c r="R208" s="39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/>
      <c r="I209" s="84"/>
      <c r="J209" s="17"/>
      <c r="K209" s="85"/>
      <c r="L209" s="86"/>
      <c r="M209" s="72"/>
      <c r="N209" s="90"/>
      <c r="O209" s="74"/>
      <c r="P209" s="75"/>
      <c r="Q209" s="41"/>
      <c r="R209" s="39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/>
      <c r="I210" s="84"/>
      <c r="J210" s="17"/>
      <c r="K210" s="85"/>
      <c r="L210" s="86"/>
      <c r="M210" s="72"/>
      <c r="N210" s="90"/>
      <c r="O210" s="74"/>
      <c r="P210" s="75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/>
      <c r="I211" s="84"/>
      <c r="J211" s="17"/>
      <c r="K211" s="85"/>
      <c r="L211" s="86"/>
      <c r="M211" s="72"/>
      <c r="N211" s="90"/>
      <c r="O211" s="74"/>
      <c r="P211" s="75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/>
      <c r="I212" s="84"/>
      <c r="J212" s="17"/>
      <c r="K212" s="85"/>
      <c r="L212" s="86"/>
      <c r="M212" s="72"/>
      <c r="N212" s="90"/>
      <c r="O212" s="74"/>
      <c r="P212" s="75"/>
      <c r="Q212" s="41"/>
      <c r="R212" s="39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/>
      <c r="I213" s="84"/>
      <c r="J213" s="17"/>
      <c r="K213" s="85"/>
      <c r="L213" s="86"/>
      <c r="M213" s="72"/>
      <c r="N213" s="90"/>
      <c r="O213" s="74"/>
      <c r="P213" s="75"/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/>
      <c r="I214" s="84"/>
      <c r="J214" s="17"/>
      <c r="K214" s="85"/>
      <c r="L214" s="86"/>
      <c r="M214" s="72"/>
      <c r="N214" s="90"/>
      <c r="O214" s="74"/>
      <c r="P214" s="75"/>
      <c r="Q214" s="41"/>
      <c r="R214" s="39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/>
      <c r="I215" s="68"/>
      <c r="J215" s="69"/>
      <c r="K215" s="85"/>
      <c r="L215" s="71"/>
      <c r="M215" s="72"/>
      <c r="N215" s="90"/>
      <c r="O215" s="74"/>
      <c r="P215" s="75"/>
      <c r="Q215" s="41"/>
      <c r="R215" s="39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/>
      <c r="I216" s="84"/>
      <c r="J216" s="17"/>
      <c r="K216" s="85"/>
      <c r="L216" s="86"/>
      <c r="M216" s="72"/>
      <c r="N216" s="90"/>
      <c r="O216" s="74"/>
      <c r="P216" s="75"/>
      <c r="Q216" s="41"/>
      <c r="R216" s="39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/>
      <c r="I217" s="84"/>
      <c r="J217" s="17"/>
      <c r="K217" s="85"/>
      <c r="L217" s="86"/>
      <c r="M217" s="72"/>
      <c r="N217" s="90"/>
      <c r="O217" s="74"/>
      <c r="P217" s="94"/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/>
      <c r="I218" s="84"/>
      <c r="J218" s="17"/>
      <c r="K218" s="85"/>
      <c r="L218" s="86"/>
      <c r="M218" s="72"/>
      <c r="N218" s="90"/>
      <c r="O218" s="74"/>
      <c r="P218" s="75"/>
      <c r="Q218" s="41"/>
      <c r="R218" s="39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/>
      <c r="I219" s="84"/>
      <c r="J219" s="17"/>
      <c r="K219" s="85"/>
      <c r="L219" s="86"/>
      <c r="M219" s="72"/>
      <c r="N219" s="19"/>
      <c r="O219" s="74"/>
      <c r="P219" s="75"/>
      <c r="Q219" s="41"/>
      <c r="R219" s="39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/>
      <c r="I220" s="84"/>
      <c r="J220" s="17"/>
      <c r="K220" s="85"/>
      <c r="L220" s="86"/>
      <c r="M220" s="72"/>
      <c r="N220" s="90"/>
      <c r="O220" s="74"/>
      <c r="P220" s="75"/>
      <c r="Q220" s="41"/>
      <c r="R220" s="39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/>
      <c r="I221" s="84"/>
      <c r="J221" s="17"/>
      <c r="K221" s="85"/>
      <c r="L221" s="86"/>
      <c r="M221" s="72"/>
      <c r="N221" s="90"/>
      <c r="O221" s="74"/>
      <c r="P221" s="75"/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/>
      <c r="I222" s="84"/>
      <c r="J222" s="17"/>
      <c r="K222" s="85"/>
      <c r="L222" s="86"/>
      <c r="M222" s="72"/>
      <c r="N222" s="90"/>
      <c r="O222" s="74"/>
      <c r="P222" s="75"/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5:AB3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0.38"/>
    <col customWidth="1" min="22" max="28" width="6.88"/>
  </cols>
  <sheetData>
    <row r="1" ht="48.75" customHeight="1">
      <c r="A1" s="1" t="s">
        <v>0</v>
      </c>
      <c r="B1" s="2"/>
      <c r="C1" s="3" t="s">
        <v>258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259</v>
      </c>
      <c r="D4" s="21"/>
      <c r="E4" s="20"/>
      <c r="F4" s="21"/>
      <c r="G4" s="23" t="s">
        <v>260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9175.39496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31523.68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261</v>
      </c>
      <c r="D7" s="54" t="s">
        <v>16</v>
      </c>
      <c r="E7" s="29"/>
      <c r="F7" s="30"/>
      <c r="G7" s="55">
        <v>1.0</v>
      </c>
      <c r="H7" s="56">
        <v>45931.0</v>
      </c>
      <c r="I7" s="57" t="s">
        <v>262</v>
      </c>
      <c r="J7" s="58">
        <f>'2025年9月收支财务报表'!C25</f>
        <v>19233.42</v>
      </c>
      <c r="K7" s="59"/>
      <c r="L7" s="60"/>
      <c r="M7" s="61"/>
      <c r="N7" s="62"/>
      <c r="O7" s="63"/>
      <c r="P7" s="64"/>
      <c r="R7" s="39"/>
      <c r="S7" s="25">
        <f>SUMIF(M:M,"印度户印尼企业户",N:N)</f>
        <v>213183.14</v>
      </c>
      <c r="T7" s="101" t="s">
        <v>47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45931.0</v>
      </c>
      <c r="I8" s="68" t="s">
        <v>263</v>
      </c>
      <c r="J8" s="69">
        <v>30000.0</v>
      </c>
      <c r="K8" s="70"/>
      <c r="L8" s="71">
        <v>0.6416666666666667</v>
      </c>
      <c r="M8" s="80"/>
      <c r="N8" s="19"/>
      <c r="O8" s="126"/>
      <c r="P8" s="94"/>
      <c r="R8" s="39"/>
      <c r="S8" s="25">
        <f>SUMIF(M:M,"Vcc-102524 服务费1（泰华）",N:N)</f>
        <v>404</v>
      </c>
      <c r="T8" s="101" t="s">
        <v>264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772527.52</v>
      </c>
      <c r="D9" s="30"/>
      <c r="E9" s="29"/>
      <c r="F9" s="30"/>
      <c r="G9" s="66">
        <v>3.0</v>
      </c>
      <c r="H9" s="67">
        <v>45932.0</v>
      </c>
      <c r="I9" s="68"/>
      <c r="J9" s="69"/>
      <c r="K9" s="70"/>
      <c r="L9" s="71"/>
      <c r="M9" s="61" t="s">
        <v>47</v>
      </c>
      <c r="N9" s="90">
        <v>14780.99</v>
      </c>
      <c r="O9" s="74" t="s">
        <v>265</v>
      </c>
      <c r="P9" s="75">
        <v>0.7305555555555555</v>
      </c>
      <c r="R9" s="39"/>
      <c r="S9" s="25">
        <f>SUMIF(M:M,"凤凰渠道-泰华",N:N)</f>
        <v>182993.43</v>
      </c>
      <c r="T9" s="101" t="s">
        <v>75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45932.0</v>
      </c>
      <c r="I10" s="68"/>
      <c r="J10" s="69"/>
      <c r="K10" s="70"/>
      <c r="L10" s="71"/>
      <c r="M10" s="72" t="s">
        <v>20</v>
      </c>
      <c r="N10" s="90">
        <v>78.57</v>
      </c>
      <c r="O10" s="74" t="s">
        <v>266</v>
      </c>
      <c r="P10" s="75">
        <v>0.8354166666666667</v>
      </c>
      <c r="R10" s="39"/>
      <c r="S10" s="25">
        <f>SUMIF(M:M,"wade shen 美金谷歌户25+5%",N:N)</f>
        <v>195.5</v>
      </c>
      <c r="T10" s="101" t="s">
        <v>157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551497.865</v>
      </c>
      <c r="D11" s="30"/>
      <c r="E11" s="29"/>
      <c r="F11" s="30"/>
      <c r="G11" s="66">
        <v>5.0</v>
      </c>
      <c r="H11" s="67">
        <v>45933.0</v>
      </c>
      <c r="I11" s="68"/>
      <c r="J11" s="69"/>
      <c r="K11" s="70"/>
      <c r="L11" s="71"/>
      <c r="M11" s="72" t="s">
        <v>20</v>
      </c>
      <c r="N11" s="90">
        <v>25.45</v>
      </c>
      <c r="O11" s="74" t="s">
        <v>150</v>
      </c>
      <c r="P11" s="75">
        <v>0.42430555555555555</v>
      </c>
      <c r="R11" s="39"/>
      <c r="S11" s="25">
        <f>SUMIF(M:M,"二不限企业户",N:N)</f>
        <v>7612.44</v>
      </c>
      <c r="T11" s="101" t="s">
        <v>111</v>
      </c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45933.0</v>
      </c>
      <c r="I12" s="68"/>
      <c r="J12" s="69"/>
      <c r="K12" s="70"/>
      <c r="L12" s="71"/>
      <c r="M12" s="72" t="s">
        <v>20</v>
      </c>
      <c r="N12" s="90">
        <v>33.0</v>
      </c>
      <c r="O12" s="74" t="s">
        <v>267</v>
      </c>
      <c r="P12" s="75">
        <v>0.7284722222222222</v>
      </c>
      <c r="R12" s="39"/>
      <c r="S12" s="25">
        <f>SUMIF(M:M,"Y-5208 FB欧/美户",N:N)</f>
        <v>1374.31</v>
      </c>
      <c r="T12" s="101" t="s">
        <v>30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221029.655</v>
      </c>
      <c r="D13" s="30"/>
      <c r="E13" s="29"/>
      <c r="F13" s="30"/>
      <c r="G13" s="66">
        <v>7.0</v>
      </c>
      <c r="H13" s="67">
        <v>45933.0</v>
      </c>
      <c r="I13" s="68"/>
      <c r="J13" s="69"/>
      <c r="K13" s="70"/>
      <c r="L13" s="71"/>
      <c r="M13" s="80" t="s">
        <v>268</v>
      </c>
      <c r="N13" s="90">
        <v>540.0</v>
      </c>
      <c r="O13" s="74" t="s">
        <v>269</v>
      </c>
      <c r="P13" s="75">
        <v>0.5916666666666667</v>
      </c>
      <c r="R13" s="39"/>
      <c r="S13" s="25">
        <f>SUMIF(M:M,"三不限美国户-8%小鱼",N:N)</f>
        <v>540</v>
      </c>
      <c r="T13" s="101" t="s">
        <v>268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45933.0</v>
      </c>
      <c r="I14" s="84"/>
      <c r="J14" s="17"/>
      <c r="K14" s="85"/>
      <c r="L14" s="86"/>
      <c r="M14" s="80" t="s">
        <v>14</v>
      </c>
      <c r="N14" s="90">
        <v>10000.0</v>
      </c>
      <c r="O14" s="74" t="s">
        <v>160</v>
      </c>
      <c r="P14" s="75">
        <v>0.7409722222222223</v>
      </c>
      <c r="R14" s="39"/>
      <c r="S14" s="25">
        <f>SUMIF(M:M,"十月二不限",N:N)</f>
        <v>5255.56</v>
      </c>
      <c r="T14" s="101" t="s">
        <v>173</v>
      </c>
      <c r="U14" s="76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45934.0</v>
      </c>
      <c r="I15" s="68" t="s">
        <v>263</v>
      </c>
      <c r="J15" s="69">
        <v>30000.0</v>
      </c>
      <c r="K15" s="87"/>
      <c r="L15" s="88" t="s">
        <v>270</v>
      </c>
      <c r="M15" s="80" t="s">
        <v>47</v>
      </c>
      <c r="N15" s="90">
        <v>6455.82</v>
      </c>
      <c r="O15" s="74" t="s">
        <v>271</v>
      </c>
      <c r="P15" s="94" t="s">
        <v>272</v>
      </c>
      <c r="R15" s="39"/>
      <c r="S15" s="25">
        <f>SUMIF(M:M,"Alex_1011——谷歌原生户",N:N)</f>
        <v>4783</v>
      </c>
      <c r="T15" s="101" t="s">
        <v>175</v>
      </c>
      <c r="U15" s="40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45935.0</v>
      </c>
      <c r="I16" s="84"/>
      <c r="J16" s="17"/>
      <c r="K16" s="85"/>
      <c r="L16" s="86"/>
      <c r="M16" s="72" t="s">
        <v>20</v>
      </c>
      <c r="N16" s="90">
        <v>288.86</v>
      </c>
      <c r="O16" s="74" t="s">
        <v>273</v>
      </c>
      <c r="P16" s="94" t="s">
        <v>274</v>
      </c>
      <c r="R16" s="39"/>
      <c r="S16" s="25">
        <f>SUMIF(M:M,"启航",N:N)</f>
        <v>2189.82</v>
      </c>
      <c r="T16" s="101" t="s">
        <v>43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45936.0</v>
      </c>
      <c r="I17" s="68"/>
      <c r="J17" s="69"/>
      <c r="K17" s="70"/>
      <c r="L17" s="88"/>
      <c r="M17" s="72" t="s">
        <v>20</v>
      </c>
      <c r="N17" s="102">
        <v>210.55</v>
      </c>
      <c r="O17" s="74" t="s">
        <v>275</v>
      </c>
      <c r="P17" s="94" t="s">
        <v>276</v>
      </c>
      <c r="R17" s="39"/>
      <c r="S17" s="25">
        <f>SUMIF(M:M,"HC ADS Agency 2 2026",N:N)</f>
        <v>53.5</v>
      </c>
      <c r="T17" s="101" t="s">
        <v>277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45936.0</v>
      </c>
      <c r="I18" s="68"/>
      <c r="J18" s="69"/>
      <c r="K18" s="92"/>
      <c r="L18" s="88"/>
      <c r="M18" s="80" t="s">
        <v>47</v>
      </c>
      <c r="N18" s="90">
        <v>18063.14</v>
      </c>
      <c r="O18" s="74" t="s">
        <v>278</v>
      </c>
      <c r="P18" s="75">
        <v>0.47291666666666665</v>
      </c>
      <c r="R18" s="39"/>
      <c r="S18" s="25">
        <f>SUMIF(M:M,"泰华 &amp; Bigad 谷歌老户 8+1",N:N)</f>
        <v>3461.4</v>
      </c>
      <c r="T18" s="101" t="s">
        <v>177</v>
      </c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45936.0</v>
      </c>
      <c r="I19" s="68"/>
      <c r="J19" s="69"/>
      <c r="K19" s="70"/>
      <c r="L19" s="71"/>
      <c r="M19" s="80" t="s">
        <v>173</v>
      </c>
      <c r="N19" s="90">
        <v>516.36</v>
      </c>
      <c r="O19" s="74" t="s">
        <v>279</v>
      </c>
      <c r="P19" s="75">
        <v>0.6465277777777778</v>
      </c>
      <c r="R19" s="39"/>
      <c r="S19" s="25">
        <f>SUMIF(M:M,"wade 谷歌户（阿水）",N:N)</f>
        <v>686</v>
      </c>
      <c r="T19" s="101" t="s">
        <v>280</v>
      </c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45936.0</v>
      </c>
      <c r="I20" s="68"/>
      <c r="J20" s="69"/>
      <c r="K20" s="70"/>
      <c r="L20" s="88"/>
      <c r="M20" s="72" t="s">
        <v>20</v>
      </c>
      <c r="N20" s="90">
        <v>225.0</v>
      </c>
      <c r="O20" s="74" t="s">
        <v>45</v>
      </c>
      <c r="P20" s="94" t="s">
        <v>281</v>
      </c>
      <c r="R20" s="39"/>
      <c r="S20" s="25">
        <f>SUMIF(M:M,"海总-黑泽",N:N)</f>
        <v>3967.8</v>
      </c>
      <c r="T20" s="101" t="s">
        <v>57</v>
      </c>
    </row>
    <row r="21" ht="27.75" customHeight="1">
      <c r="A21" s="29"/>
      <c r="B21" s="30"/>
      <c r="C21" s="77">
        <f>SUMIFS(J:J,H:H,"&gt;="&amp;$C$17,H:H,"&lt;="&amp;$C$19)</f>
        <v>772527.52</v>
      </c>
      <c r="D21" s="30"/>
      <c r="E21" s="29"/>
      <c r="F21" s="30"/>
      <c r="G21" s="66">
        <v>15.0</v>
      </c>
      <c r="H21" s="67">
        <v>45936.0</v>
      </c>
      <c r="I21" s="68" t="s">
        <v>282</v>
      </c>
      <c r="J21" s="69">
        <v>30000.0</v>
      </c>
      <c r="K21" s="70"/>
      <c r="L21" s="71">
        <v>0.6555555555555556</v>
      </c>
      <c r="M21" s="72" t="s">
        <v>264</v>
      </c>
      <c r="N21" s="90">
        <v>404.0</v>
      </c>
      <c r="O21" s="74" t="s">
        <v>283</v>
      </c>
      <c r="P21" s="75">
        <v>0.6625</v>
      </c>
      <c r="R21" s="39"/>
      <c r="S21" s="25">
        <f>SUMIF(M:M,"谷歌-otto",N:N)</f>
        <v>333.3</v>
      </c>
      <c r="T21" s="101" t="s">
        <v>284</v>
      </c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45937.0</v>
      </c>
      <c r="I22" s="68"/>
      <c r="J22" s="69"/>
      <c r="K22" s="70"/>
      <c r="L22" s="71"/>
      <c r="M22" s="80" t="s">
        <v>47</v>
      </c>
      <c r="N22" s="90">
        <v>13884.26</v>
      </c>
      <c r="O22" s="74" t="s">
        <v>285</v>
      </c>
      <c r="P22" s="94" t="s">
        <v>286</v>
      </c>
      <c r="R22" s="39"/>
      <c r="S22" s="25">
        <f>SUMIF(M:M,"星链-AdNova",N:N)</f>
        <v>1140</v>
      </c>
      <c r="T22" s="101" t="s">
        <v>49</v>
      </c>
    </row>
    <row r="23" ht="27.75" customHeight="1">
      <c r="A23" s="29"/>
      <c r="B23" s="30"/>
      <c r="C23" s="79">
        <f>SUMIFS(N:N,H:H,"&gt;="&amp;$C$17,H:H,"&lt;="&amp;$C$19)</f>
        <v>551497.865</v>
      </c>
      <c r="D23" s="30"/>
      <c r="E23" s="29"/>
      <c r="F23" s="30"/>
      <c r="G23" s="66">
        <v>17.0</v>
      </c>
      <c r="H23" s="67">
        <v>45937.0</v>
      </c>
      <c r="I23" s="68" t="s">
        <v>282</v>
      </c>
      <c r="J23" s="69">
        <v>20000.0</v>
      </c>
      <c r="K23" s="93"/>
      <c r="L23" s="88" t="s">
        <v>287</v>
      </c>
      <c r="M23" s="72"/>
      <c r="N23" s="90"/>
      <c r="O23" s="74"/>
      <c r="P23" s="75"/>
      <c r="R23" s="39"/>
      <c r="S23" s="25">
        <f>SUMIF(M:M,"志诚三不限",N:N)</f>
        <v>278.89</v>
      </c>
      <c r="T23" s="101" t="s">
        <v>39</v>
      </c>
      <c r="U23" s="76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45938.0</v>
      </c>
      <c r="I24" s="68" t="s">
        <v>36</v>
      </c>
      <c r="J24" s="69">
        <v>2480.7</v>
      </c>
      <c r="K24" s="70"/>
      <c r="L24" s="88" t="s">
        <v>288</v>
      </c>
      <c r="M24" s="80" t="s">
        <v>47</v>
      </c>
      <c r="N24" s="90">
        <v>8403.65</v>
      </c>
      <c r="O24" s="74" t="s">
        <v>289</v>
      </c>
      <c r="P24" s="75">
        <v>0.6777777777777778</v>
      </c>
      <c r="R24" s="39"/>
      <c r="S24" s="25">
        <f>SUMIF(M:M,"SHEN@FLZ 2 群",N:N)</f>
        <v>14241.7</v>
      </c>
      <c r="T24" s="101" t="s">
        <v>290</v>
      </c>
      <c r="V24" s="40"/>
      <c r="W24" s="76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221029.655</v>
      </c>
      <c r="D25" s="30"/>
      <c r="E25" s="29"/>
      <c r="F25" s="30"/>
      <c r="G25" s="66">
        <v>19.0</v>
      </c>
      <c r="H25" s="67">
        <v>45938.0</v>
      </c>
      <c r="I25" s="68"/>
      <c r="J25" s="69"/>
      <c r="K25" s="85"/>
      <c r="L25" s="88"/>
      <c r="M25" s="72" t="s">
        <v>111</v>
      </c>
      <c r="N25" s="90">
        <v>420.36</v>
      </c>
      <c r="O25" s="74" t="s">
        <v>291</v>
      </c>
      <c r="P25" s="94" t="s">
        <v>292</v>
      </c>
      <c r="R25" s="39"/>
      <c r="S25" s="25">
        <f>SUMIF(M:M,"GT&amp;SHEN 欧洲户新",N:N)</f>
        <v>218</v>
      </c>
      <c r="T25" s="101" t="s">
        <v>28</v>
      </c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45939.0</v>
      </c>
      <c r="I26" s="68"/>
      <c r="J26" s="69"/>
      <c r="K26" s="70"/>
      <c r="L26" s="88"/>
      <c r="M26" s="72" t="s">
        <v>157</v>
      </c>
      <c r="N26" s="90">
        <v>140.03</v>
      </c>
      <c r="O26" s="74" t="s">
        <v>293</v>
      </c>
      <c r="P26" s="94" t="s">
        <v>294</v>
      </c>
      <c r="R26" s="39"/>
      <c r="S26" s="25">
        <f>SUMIF(M:M,"GT二不限新",N:N)</f>
        <v>60</v>
      </c>
      <c r="T26" s="101" t="s">
        <v>295</v>
      </c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45939.0</v>
      </c>
      <c r="I27" s="68"/>
      <c r="J27" s="69"/>
      <c r="K27" s="70"/>
      <c r="L27" s="71"/>
      <c r="M27" s="72" t="s">
        <v>20</v>
      </c>
      <c r="N27" s="90">
        <v>16.11</v>
      </c>
      <c r="O27" s="74" t="s">
        <v>296</v>
      </c>
      <c r="P27" s="94" t="s">
        <v>297</v>
      </c>
      <c r="R27" s="39"/>
      <c r="S27" s="25">
        <f>SUMIF(M:M,"印度20期",N:N)</f>
        <v>1371</v>
      </c>
      <c r="T27" s="101" t="s">
        <v>298</v>
      </c>
      <c r="U27" s="76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45939.0</v>
      </c>
      <c r="I28" s="68"/>
      <c r="J28" s="69"/>
      <c r="K28" s="70"/>
      <c r="L28" s="71"/>
      <c r="M28" s="72" t="s">
        <v>20</v>
      </c>
      <c r="N28" s="90">
        <v>20.0</v>
      </c>
      <c r="O28" s="74" t="s">
        <v>299</v>
      </c>
      <c r="P28" s="94" t="s">
        <v>300</v>
      </c>
      <c r="Q28" s="41"/>
      <c r="R28" s="39"/>
      <c r="S28" s="25">
        <f>SUMIF(M:M,"岳总",N:N)</f>
        <v>32100</v>
      </c>
      <c r="T28" s="101" t="s">
        <v>81</v>
      </c>
      <c r="U28" s="76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45939.0</v>
      </c>
      <c r="I29" s="68"/>
      <c r="J29" s="69"/>
      <c r="K29" s="70"/>
      <c r="L29" s="71"/>
      <c r="M29" s="72" t="s">
        <v>20</v>
      </c>
      <c r="N29" s="90">
        <v>50.5</v>
      </c>
      <c r="O29" s="74" t="s">
        <v>301</v>
      </c>
      <c r="P29" s="94" t="s">
        <v>302</v>
      </c>
      <c r="R29" s="39"/>
      <c r="S29" s="25">
        <f>SUMIF(M:M,"海总-比利时单导测试",N:N)</f>
        <v>2800</v>
      </c>
      <c r="T29" s="101" t="s">
        <v>303</v>
      </c>
      <c r="U29" s="7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45939.0</v>
      </c>
      <c r="I30" s="68"/>
      <c r="J30" s="69"/>
      <c r="K30" s="85"/>
      <c r="L30" s="88"/>
      <c r="M30" s="72" t="s">
        <v>14</v>
      </c>
      <c r="N30" s="90">
        <v>805.33</v>
      </c>
      <c r="O30" s="74" t="s">
        <v>117</v>
      </c>
      <c r="P30" s="94" t="s">
        <v>304</v>
      </c>
      <c r="R30" s="39"/>
      <c r="S30" s="25">
        <f>SUMIF(M:M,"赵总",N:N)</f>
        <v>25050</v>
      </c>
      <c r="T30" s="101" t="s">
        <v>305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45939.0</v>
      </c>
      <c r="I31" s="68"/>
      <c r="J31" s="69"/>
      <c r="K31" s="70"/>
      <c r="L31" s="88"/>
      <c r="M31" s="72" t="s">
        <v>14</v>
      </c>
      <c r="N31" s="102">
        <v>1800.0</v>
      </c>
      <c r="O31" s="74" t="s">
        <v>117</v>
      </c>
      <c r="P31" s="94" t="s">
        <v>306</v>
      </c>
      <c r="R31" s="39"/>
      <c r="S31" s="25">
        <f>SUMIF(M:M,"新K1/B哥",N:N)</f>
        <v>6506</v>
      </c>
      <c r="T31" s="101" t="s">
        <v>307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45939.0</v>
      </c>
      <c r="I32" s="68"/>
      <c r="J32" s="69"/>
      <c r="K32" s="70"/>
      <c r="L32" s="88"/>
      <c r="M32" s="72" t="s">
        <v>14</v>
      </c>
      <c r="N32" s="102">
        <v>1157.56</v>
      </c>
      <c r="O32" s="74" t="s">
        <v>117</v>
      </c>
      <c r="P32" s="75">
        <v>0.6430555555555556</v>
      </c>
      <c r="R32" s="39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45939.0</v>
      </c>
      <c r="I33" s="68"/>
      <c r="J33" s="69"/>
      <c r="K33" s="70"/>
      <c r="L33" s="71"/>
      <c r="M33" s="72" t="s">
        <v>14</v>
      </c>
      <c r="N33" s="102">
        <v>1269.56</v>
      </c>
      <c r="O33" s="96" t="s">
        <v>117</v>
      </c>
      <c r="P33" s="75">
        <v>0.6444444444444445</v>
      </c>
      <c r="R33" s="39"/>
      <c r="S33" s="103">
        <f>SUM(S4:S31)</f>
        <v>551497.865</v>
      </c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45939.0</v>
      </c>
      <c r="I34" s="68"/>
      <c r="J34" s="69"/>
      <c r="K34" s="70"/>
      <c r="L34" s="71"/>
      <c r="M34" s="72" t="s">
        <v>14</v>
      </c>
      <c r="N34" s="102">
        <v>1326.41</v>
      </c>
      <c r="O34" s="96" t="s">
        <v>117</v>
      </c>
      <c r="P34" s="75">
        <v>0.6472222222222223</v>
      </c>
      <c r="Q34" s="41"/>
      <c r="R34" s="39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45939.0</v>
      </c>
      <c r="I35" s="68"/>
      <c r="J35" s="69"/>
      <c r="K35" s="70"/>
      <c r="L35" s="71"/>
      <c r="M35" s="72" t="s">
        <v>14</v>
      </c>
      <c r="N35" s="102">
        <v>2607.56</v>
      </c>
      <c r="O35" s="96" t="s">
        <v>117</v>
      </c>
      <c r="P35" s="75">
        <v>0.6486111111111111</v>
      </c>
      <c r="R35" s="39"/>
      <c r="S35" s="106" t="s">
        <v>97</v>
      </c>
      <c r="T35" s="107"/>
      <c r="U35" s="107"/>
      <c r="V35" s="107"/>
      <c r="W35" s="107"/>
      <c r="X35" s="107"/>
      <c r="Y35" s="107"/>
      <c r="Z35" s="107"/>
      <c r="AA35" s="107"/>
      <c r="AB35" s="108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45939.0</v>
      </c>
      <c r="I36" s="68"/>
      <c r="J36" s="69"/>
      <c r="K36" s="70"/>
      <c r="L36" s="71"/>
      <c r="M36" s="72" t="s">
        <v>14</v>
      </c>
      <c r="N36" s="102">
        <v>845.07</v>
      </c>
      <c r="O36" s="96" t="s">
        <v>117</v>
      </c>
      <c r="P36" s="140" t="s">
        <v>308</v>
      </c>
      <c r="Q36" s="100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45939.0</v>
      </c>
      <c r="I37" s="68"/>
      <c r="J37" s="69"/>
      <c r="K37" s="85"/>
      <c r="L37" s="86"/>
      <c r="M37" s="72" t="s">
        <v>14</v>
      </c>
      <c r="N37" s="102">
        <v>1185.56</v>
      </c>
      <c r="O37" s="96" t="s">
        <v>117</v>
      </c>
      <c r="P37" s="140" t="s">
        <v>309</v>
      </c>
      <c r="Q37" s="100"/>
      <c r="R37" s="39"/>
      <c r="S37" s="109">
        <f>SUMIF(I:I,"白马4期",J:J)</f>
        <v>60000</v>
      </c>
      <c r="T37" s="26" t="s">
        <v>263</v>
      </c>
      <c r="U37" s="76">
        <f>S37+'2025年9月收支财务报表'!S40</f>
        <v>120000</v>
      </c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45939.0</v>
      </c>
      <c r="I38" s="68"/>
      <c r="J38" s="69"/>
      <c r="K38" s="85"/>
      <c r="L38" s="86"/>
      <c r="M38" s="72" t="s">
        <v>14</v>
      </c>
      <c r="N38" s="102">
        <v>5000.0</v>
      </c>
      <c r="O38" s="96" t="s">
        <v>117</v>
      </c>
      <c r="P38" s="140" t="s">
        <v>310</v>
      </c>
      <c r="R38" s="39"/>
      <c r="S38" s="109">
        <f>SUMIF(I:I,"K26/印度股票",J:J)</f>
        <v>144212</v>
      </c>
      <c r="T38" s="26" t="s">
        <v>282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45939.0</v>
      </c>
      <c r="I39" s="68"/>
      <c r="J39" s="69"/>
      <c r="K39" s="70"/>
      <c r="L39" s="71"/>
      <c r="M39" s="72" t="s">
        <v>14</v>
      </c>
      <c r="N39" s="102">
        <v>280.0</v>
      </c>
      <c r="O39" s="96" t="s">
        <v>117</v>
      </c>
      <c r="P39" s="140" t="s">
        <v>311</v>
      </c>
      <c r="Q39" s="100"/>
      <c r="R39" s="39"/>
      <c r="S39" s="109">
        <f>SUMIF(I:I,"B哥/马来英语粉",J:J)</f>
        <v>40000</v>
      </c>
      <c r="T39" s="26" t="s">
        <v>312</v>
      </c>
      <c r="U39" s="76">
        <f>S39+'2025年9月收支财务报表'!S46</f>
        <v>60000</v>
      </c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45939.0</v>
      </c>
      <c r="I40" s="68"/>
      <c r="J40" s="69"/>
      <c r="K40" s="70"/>
      <c r="L40" s="88"/>
      <c r="M40" s="72" t="s">
        <v>30</v>
      </c>
      <c r="N40" s="102">
        <v>1374.31</v>
      </c>
      <c r="O40" s="96" t="s">
        <v>313</v>
      </c>
      <c r="P40" s="140" t="s">
        <v>314</v>
      </c>
      <c r="Q40" s="100"/>
      <c r="R40" s="39"/>
      <c r="S40" s="109">
        <f>SUMIF(I:I,"新K1/B哥",J:J)</f>
        <v>170000</v>
      </c>
      <c r="T40" s="26" t="s">
        <v>307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45939.0</v>
      </c>
      <c r="I41" s="68"/>
      <c r="J41" s="69"/>
      <c r="K41" s="70"/>
      <c r="L41" s="88"/>
      <c r="M41" s="72" t="s">
        <v>20</v>
      </c>
      <c r="N41" s="90">
        <v>14.0</v>
      </c>
      <c r="O41" s="96" t="s">
        <v>315</v>
      </c>
      <c r="P41" s="140" t="s">
        <v>316</v>
      </c>
      <c r="R41" s="39"/>
      <c r="S41" s="109">
        <f>SUMIF(I:I,"新K4/B哥",J:J)</f>
        <v>135067</v>
      </c>
      <c r="T41" s="26" t="s">
        <v>317</v>
      </c>
      <c r="U41" s="11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45939.0</v>
      </c>
      <c r="I42" s="68" t="s">
        <v>282</v>
      </c>
      <c r="J42" s="69">
        <v>20000.0</v>
      </c>
      <c r="K42" s="70"/>
      <c r="L42" s="88" t="s">
        <v>318</v>
      </c>
      <c r="M42" s="72" t="s">
        <v>111</v>
      </c>
      <c r="N42" s="90">
        <v>615.0</v>
      </c>
      <c r="O42" s="96" t="s">
        <v>319</v>
      </c>
      <c r="P42" s="99">
        <v>0.9548611111111112</v>
      </c>
      <c r="R42" s="39"/>
      <c r="S42" s="109">
        <f>SUMIF(I:I,"海总-比利时单导测试",J:J)</f>
        <v>2800</v>
      </c>
      <c r="T42" s="26" t="s">
        <v>303</v>
      </c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45940.0</v>
      </c>
      <c r="I43" s="68"/>
      <c r="J43" s="69"/>
      <c r="K43" s="87"/>
      <c r="L43" s="71"/>
      <c r="M43" s="72" t="s">
        <v>20</v>
      </c>
      <c r="N43" s="90">
        <v>288.86</v>
      </c>
      <c r="O43" s="96" t="s">
        <v>273</v>
      </c>
      <c r="P43" s="140" t="s">
        <v>320</v>
      </c>
      <c r="Q43" s="100"/>
      <c r="R43" s="39"/>
      <c r="S43" s="109">
        <f>SUMIF(I:I,"韩国维权粉测试",J:J)</f>
        <v>2200</v>
      </c>
      <c r="T43" s="26" t="s">
        <v>321</v>
      </c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45940.0</v>
      </c>
      <c r="I44" s="68"/>
      <c r="J44" s="69"/>
      <c r="K44" s="70"/>
      <c r="L44" s="71"/>
      <c r="M44" s="72" t="s">
        <v>20</v>
      </c>
      <c r="N44" s="90">
        <v>24.86</v>
      </c>
      <c r="O44" s="141" t="s">
        <v>322</v>
      </c>
      <c r="P44" s="140" t="s">
        <v>323</v>
      </c>
      <c r="R44" s="39"/>
      <c r="S44" s="109">
        <f>SUMIF(I:I,"印度20期",J:J)</f>
        <v>90000</v>
      </c>
      <c r="T44" s="26" t="s">
        <v>298</v>
      </c>
      <c r="U44" s="76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45940.0</v>
      </c>
      <c r="I45" s="68"/>
      <c r="J45" s="69"/>
      <c r="K45" s="85"/>
      <c r="L45" s="71"/>
      <c r="M45" s="72" t="s">
        <v>14</v>
      </c>
      <c r="N45" s="90">
        <v>4746.63</v>
      </c>
      <c r="O45" s="96" t="s">
        <v>324</v>
      </c>
      <c r="P45" s="140" t="s">
        <v>325</v>
      </c>
      <c r="R45" s="39"/>
      <c r="S45" s="109">
        <f>SUMIF(I:I,"德国单粉—summer FB180",J:J)</f>
        <v>45000</v>
      </c>
      <c r="T45" s="26" t="s">
        <v>167</v>
      </c>
      <c r="U45" s="76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45940.0</v>
      </c>
      <c r="I46" s="68"/>
      <c r="J46" s="69"/>
      <c r="K46" s="85"/>
      <c r="L46" s="88"/>
      <c r="M46" s="72" t="s">
        <v>47</v>
      </c>
      <c r="N46" s="90">
        <v>15877.47</v>
      </c>
      <c r="O46" s="74" t="s">
        <v>326</v>
      </c>
      <c r="P46" s="94" t="s">
        <v>302</v>
      </c>
      <c r="R46" s="39"/>
      <c r="S46" s="109">
        <f>SUMIF(I:I,"渠道106-本土fb🇯🇵",J:J)</f>
        <v>41760</v>
      </c>
      <c r="T46" s="26" t="s">
        <v>83</v>
      </c>
      <c r="U46" s="76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45940.0</v>
      </c>
      <c r="I47" s="68"/>
      <c r="J47" s="69"/>
      <c r="K47" s="70"/>
      <c r="L47" s="71"/>
      <c r="M47" s="72" t="s">
        <v>20</v>
      </c>
      <c r="N47" s="90">
        <v>500.0</v>
      </c>
      <c r="O47" s="74" t="s">
        <v>327</v>
      </c>
      <c r="P47" s="75">
        <v>0.66875</v>
      </c>
      <c r="R47" s="39"/>
      <c r="S47" s="109">
        <f>SUMIF(I:I,"赵总",J:J)</f>
        <v>7050</v>
      </c>
      <c r="T47" s="26" t="s">
        <v>305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45940.0</v>
      </c>
      <c r="I48" s="68"/>
      <c r="J48" s="69"/>
      <c r="K48" s="70"/>
      <c r="L48" s="71"/>
      <c r="M48" s="72" t="s">
        <v>111</v>
      </c>
      <c r="N48" s="90">
        <v>1435.0</v>
      </c>
      <c r="O48" s="74" t="s">
        <v>328</v>
      </c>
      <c r="P48" s="94" t="s">
        <v>329</v>
      </c>
      <c r="R48" s="39"/>
      <c r="S48" s="109">
        <f>SUMIF(I:I,"6% 海外户",J:J)</f>
        <v>377</v>
      </c>
      <c r="T48" s="101" t="s">
        <v>330</v>
      </c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45940.0</v>
      </c>
      <c r="I49" s="68" t="s">
        <v>282</v>
      </c>
      <c r="J49" s="69">
        <v>20000.0</v>
      </c>
      <c r="K49" s="70"/>
      <c r="L49" s="88" t="s">
        <v>331</v>
      </c>
      <c r="M49" s="72" t="s">
        <v>20</v>
      </c>
      <c r="N49" s="90">
        <v>2.86</v>
      </c>
      <c r="O49" s="74" t="s">
        <v>332</v>
      </c>
      <c r="P49" s="75">
        <v>0.7333333333333333</v>
      </c>
      <c r="R49" s="39"/>
      <c r="S49" s="109">
        <f>SUMIF(I:I,"wade 谷歌户（阿水）",J:J)</f>
        <v>386.48</v>
      </c>
      <c r="T49" s="101" t="s">
        <v>280</v>
      </c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45940.0</v>
      </c>
      <c r="I50" s="68"/>
      <c r="J50" s="69"/>
      <c r="K50" s="85"/>
      <c r="L50" s="71"/>
      <c r="M50" s="72" t="s">
        <v>20</v>
      </c>
      <c r="N50" s="90">
        <v>10.0769</v>
      </c>
      <c r="O50" s="74" t="s">
        <v>333</v>
      </c>
      <c r="P50" s="94" t="s">
        <v>334</v>
      </c>
      <c r="R50" s="39"/>
      <c r="S50" s="109">
        <f>SUMIF(I:I,"志诚三不限",J:J)</f>
        <v>1859.25</v>
      </c>
      <c r="T50" s="26" t="s">
        <v>39</v>
      </c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45940.0</v>
      </c>
      <c r="I51" s="68"/>
      <c r="J51" s="69"/>
      <c r="K51" s="87"/>
      <c r="L51" s="71"/>
      <c r="M51" s="72" t="s">
        <v>173</v>
      </c>
      <c r="N51" s="90">
        <v>670.0</v>
      </c>
      <c r="O51" s="74" t="s">
        <v>335</v>
      </c>
      <c r="P51" s="94" t="s">
        <v>336</v>
      </c>
      <c r="R51" s="39"/>
      <c r="S51" s="109">
        <f>SUMIF(I:I,"GT&amp;SHEN 欧洲户8+1",J:J)</f>
        <v>4384</v>
      </c>
      <c r="T51" s="101" t="s">
        <v>337</v>
      </c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45940.0</v>
      </c>
      <c r="I52" s="68"/>
      <c r="J52" s="69"/>
      <c r="K52" s="70"/>
      <c r="L52" s="88"/>
      <c r="M52" s="72" t="s">
        <v>20</v>
      </c>
      <c r="N52" s="90">
        <v>1500.0</v>
      </c>
      <c r="O52" s="74" t="s">
        <v>338</v>
      </c>
      <c r="P52" s="75">
        <v>0.85625</v>
      </c>
      <c r="R52" s="39"/>
      <c r="S52" s="109">
        <f>SUMIF(I:I,"印度企业户 欧洲美金户",J:J)</f>
        <v>734.07</v>
      </c>
      <c r="T52" s="101" t="s">
        <v>339</v>
      </c>
      <c r="U52" s="76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45941.0</v>
      </c>
      <c r="I53" s="68"/>
      <c r="J53" s="69"/>
      <c r="K53" s="70"/>
      <c r="L53" s="71"/>
      <c r="M53" s="72" t="s">
        <v>20</v>
      </c>
      <c r="N53" s="90">
        <v>14.12</v>
      </c>
      <c r="O53" s="74" t="s">
        <v>150</v>
      </c>
      <c r="P53" s="75">
        <v>0.42916666666666664</v>
      </c>
      <c r="R53" s="39"/>
      <c r="S53" s="109">
        <f>SUMIF(I:I,"岳总",J:J)</f>
        <v>4205</v>
      </c>
      <c r="T53" s="101" t="s">
        <v>81</v>
      </c>
      <c r="U53" s="76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45941.0</v>
      </c>
      <c r="I54" s="68"/>
      <c r="J54" s="69"/>
      <c r="K54" s="70"/>
      <c r="L54" s="71"/>
      <c r="M54" s="72" t="s">
        <v>47</v>
      </c>
      <c r="N54" s="90">
        <v>15965.45</v>
      </c>
      <c r="O54" s="74" t="s">
        <v>340</v>
      </c>
      <c r="P54" s="75">
        <v>0.6270833333333333</v>
      </c>
      <c r="R54" s="39"/>
      <c r="S54" s="109">
        <f>SUMIF(I:I,"海总-黑泽",J:J)</f>
        <v>601.6</v>
      </c>
      <c r="T54" s="101" t="s">
        <v>57</v>
      </c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45941.0</v>
      </c>
      <c r="I55" s="68"/>
      <c r="J55" s="69"/>
      <c r="K55" s="70"/>
      <c r="L55" s="71"/>
      <c r="M55" s="72" t="s">
        <v>173</v>
      </c>
      <c r="N55" s="90">
        <v>612.0</v>
      </c>
      <c r="O55" s="74" t="s">
        <v>341</v>
      </c>
      <c r="P55" s="75">
        <v>0.6388888888888888</v>
      </c>
      <c r="R55" s="39"/>
      <c r="S55" s="109">
        <f>SUMIF(I:I,"潘安户",J:J)</f>
        <v>177</v>
      </c>
      <c r="T55" s="101" t="s">
        <v>342</v>
      </c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45941.0</v>
      </c>
      <c r="I56" s="68" t="s">
        <v>282</v>
      </c>
      <c r="J56" s="69">
        <v>20000.0</v>
      </c>
      <c r="K56" s="87"/>
      <c r="L56" s="88" t="s">
        <v>343</v>
      </c>
      <c r="M56" s="72" t="s">
        <v>20</v>
      </c>
      <c r="N56" s="90">
        <v>200.0</v>
      </c>
      <c r="O56" s="74" t="s">
        <v>344</v>
      </c>
      <c r="P56" s="75">
        <v>0.8</v>
      </c>
      <c r="R56" s="39"/>
      <c r="S56" s="109">
        <f>SUMIF(I:I,"路人互动",J:J)</f>
        <v>2480.7</v>
      </c>
      <c r="T56" s="101" t="s">
        <v>36</v>
      </c>
      <c r="U56" s="76"/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45941.0</v>
      </c>
      <c r="I57" s="68"/>
      <c r="J57" s="69"/>
      <c r="K57" s="70"/>
      <c r="L57" s="71"/>
      <c r="M57" s="72" t="s">
        <v>175</v>
      </c>
      <c r="N57" s="90">
        <v>1832.0</v>
      </c>
      <c r="O57" s="74" t="s">
        <v>345</v>
      </c>
      <c r="P57" s="75">
        <v>0.9180555555555555</v>
      </c>
      <c r="R57" s="39"/>
      <c r="S57" s="117">
        <f>J7</f>
        <v>19233.42</v>
      </c>
      <c r="T57" s="26" t="s">
        <v>262</v>
      </c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45942.0</v>
      </c>
      <c r="I58" s="68"/>
      <c r="J58" s="69"/>
      <c r="K58" s="70"/>
      <c r="L58" s="71"/>
      <c r="M58" s="72" t="s">
        <v>173</v>
      </c>
      <c r="N58" s="90">
        <v>816.0</v>
      </c>
      <c r="O58" s="74" t="s">
        <v>346</v>
      </c>
      <c r="P58" s="75">
        <v>0.81875</v>
      </c>
      <c r="R58" s="39"/>
      <c r="S58" s="40">
        <f>SUM(S37:S57)</f>
        <v>772527.52</v>
      </c>
      <c r="T58" s="40"/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45943.0</v>
      </c>
      <c r="I59" s="68"/>
      <c r="J59" s="69"/>
      <c r="K59" s="70"/>
      <c r="L59" s="71"/>
      <c r="M59" s="72" t="s">
        <v>43</v>
      </c>
      <c r="N59" s="102">
        <v>1078.7</v>
      </c>
      <c r="O59" s="74"/>
      <c r="P59" s="75">
        <v>0.5006944444444444</v>
      </c>
      <c r="R59" s="39"/>
      <c r="S59" s="76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45943.0</v>
      </c>
      <c r="I60" s="68"/>
      <c r="J60" s="69"/>
      <c r="K60" s="85"/>
      <c r="L60" s="88"/>
      <c r="M60" s="72" t="s">
        <v>47</v>
      </c>
      <c r="N60" s="90">
        <v>19142.53</v>
      </c>
      <c r="O60" s="74" t="s">
        <v>347</v>
      </c>
      <c r="P60" s="75">
        <v>0.5034722222222222</v>
      </c>
      <c r="R60" s="39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45943.0</v>
      </c>
      <c r="I61" s="68"/>
      <c r="J61" s="69"/>
      <c r="K61" s="70"/>
      <c r="L61" s="71"/>
      <c r="M61" s="72" t="s">
        <v>175</v>
      </c>
      <c r="N61" s="90">
        <v>540.0</v>
      </c>
      <c r="O61" s="74" t="s">
        <v>269</v>
      </c>
      <c r="P61" s="75">
        <v>0.5215277777777778</v>
      </c>
      <c r="Q61" s="125"/>
      <c r="R61" s="39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45943.0</v>
      </c>
      <c r="I62" s="68" t="s">
        <v>342</v>
      </c>
      <c r="J62" s="69">
        <v>177.0</v>
      </c>
      <c r="K62" s="87"/>
      <c r="L62" s="88" t="s">
        <v>348</v>
      </c>
      <c r="M62" s="72" t="s">
        <v>75</v>
      </c>
      <c r="N62" s="90">
        <v>11100.0</v>
      </c>
      <c r="O62" s="74" t="s">
        <v>349</v>
      </c>
      <c r="P62" s="94" t="s">
        <v>350</v>
      </c>
      <c r="R62" s="39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45943.0</v>
      </c>
      <c r="I63" s="68"/>
      <c r="J63" s="69"/>
      <c r="K63" s="87"/>
      <c r="L63" s="71"/>
      <c r="M63" s="72" t="s">
        <v>173</v>
      </c>
      <c r="N63" s="90">
        <v>642.0</v>
      </c>
      <c r="O63" s="74" t="s">
        <v>351</v>
      </c>
      <c r="P63" s="94" t="s">
        <v>352</v>
      </c>
      <c r="R63" s="39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45943.0</v>
      </c>
      <c r="I64" s="68"/>
      <c r="J64" s="69"/>
      <c r="K64" s="70"/>
      <c r="L64" s="71"/>
      <c r="M64" s="72" t="s">
        <v>20</v>
      </c>
      <c r="N64" s="90">
        <v>14.11</v>
      </c>
      <c r="O64" s="74" t="s">
        <v>150</v>
      </c>
      <c r="P64" s="75">
        <v>0.6909722222222222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45943.0</v>
      </c>
      <c r="I65" s="68" t="s">
        <v>57</v>
      </c>
      <c r="J65" s="69">
        <v>601.6</v>
      </c>
      <c r="K65" s="70"/>
      <c r="L65" s="88" t="s">
        <v>353</v>
      </c>
      <c r="M65" s="72" t="s">
        <v>173</v>
      </c>
      <c r="N65" s="90">
        <v>918.0</v>
      </c>
      <c r="O65" s="74" t="s">
        <v>354</v>
      </c>
      <c r="P65" s="94" t="s">
        <v>355</v>
      </c>
      <c r="R65" s="39"/>
      <c r="S65" s="76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45943.0</v>
      </c>
      <c r="I66" s="68"/>
      <c r="J66" s="69"/>
      <c r="K66" s="70"/>
      <c r="L66" s="71"/>
      <c r="M66" s="72" t="s">
        <v>20</v>
      </c>
      <c r="N66" s="90">
        <v>500.0</v>
      </c>
      <c r="O66" s="74" t="s">
        <v>356</v>
      </c>
      <c r="P66" s="94" t="s">
        <v>357</v>
      </c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45943.0</v>
      </c>
      <c r="I67" s="68"/>
      <c r="J67" s="69"/>
      <c r="K67" s="70"/>
      <c r="L67" s="71"/>
      <c r="M67" s="72" t="s">
        <v>111</v>
      </c>
      <c r="N67" s="90">
        <v>778.39</v>
      </c>
      <c r="O67" s="74" t="s">
        <v>358</v>
      </c>
      <c r="P67" s="75">
        <v>0.8840277777777777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45943.0</v>
      </c>
      <c r="I68" s="68"/>
      <c r="J68" s="69"/>
      <c r="K68" s="70"/>
      <c r="L68" s="71"/>
      <c r="M68" s="72" t="s">
        <v>175</v>
      </c>
      <c r="N68" s="90">
        <v>167.0</v>
      </c>
      <c r="O68" s="74" t="s">
        <v>359</v>
      </c>
      <c r="P68" s="94" t="s">
        <v>360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45943.0</v>
      </c>
      <c r="I69" s="68" t="s">
        <v>282</v>
      </c>
      <c r="J69" s="69">
        <v>20000.0</v>
      </c>
      <c r="K69" s="85"/>
      <c r="L69" s="88" t="s">
        <v>361</v>
      </c>
      <c r="M69" s="72"/>
      <c r="N69" s="90"/>
      <c r="O69" s="74"/>
      <c r="P69" s="75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45944.0</v>
      </c>
      <c r="I70" s="68"/>
      <c r="J70" s="69"/>
      <c r="K70" s="70"/>
      <c r="L70" s="71"/>
      <c r="M70" s="72" t="s">
        <v>75</v>
      </c>
      <c r="N70" s="90">
        <v>5550.0</v>
      </c>
      <c r="O70" s="74" t="s">
        <v>362</v>
      </c>
      <c r="P70" s="94" t="s">
        <v>363</v>
      </c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45944.0</v>
      </c>
      <c r="I71" s="68"/>
      <c r="J71" s="69"/>
      <c r="K71" s="70"/>
      <c r="L71" s="71"/>
      <c r="M71" s="72" t="s">
        <v>20</v>
      </c>
      <c r="N71" s="90">
        <v>78.57</v>
      </c>
      <c r="O71" s="74" t="s">
        <v>266</v>
      </c>
      <c r="P71" s="94" t="s">
        <v>364</v>
      </c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45944.0</v>
      </c>
      <c r="I72" s="68"/>
      <c r="J72" s="69"/>
      <c r="K72" s="87"/>
      <c r="L72" s="71"/>
      <c r="M72" s="72" t="s">
        <v>47</v>
      </c>
      <c r="N72" s="90">
        <v>9515.78</v>
      </c>
      <c r="O72" s="74" t="s">
        <v>365</v>
      </c>
      <c r="P72" s="94" t="s">
        <v>366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45944.0</v>
      </c>
      <c r="I73" s="68"/>
      <c r="J73" s="69"/>
      <c r="K73" s="70"/>
      <c r="L73" s="71"/>
      <c r="M73" s="72" t="s">
        <v>277</v>
      </c>
      <c r="N73" s="90">
        <v>53.5</v>
      </c>
      <c r="O73" s="74" t="s">
        <v>367</v>
      </c>
      <c r="P73" s="94" t="s">
        <v>368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45944.0</v>
      </c>
      <c r="I74" s="120"/>
      <c r="J74" s="121"/>
      <c r="K74" s="93"/>
      <c r="L74" s="71"/>
      <c r="M74" s="72" t="s">
        <v>177</v>
      </c>
      <c r="N74" s="90">
        <v>3461.4</v>
      </c>
      <c r="O74" s="74" t="s">
        <v>369</v>
      </c>
      <c r="P74" s="94" t="s">
        <v>370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45944.0</v>
      </c>
      <c r="I75" s="68" t="s">
        <v>81</v>
      </c>
      <c r="J75" s="69">
        <v>4205.0</v>
      </c>
      <c r="K75" s="70"/>
      <c r="L75" s="88" t="s">
        <v>371</v>
      </c>
      <c r="M75" s="72" t="s">
        <v>173</v>
      </c>
      <c r="N75" s="90">
        <v>714.0</v>
      </c>
      <c r="O75" s="74" t="s">
        <v>372</v>
      </c>
      <c r="P75" s="94" t="s">
        <v>373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45944.0</v>
      </c>
      <c r="I76" s="68"/>
      <c r="J76" s="69"/>
      <c r="K76" s="70"/>
      <c r="L76" s="71"/>
      <c r="M76" s="72" t="s">
        <v>111</v>
      </c>
      <c r="N76" s="90">
        <v>924.82</v>
      </c>
      <c r="O76" s="74" t="s">
        <v>374</v>
      </c>
      <c r="P76" s="75">
        <v>0.8819444444444444</v>
      </c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45945.0</v>
      </c>
      <c r="I77" s="68"/>
      <c r="J77" s="69"/>
      <c r="K77" s="70"/>
      <c r="L77" s="71"/>
      <c r="M77" s="72" t="s">
        <v>75</v>
      </c>
      <c r="N77" s="90">
        <v>4440.0</v>
      </c>
      <c r="O77" s="74" t="s">
        <v>375</v>
      </c>
      <c r="P77" s="94" t="s">
        <v>376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45945.0</v>
      </c>
      <c r="I78" s="68"/>
      <c r="J78" s="69"/>
      <c r="K78" s="87"/>
      <c r="L78" s="71"/>
      <c r="M78" s="72" t="s">
        <v>20</v>
      </c>
      <c r="N78" s="90">
        <v>16.95</v>
      </c>
      <c r="O78" s="74" t="s">
        <v>377</v>
      </c>
      <c r="P78" s="94" t="s">
        <v>378</v>
      </c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45945.0</v>
      </c>
      <c r="I79" s="68"/>
      <c r="J79" s="69"/>
      <c r="K79" s="70"/>
      <c r="L79" s="88"/>
      <c r="M79" s="72" t="s">
        <v>20</v>
      </c>
      <c r="N79" s="90">
        <v>42.38</v>
      </c>
      <c r="O79" s="74" t="s">
        <v>379</v>
      </c>
      <c r="P79" s="75">
        <v>0.6798611111111111</v>
      </c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45945.0</v>
      </c>
      <c r="I80" s="68"/>
      <c r="J80" s="69"/>
      <c r="K80" s="92"/>
      <c r="L80" s="88"/>
      <c r="M80" s="72" t="s">
        <v>20</v>
      </c>
      <c r="N80" s="90">
        <v>14.37806</v>
      </c>
      <c r="O80" s="74" t="s">
        <v>380</v>
      </c>
      <c r="P80" s="75">
        <v>0.9625</v>
      </c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45946.0</v>
      </c>
      <c r="I81" s="68"/>
      <c r="J81" s="69"/>
      <c r="K81" s="70"/>
      <c r="L81" s="88"/>
      <c r="M81" s="72" t="s">
        <v>75</v>
      </c>
      <c r="N81" s="90">
        <v>3330.0</v>
      </c>
      <c r="O81" s="74" t="s">
        <v>381</v>
      </c>
      <c r="P81" s="75">
        <v>0.425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45946.0</v>
      </c>
      <c r="I82" s="68"/>
      <c r="J82" s="69"/>
      <c r="K82" s="70"/>
      <c r="L82" s="71"/>
      <c r="M82" s="72" t="s">
        <v>20</v>
      </c>
      <c r="N82" s="90">
        <v>500.0</v>
      </c>
      <c r="O82" s="74" t="s">
        <v>382</v>
      </c>
      <c r="P82" s="75">
        <v>0.5590277777777778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45946.0</v>
      </c>
      <c r="I83" s="68"/>
      <c r="J83" s="69"/>
      <c r="K83" s="70"/>
      <c r="L83" s="71"/>
      <c r="M83" s="72" t="s">
        <v>47</v>
      </c>
      <c r="N83" s="90">
        <v>7397.39</v>
      </c>
      <c r="O83" s="74" t="s">
        <v>383</v>
      </c>
      <c r="P83" s="75">
        <v>0.6291666666666667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45946.0</v>
      </c>
      <c r="I84" s="68" t="s">
        <v>303</v>
      </c>
      <c r="J84" s="69">
        <v>2800.0</v>
      </c>
      <c r="K84" s="70"/>
      <c r="L84" s="71">
        <v>0.64375</v>
      </c>
      <c r="M84" s="72" t="s">
        <v>20</v>
      </c>
      <c r="N84" s="90">
        <v>50.0</v>
      </c>
      <c r="O84" s="74" t="s">
        <v>384</v>
      </c>
      <c r="P84" s="75">
        <v>0.6493055555555556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45946.0</v>
      </c>
      <c r="I85" s="68"/>
      <c r="J85" s="69"/>
      <c r="K85" s="87"/>
      <c r="L85" s="71"/>
      <c r="M85" s="72" t="s">
        <v>175</v>
      </c>
      <c r="N85" s="90">
        <v>300.0</v>
      </c>
      <c r="O85" s="74" t="s">
        <v>385</v>
      </c>
      <c r="P85" s="75">
        <v>0.6513888888888889</v>
      </c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45946.0</v>
      </c>
      <c r="I86" s="68" t="s">
        <v>339</v>
      </c>
      <c r="J86" s="69">
        <v>734.07</v>
      </c>
      <c r="K86" s="70"/>
      <c r="L86" s="71">
        <v>0.6763888888888889</v>
      </c>
      <c r="M86" s="72" t="s">
        <v>280</v>
      </c>
      <c r="N86" s="90">
        <v>359.0</v>
      </c>
      <c r="O86" s="74" t="s">
        <v>386</v>
      </c>
      <c r="P86" s="75">
        <v>0.7381944444444445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45946.0</v>
      </c>
      <c r="I87" s="68"/>
      <c r="J87" s="69"/>
      <c r="K87" s="85"/>
      <c r="L87" s="71"/>
      <c r="M87" s="72" t="s">
        <v>175</v>
      </c>
      <c r="N87" s="90">
        <v>540.0</v>
      </c>
      <c r="O87" s="74" t="s">
        <v>269</v>
      </c>
      <c r="P87" s="75">
        <v>0.7506944444444444</v>
      </c>
      <c r="Q87" s="41"/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45946.0</v>
      </c>
      <c r="I88" s="68"/>
      <c r="J88" s="69"/>
      <c r="K88" s="70"/>
      <c r="L88" s="71"/>
      <c r="M88" s="72" t="s">
        <v>175</v>
      </c>
      <c r="N88" s="90">
        <v>535.0</v>
      </c>
      <c r="O88" s="74" t="s">
        <v>387</v>
      </c>
      <c r="P88" s="75">
        <v>0.9694444444444444</v>
      </c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45947.0</v>
      </c>
      <c r="I89" s="68"/>
      <c r="J89" s="69"/>
      <c r="K89" s="70"/>
      <c r="L89" s="71"/>
      <c r="M89" s="72" t="s">
        <v>75</v>
      </c>
      <c r="N89" s="90">
        <v>6660.0</v>
      </c>
      <c r="O89" s="74" t="s">
        <v>388</v>
      </c>
      <c r="P89" s="75">
        <v>0.4263888888888889</v>
      </c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45947.0</v>
      </c>
      <c r="I90" s="68"/>
      <c r="J90" s="69"/>
      <c r="K90" s="70"/>
      <c r="L90" s="71"/>
      <c r="M90" s="72" t="s">
        <v>43</v>
      </c>
      <c r="N90" s="90">
        <f>555.56*2</f>
        <v>1111.12</v>
      </c>
      <c r="O90" s="74" t="s">
        <v>389</v>
      </c>
      <c r="P90" s="75">
        <v>0.6111111111111112</v>
      </c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45947.0</v>
      </c>
      <c r="I91" s="68"/>
      <c r="J91" s="69"/>
      <c r="K91" s="70"/>
      <c r="L91" s="71"/>
      <c r="M91" s="72" t="s">
        <v>20</v>
      </c>
      <c r="N91" s="90">
        <v>288.22</v>
      </c>
      <c r="O91" s="74" t="s">
        <v>273</v>
      </c>
      <c r="P91" s="75">
        <v>0.6416666666666667</v>
      </c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45947.0</v>
      </c>
      <c r="I92" s="68" t="s">
        <v>312</v>
      </c>
      <c r="J92" s="69">
        <v>20000.0</v>
      </c>
      <c r="K92" s="70"/>
      <c r="L92" s="71">
        <v>0.6729166666666667</v>
      </c>
      <c r="M92" s="72" t="s">
        <v>47</v>
      </c>
      <c r="N92" s="90">
        <v>8459.83</v>
      </c>
      <c r="O92" s="74" t="s">
        <v>390</v>
      </c>
      <c r="P92" s="75">
        <v>0.6729166666666667</v>
      </c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45947.0</v>
      </c>
      <c r="I93" s="68" t="s">
        <v>307</v>
      </c>
      <c r="J93" s="69">
        <v>30000.0</v>
      </c>
      <c r="K93" s="70"/>
      <c r="L93" s="71">
        <v>0.7125</v>
      </c>
      <c r="M93" s="72"/>
      <c r="N93" s="90"/>
      <c r="O93" s="74"/>
      <c r="P93" s="75"/>
      <c r="Q93" s="125"/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45947.0</v>
      </c>
      <c r="I94" s="68" t="s">
        <v>307</v>
      </c>
      <c r="J94" s="69">
        <v>30000.0</v>
      </c>
      <c r="K94" s="70"/>
      <c r="L94" s="71">
        <v>0.71875</v>
      </c>
      <c r="M94" s="72" t="s">
        <v>175</v>
      </c>
      <c r="N94" s="90">
        <v>334.0</v>
      </c>
      <c r="O94" s="74" t="s">
        <v>391</v>
      </c>
      <c r="P94" s="75">
        <v>0.7430555555555556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45947.0</v>
      </c>
      <c r="I95" s="68"/>
      <c r="J95" s="69"/>
      <c r="K95" s="70"/>
      <c r="L95" s="71"/>
      <c r="M95" s="72" t="s">
        <v>175</v>
      </c>
      <c r="N95" s="90">
        <v>535.0</v>
      </c>
      <c r="O95" s="74" t="s">
        <v>387</v>
      </c>
      <c r="P95" s="75">
        <v>0.78125</v>
      </c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45947.0</v>
      </c>
      <c r="I96" s="68"/>
      <c r="J96" s="69"/>
      <c r="K96" s="70"/>
      <c r="L96" s="88"/>
      <c r="M96" s="72" t="s">
        <v>75</v>
      </c>
      <c r="N96" s="90">
        <v>16645.68</v>
      </c>
      <c r="O96" s="74" t="s">
        <v>392</v>
      </c>
      <c r="P96" s="75">
        <v>0.9229166666666667</v>
      </c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45948.0</v>
      </c>
      <c r="I97" s="68"/>
      <c r="J97" s="69"/>
      <c r="K97" s="70"/>
      <c r="L97" s="71"/>
      <c r="M97" s="72" t="s">
        <v>20</v>
      </c>
      <c r="N97" s="90">
        <v>1233.0</v>
      </c>
      <c r="O97" s="74" t="s">
        <v>393</v>
      </c>
      <c r="P97" s="75">
        <v>0.4263888888888889</v>
      </c>
      <c r="R97" s="39"/>
      <c r="S97" s="95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45948.0</v>
      </c>
      <c r="I98" s="68"/>
      <c r="J98" s="69"/>
      <c r="K98" s="70"/>
      <c r="L98" s="71"/>
      <c r="M98" s="72" t="s">
        <v>280</v>
      </c>
      <c r="N98" s="90">
        <v>327.0</v>
      </c>
      <c r="O98" s="74" t="s">
        <v>394</v>
      </c>
      <c r="P98" s="75">
        <v>0.5555555555555556</v>
      </c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45948.0</v>
      </c>
      <c r="I99" s="68"/>
      <c r="J99" s="69"/>
      <c r="K99" s="70"/>
      <c r="L99" s="71"/>
      <c r="M99" s="72" t="s">
        <v>47</v>
      </c>
      <c r="N99" s="90">
        <v>9542.23</v>
      </c>
      <c r="O99" s="74" t="s">
        <v>395</v>
      </c>
      <c r="P99" s="75">
        <v>0.6222222222222222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45948.0</v>
      </c>
      <c r="I100" s="68" t="s">
        <v>307</v>
      </c>
      <c r="J100" s="69">
        <v>30000.0</v>
      </c>
      <c r="K100" s="85"/>
      <c r="L100" s="71">
        <v>0.6423611111111112</v>
      </c>
      <c r="M100" s="72"/>
      <c r="N100" s="90"/>
      <c r="O100" s="74"/>
      <c r="P100" s="75"/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45949.0</v>
      </c>
      <c r="I101" s="68"/>
      <c r="J101" s="69"/>
      <c r="K101" s="70"/>
      <c r="L101" s="71"/>
      <c r="M101" s="72" t="s">
        <v>75</v>
      </c>
      <c r="N101" s="90">
        <v>9990.0</v>
      </c>
      <c r="O101" s="74" t="s">
        <v>396</v>
      </c>
      <c r="P101" s="75">
        <v>0.5805555555555556</v>
      </c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45949.0</v>
      </c>
      <c r="I102" s="68"/>
      <c r="J102" s="69"/>
      <c r="K102" s="70"/>
      <c r="L102" s="71"/>
      <c r="M102" s="72" t="s">
        <v>20</v>
      </c>
      <c r="N102" s="90">
        <v>14.0</v>
      </c>
      <c r="O102" s="74" t="s">
        <v>397</v>
      </c>
      <c r="P102" s="75">
        <v>0.5847222222222223</v>
      </c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45949.0</v>
      </c>
      <c r="I103" s="68" t="s">
        <v>307</v>
      </c>
      <c r="J103" s="69">
        <v>50000.0</v>
      </c>
      <c r="K103" s="70"/>
      <c r="L103" s="71">
        <v>0.6305555555555555</v>
      </c>
      <c r="M103" s="72"/>
      <c r="N103" s="90"/>
      <c r="O103" s="74"/>
      <c r="P103" s="94"/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45949.0</v>
      </c>
      <c r="I104" s="68"/>
      <c r="J104" s="69"/>
      <c r="K104" s="87"/>
      <c r="L104" s="88"/>
      <c r="M104" s="72" t="s">
        <v>47</v>
      </c>
      <c r="N104" s="90">
        <v>11602.73</v>
      </c>
      <c r="O104" s="74" t="s">
        <v>398</v>
      </c>
      <c r="P104" s="75">
        <v>0.64375</v>
      </c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45949.0</v>
      </c>
      <c r="I105" s="68"/>
      <c r="J105" s="69"/>
      <c r="K105" s="87"/>
      <c r="L105" s="71"/>
      <c r="M105" s="72" t="s">
        <v>173</v>
      </c>
      <c r="N105" s="90">
        <v>367.2</v>
      </c>
      <c r="O105" s="74" t="s">
        <v>399</v>
      </c>
      <c r="P105" s="75">
        <v>0.6472222222222223</v>
      </c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45949.0</v>
      </c>
      <c r="I106" s="68" t="s">
        <v>282</v>
      </c>
      <c r="J106" s="69">
        <v>14212.0</v>
      </c>
      <c r="K106" s="70"/>
      <c r="L106" s="71">
        <v>0.9034722222222222</v>
      </c>
      <c r="M106" s="72"/>
      <c r="N106" s="90"/>
      <c r="O106" s="74"/>
      <c r="P106" s="94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45950.0</v>
      </c>
      <c r="I107" s="68"/>
      <c r="J107" s="69"/>
      <c r="K107" s="70"/>
      <c r="L107" s="71"/>
      <c r="M107" s="72" t="s">
        <v>75</v>
      </c>
      <c r="N107" s="90">
        <v>6660.0</v>
      </c>
      <c r="O107" s="74" t="s">
        <v>388</v>
      </c>
      <c r="P107" s="75">
        <v>0.42291666666666666</v>
      </c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45950.0</v>
      </c>
      <c r="I108" s="68"/>
      <c r="J108" s="69"/>
      <c r="K108" s="70"/>
      <c r="L108" s="71"/>
      <c r="M108" s="72" t="s">
        <v>20</v>
      </c>
      <c r="N108" s="90">
        <v>14.13</v>
      </c>
      <c r="O108" s="74" t="s">
        <v>400</v>
      </c>
      <c r="P108" s="75">
        <v>0.47291666666666665</v>
      </c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45950.0</v>
      </c>
      <c r="I109" s="68"/>
      <c r="J109" s="69"/>
      <c r="K109" s="70"/>
      <c r="L109" s="71"/>
      <c r="M109" s="72" t="s">
        <v>47</v>
      </c>
      <c r="N109" s="90">
        <v>10569.94</v>
      </c>
      <c r="O109" s="74" t="s">
        <v>401</v>
      </c>
      <c r="P109" s="75">
        <v>0.6166666666666667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45950.0</v>
      </c>
      <c r="I110" s="68" t="s">
        <v>317</v>
      </c>
      <c r="J110" s="69">
        <v>30000.0</v>
      </c>
      <c r="K110" s="93"/>
      <c r="L110" s="71">
        <v>0.6805555555555556</v>
      </c>
      <c r="M110" s="72" t="s">
        <v>20</v>
      </c>
      <c r="N110" s="90">
        <v>66.0</v>
      </c>
      <c r="O110" s="74" t="s">
        <v>156</v>
      </c>
      <c r="P110" s="75">
        <v>0.7194444444444444</v>
      </c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45950.0</v>
      </c>
      <c r="I111" s="68" t="s">
        <v>307</v>
      </c>
      <c r="J111" s="69">
        <v>30000.0</v>
      </c>
      <c r="K111" s="70"/>
      <c r="L111" s="71">
        <v>0.7222222222222222</v>
      </c>
      <c r="M111" s="72"/>
      <c r="N111" s="90"/>
      <c r="O111" s="74"/>
      <c r="P111" s="75"/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45951.0</v>
      </c>
      <c r="I112" s="68"/>
      <c r="J112" s="69"/>
      <c r="K112" s="70"/>
      <c r="L112" s="71"/>
      <c r="M112" s="72" t="s">
        <v>75</v>
      </c>
      <c r="N112" s="90">
        <v>9809.0</v>
      </c>
      <c r="O112" s="74" t="s">
        <v>402</v>
      </c>
      <c r="P112" s="75">
        <v>0.4236111111111111</v>
      </c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45951.0</v>
      </c>
      <c r="I113" s="68"/>
      <c r="J113" s="69"/>
      <c r="K113" s="70"/>
      <c r="L113" s="71"/>
      <c r="M113" s="72" t="s">
        <v>111</v>
      </c>
      <c r="N113" s="90">
        <v>760.03</v>
      </c>
      <c r="O113" s="74" t="s">
        <v>403</v>
      </c>
      <c r="P113" s="75">
        <v>0.4638888888888889</v>
      </c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45951.0</v>
      </c>
      <c r="I114" s="68"/>
      <c r="J114" s="69"/>
      <c r="K114" s="70"/>
      <c r="L114" s="71"/>
      <c r="M114" s="72" t="s">
        <v>20</v>
      </c>
      <c r="N114" s="90">
        <v>15.0</v>
      </c>
      <c r="O114" s="74" t="s">
        <v>404</v>
      </c>
      <c r="P114" s="94" t="s">
        <v>405</v>
      </c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45951.0</v>
      </c>
      <c r="I115" s="68" t="s">
        <v>317</v>
      </c>
      <c r="J115" s="69">
        <v>30000.0</v>
      </c>
      <c r="K115" s="70"/>
      <c r="L115" s="71">
        <v>0.6541666666666667</v>
      </c>
      <c r="M115" s="72" t="s">
        <v>20</v>
      </c>
      <c r="N115" s="90">
        <v>14.14</v>
      </c>
      <c r="O115" s="74" t="s">
        <v>400</v>
      </c>
      <c r="P115" s="75">
        <v>0.6770833333333334</v>
      </c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45951.0</v>
      </c>
      <c r="I116" s="68"/>
      <c r="J116" s="69"/>
      <c r="K116" s="70"/>
      <c r="L116" s="88"/>
      <c r="M116" s="72" t="s">
        <v>47</v>
      </c>
      <c r="N116" s="90">
        <v>8437.09</v>
      </c>
      <c r="O116" s="74" t="s">
        <v>406</v>
      </c>
      <c r="P116" s="75">
        <v>0.6861111111111111</v>
      </c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45951.0</v>
      </c>
      <c r="I117" s="68"/>
      <c r="J117" s="69"/>
      <c r="K117" s="70"/>
      <c r="L117" s="71"/>
      <c r="M117" s="72" t="s">
        <v>307</v>
      </c>
      <c r="N117" s="90">
        <v>6506.0</v>
      </c>
      <c r="O117" s="74" t="s">
        <v>155</v>
      </c>
      <c r="P117" s="75">
        <v>0.8263888888888888</v>
      </c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45951.0</v>
      </c>
      <c r="I118" s="68"/>
      <c r="J118" s="69"/>
      <c r="K118" s="92"/>
      <c r="L118" s="71"/>
      <c r="M118" s="72" t="s">
        <v>75</v>
      </c>
      <c r="N118" s="90">
        <v>14430.0</v>
      </c>
      <c r="O118" s="74" t="s">
        <v>407</v>
      </c>
      <c r="P118" s="75">
        <v>0.8298611111111112</v>
      </c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45951.0</v>
      </c>
      <c r="I119" s="68" t="s">
        <v>321</v>
      </c>
      <c r="J119" s="69">
        <v>2200.0</v>
      </c>
      <c r="K119" s="70"/>
      <c r="L119" s="71">
        <v>0.8958333333333334</v>
      </c>
      <c r="M119" s="72" t="s">
        <v>75</v>
      </c>
      <c r="N119" s="90">
        <v>5550.0</v>
      </c>
      <c r="O119" s="74" t="s">
        <v>362</v>
      </c>
      <c r="P119" s="75">
        <v>0.9791666666666666</v>
      </c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45952.0</v>
      </c>
      <c r="I120" s="68"/>
      <c r="J120" s="69"/>
      <c r="K120" s="70"/>
      <c r="L120" s="71"/>
      <c r="M120" s="72" t="s">
        <v>157</v>
      </c>
      <c r="N120" s="90">
        <v>55.47</v>
      </c>
      <c r="O120" s="74" t="s">
        <v>408</v>
      </c>
      <c r="P120" s="94" t="s">
        <v>409</v>
      </c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45952.0</v>
      </c>
      <c r="I121" s="68" t="s">
        <v>317</v>
      </c>
      <c r="J121" s="69">
        <v>12106.0</v>
      </c>
      <c r="K121" s="70"/>
      <c r="L121" s="71">
        <v>0.6201388888888889</v>
      </c>
      <c r="M121" s="72" t="s">
        <v>57</v>
      </c>
      <c r="N121" s="90">
        <v>605.4</v>
      </c>
      <c r="O121" s="74" t="s">
        <v>410</v>
      </c>
      <c r="P121" s="75">
        <v>0.9444444444444444</v>
      </c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45952.0</v>
      </c>
      <c r="I122" s="68"/>
      <c r="J122" s="69"/>
      <c r="K122" s="70"/>
      <c r="L122" s="71"/>
      <c r="M122" s="72" t="s">
        <v>111</v>
      </c>
      <c r="N122" s="90">
        <v>805.8</v>
      </c>
      <c r="O122" s="74" t="s">
        <v>411</v>
      </c>
      <c r="P122" s="75">
        <v>0.9555555555555556</v>
      </c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45953.0</v>
      </c>
      <c r="I123" s="68" t="s">
        <v>337</v>
      </c>
      <c r="J123" s="69">
        <v>4384.0</v>
      </c>
      <c r="K123" s="70" t="s">
        <v>412</v>
      </c>
      <c r="L123" s="71">
        <v>0.6048611111111111</v>
      </c>
      <c r="M123" s="72" t="s">
        <v>47</v>
      </c>
      <c r="N123" s="90">
        <v>18392.33</v>
      </c>
      <c r="O123" s="74" t="s">
        <v>413</v>
      </c>
      <c r="P123" s="94" t="s">
        <v>309</v>
      </c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45953.0</v>
      </c>
      <c r="I124" s="68"/>
      <c r="J124" s="69"/>
      <c r="K124" s="70"/>
      <c r="L124" s="71"/>
      <c r="M124" s="72" t="s">
        <v>20</v>
      </c>
      <c r="N124" s="90">
        <v>30.0</v>
      </c>
      <c r="O124" s="74" t="s">
        <v>414</v>
      </c>
      <c r="P124" s="75">
        <v>0.6659722222222222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45953.0</v>
      </c>
      <c r="I125" s="68"/>
      <c r="J125" s="69"/>
      <c r="K125" s="70"/>
      <c r="L125" s="71"/>
      <c r="M125" s="72" t="s">
        <v>57</v>
      </c>
      <c r="N125" s="90">
        <v>545.4</v>
      </c>
      <c r="O125" s="74" t="s">
        <v>415</v>
      </c>
      <c r="P125" s="75">
        <v>0.6673611111111111</v>
      </c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45953.0</v>
      </c>
      <c r="I126" s="68" t="s">
        <v>298</v>
      </c>
      <c r="J126" s="69">
        <v>30000.0</v>
      </c>
      <c r="K126" s="70"/>
      <c r="L126" s="71">
        <v>0.6777777777777778</v>
      </c>
      <c r="M126" s="72" t="s">
        <v>75</v>
      </c>
      <c r="N126" s="90">
        <v>5053.52</v>
      </c>
      <c r="O126" s="74" t="s">
        <v>416</v>
      </c>
      <c r="P126" s="75">
        <v>0.8159722222222222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45953.0</v>
      </c>
      <c r="I127" s="68" t="s">
        <v>167</v>
      </c>
      <c r="J127" s="69">
        <v>9000.0</v>
      </c>
      <c r="K127" s="85"/>
      <c r="L127" s="71">
        <v>0.8611111111111112</v>
      </c>
      <c r="M127" s="72" t="s">
        <v>20</v>
      </c>
      <c r="N127" s="90">
        <v>66.0</v>
      </c>
      <c r="O127" s="74" t="s">
        <v>156</v>
      </c>
      <c r="P127" s="75">
        <v>0.8951388888888889</v>
      </c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45954.0</v>
      </c>
      <c r="I128" s="68"/>
      <c r="J128" s="69"/>
      <c r="K128" s="70"/>
      <c r="L128" s="71"/>
      <c r="M128" s="72" t="s">
        <v>75</v>
      </c>
      <c r="N128" s="90">
        <v>2113.47</v>
      </c>
      <c r="O128" s="74" t="s">
        <v>417</v>
      </c>
      <c r="P128" s="75">
        <v>0.4305555555555556</v>
      </c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45954.0</v>
      </c>
      <c r="I129" s="68"/>
      <c r="J129" s="69"/>
      <c r="K129" s="70"/>
      <c r="L129" s="71"/>
      <c r="M129" s="72" t="s">
        <v>57</v>
      </c>
      <c r="N129" s="90">
        <v>1180.8</v>
      </c>
      <c r="O129" s="74" t="s">
        <v>418</v>
      </c>
      <c r="P129" s="75">
        <v>0.4576388888888889</v>
      </c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45954.0</v>
      </c>
      <c r="I130" s="68"/>
      <c r="J130" s="69"/>
      <c r="K130" s="70"/>
      <c r="L130" s="71"/>
      <c r="M130" s="72" t="s">
        <v>20</v>
      </c>
      <c r="N130" s="90">
        <v>288.25</v>
      </c>
      <c r="O130" s="74" t="s">
        <v>273</v>
      </c>
      <c r="P130" s="94" t="s">
        <v>419</v>
      </c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45954.0</v>
      </c>
      <c r="I131" s="68"/>
      <c r="J131" s="69"/>
      <c r="K131" s="70"/>
      <c r="L131" s="88"/>
      <c r="M131" s="72" t="s">
        <v>20</v>
      </c>
      <c r="N131" s="90">
        <v>14.13</v>
      </c>
      <c r="O131" s="74" t="s">
        <v>400</v>
      </c>
      <c r="P131" s="75">
        <v>0.4708333333333333</v>
      </c>
      <c r="Q131" s="41"/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45954.0</v>
      </c>
      <c r="I132" s="68"/>
      <c r="J132" s="69"/>
      <c r="K132" s="85"/>
      <c r="L132" s="71"/>
      <c r="M132" s="72" t="s">
        <v>57</v>
      </c>
      <c r="N132" s="90">
        <v>545.4</v>
      </c>
      <c r="O132" s="74" t="s">
        <v>415</v>
      </c>
      <c r="P132" s="75">
        <v>0.5138888888888888</v>
      </c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45954.0</v>
      </c>
      <c r="I133" s="68"/>
      <c r="J133" s="69"/>
      <c r="K133" s="70"/>
      <c r="L133" s="88"/>
      <c r="M133" s="72" t="s">
        <v>305</v>
      </c>
      <c r="N133" s="90">
        <v>3000.0</v>
      </c>
      <c r="O133" s="74"/>
      <c r="P133" s="75">
        <v>0.6180555555555556</v>
      </c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45954.0</v>
      </c>
      <c r="I134" s="68"/>
      <c r="J134" s="69"/>
      <c r="K134" s="70"/>
      <c r="L134" s="71"/>
      <c r="M134" s="72" t="s">
        <v>303</v>
      </c>
      <c r="N134" s="90">
        <v>2800.0</v>
      </c>
      <c r="O134" s="74"/>
      <c r="P134" s="75">
        <v>0.6347222222222222</v>
      </c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45954.0</v>
      </c>
      <c r="I135" s="68"/>
      <c r="J135" s="69"/>
      <c r="K135" s="70"/>
      <c r="L135" s="71"/>
      <c r="M135" s="72" t="s">
        <v>20</v>
      </c>
      <c r="N135" s="90">
        <v>60.0</v>
      </c>
      <c r="O135" s="74" t="s">
        <v>420</v>
      </c>
      <c r="P135" s="75">
        <v>0.725</v>
      </c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45954.0</v>
      </c>
      <c r="I136" s="68" t="s">
        <v>298</v>
      </c>
      <c r="J136" s="69">
        <v>30000.0</v>
      </c>
      <c r="K136" s="70"/>
      <c r="L136" s="71">
        <v>0.7340277777777777</v>
      </c>
      <c r="M136" s="72" t="s">
        <v>57</v>
      </c>
      <c r="N136" s="90">
        <v>1090.8</v>
      </c>
      <c r="O136" s="74" t="s">
        <v>421</v>
      </c>
      <c r="P136" s="75">
        <v>0.8104166666666667</v>
      </c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45954.0</v>
      </c>
      <c r="I137" s="84"/>
      <c r="J137" s="17"/>
      <c r="K137" s="85"/>
      <c r="L137" s="86"/>
      <c r="M137" s="72" t="s">
        <v>20</v>
      </c>
      <c r="N137" s="90">
        <v>1166.0</v>
      </c>
      <c r="O137" s="74" t="s">
        <v>422</v>
      </c>
      <c r="P137" s="75">
        <v>0.8347222222222223</v>
      </c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45954.0</v>
      </c>
      <c r="I138" s="68"/>
      <c r="J138" s="69"/>
      <c r="K138" s="70"/>
      <c r="L138" s="71"/>
      <c r="M138" s="72" t="s">
        <v>111</v>
      </c>
      <c r="N138" s="90">
        <v>848.04</v>
      </c>
      <c r="O138" s="74" t="s">
        <v>423</v>
      </c>
      <c r="P138" s="75">
        <v>0.8534722222222222</v>
      </c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45954.0</v>
      </c>
      <c r="I139" s="68"/>
      <c r="J139" s="69"/>
      <c r="K139" s="70"/>
      <c r="L139" s="71"/>
      <c r="M139" s="72" t="s">
        <v>75</v>
      </c>
      <c r="N139" s="90">
        <f>1110+17760</f>
        <v>18870</v>
      </c>
      <c r="O139" s="74" t="s">
        <v>424</v>
      </c>
      <c r="P139" s="94" t="s">
        <v>425</v>
      </c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45955.0</v>
      </c>
      <c r="I140" s="68"/>
      <c r="J140" s="69"/>
      <c r="K140" s="70"/>
      <c r="L140" s="71"/>
      <c r="M140" s="72" t="s">
        <v>20</v>
      </c>
      <c r="N140" s="90">
        <v>14.14</v>
      </c>
      <c r="O140" s="74" t="s">
        <v>400</v>
      </c>
      <c r="P140" s="94" t="s">
        <v>426</v>
      </c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45955.0</v>
      </c>
      <c r="I141" s="84"/>
      <c r="J141" s="17"/>
      <c r="K141" s="85"/>
      <c r="L141" s="86"/>
      <c r="M141" s="72" t="s">
        <v>49</v>
      </c>
      <c r="N141" s="90">
        <v>600.0</v>
      </c>
      <c r="O141" s="74" t="s">
        <v>427</v>
      </c>
      <c r="P141" s="75">
        <v>0.5576388888888889</v>
      </c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45956.0</v>
      </c>
      <c r="I142" s="68"/>
      <c r="J142" s="69"/>
      <c r="K142" s="70"/>
      <c r="L142" s="71"/>
      <c r="M142" s="72" t="s">
        <v>75</v>
      </c>
      <c r="N142" s="90">
        <v>15546.26</v>
      </c>
      <c r="O142" s="74" t="s">
        <v>428</v>
      </c>
      <c r="P142" s="75">
        <v>0.4201388888888889</v>
      </c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45956.0</v>
      </c>
      <c r="I143" s="68" t="s">
        <v>298</v>
      </c>
      <c r="J143" s="69">
        <v>30000.0</v>
      </c>
      <c r="K143" s="70"/>
      <c r="L143" s="71">
        <v>0.7395833333333334</v>
      </c>
      <c r="M143" s="72"/>
      <c r="N143" s="90"/>
      <c r="O143" s="74"/>
      <c r="P143" s="75"/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45957.0</v>
      </c>
      <c r="I144" s="68"/>
      <c r="J144" s="69"/>
      <c r="K144" s="85"/>
      <c r="L144" s="71"/>
      <c r="M144" s="72" t="s">
        <v>284</v>
      </c>
      <c r="N144" s="90">
        <v>333.3</v>
      </c>
      <c r="O144" s="74" t="s">
        <v>429</v>
      </c>
      <c r="P144" s="75">
        <v>0.5423611111111111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45957.0</v>
      </c>
      <c r="I145" s="68" t="s">
        <v>167</v>
      </c>
      <c r="J145" s="69">
        <v>18000.0</v>
      </c>
      <c r="K145" s="70"/>
      <c r="L145" s="71">
        <v>0.6305555555555555</v>
      </c>
      <c r="M145" s="72"/>
      <c r="N145" s="90"/>
      <c r="O145" s="74"/>
      <c r="P145" s="75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45957.0</v>
      </c>
      <c r="I146" s="68" t="s">
        <v>317</v>
      </c>
      <c r="J146" s="69">
        <v>30000.0</v>
      </c>
      <c r="K146" s="70"/>
      <c r="L146" s="71">
        <v>0.6319444444444444</v>
      </c>
      <c r="M146" s="72" t="s">
        <v>305</v>
      </c>
      <c r="N146" s="90">
        <v>14550.0</v>
      </c>
      <c r="O146" s="74"/>
      <c r="P146" s="75">
        <v>0.6347222222222222</v>
      </c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45957.0</v>
      </c>
      <c r="I147" s="68" t="s">
        <v>39</v>
      </c>
      <c r="J147" s="69">
        <v>1859.25</v>
      </c>
      <c r="K147" s="70" t="s">
        <v>430</v>
      </c>
      <c r="L147" s="88" t="s">
        <v>431</v>
      </c>
      <c r="M147" s="72" t="s">
        <v>39</v>
      </c>
      <c r="N147" s="90">
        <v>278.89</v>
      </c>
      <c r="O147" s="74" t="s">
        <v>432</v>
      </c>
      <c r="P147" s="75">
        <v>0.7111111111111111</v>
      </c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45957.0</v>
      </c>
      <c r="I148" s="68"/>
      <c r="J148" s="69"/>
      <c r="K148" s="85"/>
      <c r="L148" s="88"/>
      <c r="M148" s="72" t="s">
        <v>81</v>
      </c>
      <c r="N148" s="90">
        <v>4500.0</v>
      </c>
      <c r="O148" s="74"/>
      <c r="P148" s="75">
        <v>0.9916666666666667</v>
      </c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45957.0</v>
      </c>
      <c r="I149" s="68"/>
      <c r="J149" s="69"/>
      <c r="K149" s="70"/>
      <c r="L149" s="71"/>
      <c r="M149" s="72" t="s">
        <v>75</v>
      </c>
      <c r="N149" s="90">
        <v>11100.0</v>
      </c>
      <c r="O149" s="74" t="s">
        <v>433</v>
      </c>
      <c r="P149" s="75">
        <v>0.99375</v>
      </c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45958.0</v>
      </c>
      <c r="I150" s="68" t="s">
        <v>312</v>
      </c>
      <c r="J150" s="69">
        <v>20000.0</v>
      </c>
      <c r="K150" s="70"/>
      <c r="L150" s="71">
        <v>0.5972222222222222</v>
      </c>
      <c r="M150" s="72" t="s">
        <v>14</v>
      </c>
      <c r="N150" s="90">
        <v>500.0</v>
      </c>
      <c r="O150" s="74" t="s">
        <v>434</v>
      </c>
      <c r="P150" s="75">
        <v>0.6020833333333333</v>
      </c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45958.0</v>
      </c>
      <c r="I151" s="68" t="s">
        <v>167</v>
      </c>
      <c r="J151" s="69">
        <v>18000.0</v>
      </c>
      <c r="K151" s="70"/>
      <c r="L151" s="71">
        <v>0.6263888888888889</v>
      </c>
      <c r="M151" s="72" t="s">
        <v>47</v>
      </c>
      <c r="N151" s="90">
        <v>16692.51</v>
      </c>
      <c r="O151" s="74" t="s">
        <v>435</v>
      </c>
      <c r="P151" s="75">
        <v>0.6340277777777777</v>
      </c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45958.0</v>
      </c>
      <c r="I152" s="68"/>
      <c r="J152" s="69"/>
      <c r="K152" s="87"/>
      <c r="L152" s="71"/>
      <c r="M152" s="72" t="s">
        <v>111</v>
      </c>
      <c r="N152" s="90">
        <v>1025.0</v>
      </c>
      <c r="O152" s="74" t="s">
        <v>436</v>
      </c>
      <c r="P152" s="75">
        <v>0.6534722222222222</v>
      </c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45958.0</v>
      </c>
      <c r="I153" s="68" t="s">
        <v>280</v>
      </c>
      <c r="J153" s="69">
        <v>386.48</v>
      </c>
      <c r="K153" s="70"/>
      <c r="L153" s="71">
        <v>0.6645833333333333</v>
      </c>
      <c r="M153" s="72" t="s">
        <v>305</v>
      </c>
      <c r="N153" s="90">
        <v>7500.0</v>
      </c>
      <c r="O153" s="74"/>
      <c r="P153" s="75">
        <v>0.6694444444444444</v>
      </c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45958.0</v>
      </c>
      <c r="I154" s="68"/>
      <c r="J154" s="69"/>
      <c r="K154" s="85"/>
      <c r="L154" s="71"/>
      <c r="M154" s="72" t="s">
        <v>20</v>
      </c>
      <c r="N154" s="90">
        <v>30.0</v>
      </c>
      <c r="O154" s="74" t="s">
        <v>437</v>
      </c>
      <c r="P154" s="75">
        <v>0.7944444444444444</v>
      </c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45958.0</v>
      </c>
      <c r="I155" s="68"/>
      <c r="J155" s="69"/>
      <c r="K155" s="85"/>
      <c r="L155" s="71"/>
      <c r="M155" s="72" t="s">
        <v>75</v>
      </c>
      <c r="N155" s="90">
        <v>9990.0</v>
      </c>
      <c r="O155" s="74" t="s">
        <v>396</v>
      </c>
      <c r="P155" s="75">
        <v>0.8131944444444444</v>
      </c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45958.0</v>
      </c>
      <c r="I156" s="68"/>
      <c r="J156" s="69"/>
      <c r="K156" s="70"/>
      <c r="L156" s="71"/>
      <c r="M156" s="72" t="s">
        <v>290</v>
      </c>
      <c r="N156" s="90">
        <v>2598.42</v>
      </c>
      <c r="O156" s="74" t="s">
        <v>438</v>
      </c>
      <c r="P156" s="75">
        <v>0.8972222222222223</v>
      </c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45958.0</v>
      </c>
      <c r="I157" s="68"/>
      <c r="J157" s="69"/>
      <c r="K157" s="70"/>
      <c r="L157" s="71"/>
      <c r="M157" s="72" t="s">
        <v>75</v>
      </c>
      <c r="N157" s="90">
        <v>10615.5</v>
      </c>
      <c r="O157" s="74" t="s">
        <v>439</v>
      </c>
      <c r="P157" s="75">
        <v>0.9972222222222222</v>
      </c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45959.0</v>
      </c>
      <c r="I158" s="68"/>
      <c r="J158" s="69"/>
      <c r="K158" s="87"/>
      <c r="L158" s="71"/>
      <c r="M158" s="72" t="s">
        <v>49</v>
      </c>
      <c r="N158" s="90">
        <v>540.0</v>
      </c>
      <c r="O158" s="74" t="s">
        <v>440</v>
      </c>
      <c r="P158" s="75">
        <v>0.4638888888888889</v>
      </c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45959.0</v>
      </c>
      <c r="I159" s="68"/>
      <c r="J159" s="69"/>
      <c r="K159" s="87"/>
      <c r="L159" s="71"/>
      <c r="M159" s="72" t="s">
        <v>290</v>
      </c>
      <c r="N159" s="90">
        <v>5757.0</v>
      </c>
      <c r="O159" s="74" t="s">
        <v>441</v>
      </c>
      <c r="P159" s="75">
        <v>0.5270833333333333</v>
      </c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45959.0</v>
      </c>
      <c r="I160" s="68"/>
      <c r="J160" s="69"/>
      <c r="K160" s="70"/>
      <c r="L160" s="88"/>
      <c r="M160" s="72" t="s">
        <v>20</v>
      </c>
      <c r="N160" s="90">
        <v>45.0</v>
      </c>
      <c r="O160" s="74" t="s">
        <v>442</v>
      </c>
      <c r="P160" s="75">
        <v>0.5694444444444444</v>
      </c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45959.0</v>
      </c>
      <c r="I161" s="68"/>
      <c r="J161" s="69"/>
      <c r="K161" s="70"/>
      <c r="L161" s="71"/>
      <c r="M161" s="72" t="s">
        <v>81</v>
      </c>
      <c r="N161" s="90">
        <v>4800.0</v>
      </c>
      <c r="O161" s="74"/>
      <c r="P161" s="75">
        <v>0.5972222222222222</v>
      </c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45959.0</v>
      </c>
      <c r="I162" s="68" t="s">
        <v>83</v>
      </c>
      <c r="J162" s="69">
        <v>5760.0</v>
      </c>
      <c r="K162" s="93"/>
      <c r="L162" s="71">
        <v>0.6354166666666666</v>
      </c>
      <c r="M162" s="72" t="s">
        <v>81</v>
      </c>
      <c r="N162" s="90">
        <v>4500.0</v>
      </c>
      <c r="O162" s="74"/>
      <c r="P162" s="75">
        <v>0.6506944444444445</v>
      </c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45959.0</v>
      </c>
      <c r="I163" s="68" t="s">
        <v>330</v>
      </c>
      <c r="J163" s="69">
        <v>377.0</v>
      </c>
      <c r="K163" s="70"/>
      <c r="L163" s="71">
        <v>0.6638888888888889</v>
      </c>
      <c r="M163" s="72" t="s">
        <v>20</v>
      </c>
      <c r="N163" s="90">
        <v>66.0</v>
      </c>
      <c r="O163" s="74" t="s">
        <v>156</v>
      </c>
      <c r="P163" s="75">
        <v>0.6736111111111112</v>
      </c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45959.0</v>
      </c>
      <c r="I164" s="68"/>
      <c r="J164" s="69"/>
      <c r="K164" s="70"/>
      <c r="L164" s="71"/>
      <c r="M164" s="72" t="s">
        <v>20</v>
      </c>
      <c r="N164" s="90">
        <v>14.18</v>
      </c>
      <c r="O164" s="74" t="s">
        <v>150</v>
      </c>
      <c r="P164" s="75">
        <v>0.6784722222222223</v>
      </c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45959.0</v>
      </c>
      <c r="I165" s="68" t="s">
        <v>317</v>
      </c>
      <c r="J165" s="69">
        <v>30000.0</v>
      </c>
      <c r="K165" s="70"/>
      <c r="L165" s="71">
        <v>0.6986111111111111</v>
      </c>
      <c r="M165" s="72"/>
      <c r="N165" s="90"/>
      <c r="O165" s="74"/>
      <c r="P165" s="75"/>
      <c r="R165" s="39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45959.0</v>
      </c>
      <c r="I166" s="68" t="s">
        <v>83</v>
      </c>
      <c r="J166" s="69">
        <v>9000.0</v>
      </c>
      <c r="K166" s="70"/>
      <c r="L166" s="71">
        <v>0.8041666666666667</v>
      </c>
      <c r="M166" s="72" t="s">
        <v>290</v>
      </c>
      <c r="N166" s="90">
        <v>5757.0</v>
      </c>
      <c r="O166" s="74" t="s">
        <v>441</v>
      </c>
      <c r="P166" s="75">
        <v>0.8534722222222222</v>
      </c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45960.0</v>
      </c>
      <c r="I167" s="68"/>
      <c r="J167" s="69"/>
      <c r="K167" s="70"/>
      <c r="L167" s="71"/>
      <c r="M167" s="72" t="s">
        <v>75</v>
      </c>
      <c r="N167" s="90">
        <f>1110+14430</f>
        <v>15540</v>
      </c>
      <c r="O167" s="74" t="s">
        <v>443</v>
      </c>
      <c r="P167" s="75">
        <v>0.425</v>
      </c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45960.0</v>
      </c>
      <c r="I168" s="68" t="s">
        <v>83</v>
      </c>
      <c r="J168" s="69">
        <v>18000.0</v>
      </c>
      <c r="K168" s="87"/>
      <c r="L168" s="71">
        <v>0.47430555555555554</v>
      </c>
      <c r="M168" s="72" t="s">
        <v>81</v>
      </c>
      <c r="N168" s="90">
        <v>7500.0</v>
      </c>
      <c r="O168" s="74"/>
      <c r="P168" s="75">
        <v>0.5659722222222222</v>
      </c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45960.0</v>
      </c>
      <c r="I169" s="68"/>
      <c r="J169" s="69"/>
      <c r="K169" s="70"/>
      <c r="L169" s="71"/>
      <c r="M169" s="72" t="s">
        <v>290</v>
      </c>
      <c r="N169" s="90">
        <v>129.28</v>
      </c>
      <c r="O169" s="74" t="s">
        <v>444</v>
      </c>
      <c r="P169" s="75">
        <v>0.8618055555555556</v>
      </c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45961.0</v>
      </c>
      <c r="I170" s="68"/>
      <c r="J170" s="69"/>
      <c r="K170" s="70"/>
      <c r="L170" s="71"/>
      <c r="M170" s="72" t="s">
        <v>28</v>
      </c>
      <c r="N170" s="90">
        <v>218.0</v>
      </c>
      <c r="O170" s="74" t="s">
        <v>445</v>
      </c>
      <c r="P170" s="75">
        <v>0.4270833333333333</v>
      </c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45961.0</v>
      </c>
      <c r="I171" s="68" t="s">
        <v>317</v>
      </c>
      <c r="J171" s="69">
        <v>2961.0</v>
      </c>
      <c r="K171" s="85"/>
      <c r="L171" s="71">
        <v>0.6041666666666666</v>
      </c>
      <c r="M171" s="72" t="s">
        <v>20</v>
      </c>
      <c r="N171" s="90">
        <v>66.0</v>
      </c>
      <c r="O171" s="74" t="s">
        <v>156</v>
      </c>
      <c r="P171" s="75">
        <v>0.675</v>
      </c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45961.0</v>
      </c>
      <c r="I172" s="84"/>
      <c r="J172" s="17"/>
      <c r="K172" s="85"/>
      <c r="L172" s="86"/>
      <c r="M172" s="72" t="s">
        <v>298</v>
      </c>
      <c r="N172" s="90">
        <v>1371.0</v>
      </c>
      <c r="O172" s="74"/>
      <c r="P172" s="75">
        <v>0.7333333333333333</v>
      </c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45961.0</v>
      </c>
      <c r="I173" s="68" t="s">
        <v>305</v>
      </c>
      <c r="J173" s="69">
        <v>7050.0</v>
      </c>
      <c r="K173" s="85"/>
      <c r="L173" s="71">
        <v>0.7819444444444444</v>
      </c>
      <c r="M173" s="72" t="s">
        <v>295</v>
      </c>
      <c r="N173" s="90">
        <v>60.0</v>
      </c>
      <c r="O173" s="74" t="s">
        <v>427</v>
      </c>
      <c r="P173" s="75">
        <v>0.8006944444444445</v>
      </c>
      <c r="R173" s="39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45961.0</v>
      </c>
      <c r="I174" s="68"/>
      <c r="J174" s="69"/>
      <c r="K174" s="70"/>
      <c r="L174" s="71"/>
      <c r="M174" s="72" t="s">
        <v>20</v>
      </c>
      <c r="N174" s="90">
        <v>952.0</v>
      </c>
      <c r="O174" s="74" t="s">
        <v>446</v>
      </c>
      <c r="P174" s="75">
        <v>0.8340277777777778</v>
      </c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45961.0</v>
      </c>
      <c r="I175" s="68" t="s">
        <v>83</v>
      </c>
      <c r="J175" s="69">
        <v>9000.0</v>
      </c>
      <c r="K175" s="87"/>
      <c r="L175" s="71">
        <v>0.8527777777777777</v>
      </c>
      <c r="M175" s="72" t="s">
        <v>81</v>
      </c>
      <c r="N175" s="90">
        <v>10800.0</v>
      </c>
      <c r="O175" s="74"/>
      <c r="P175" s="75">
        <v>0.8756944444444444</v>
      </c>
      <c r="Q175" s="95" t="s">
        <v>136</v>
      </c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/>
      <c r="I176" s="68"/>
      <c r="J176" s="69"/>
      <c r="K176" s="70"/>
      <c r="L176" s="71"/>
      <c r="M176" s="72"/>
      <c r="N176" s="90"/>
      <c r="O176" s="74"/>
      <c r="P176" s="75"/>
      <c r="Q176" s="41"/>
      <c r="R176" s="39"/>
      <c r="S176" s="142"/>
      <c r="T176" s="143"/>
      <c r="U176" s="143"/>
      <c r="V176" s="143"/>
      <c r="W176" s="143"/>
      <c r="X176" s="144"/>
      <c r="Y176" s="145"/>
      <c r="Z176" s="145"/>
      <c r="AA176" s="145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/>
      <c r="I177" s="68"/>
      <c r="J177" s="69"/>
      <c r="K177" s="70"/>
      <c r="L177" s="71"/>
      <c r="M177" s="72"/>
      <c r="N177" s="90"/>
      <c r="O177" s="74"/>
      <c r="P177" s="75"/>
      <c r="Q177" s="41"/>
      <c r="R177" s="39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/>
      <c r="I178" s="68"/>
      <c r="J178" s="69"/>
      <c r="K178" s="70"/>
      <c r="L178" s="71"/>
      <c r="M178" s="72"/>
      <c r="N178" s="90"/>
      <c r="O178" s="74"/>
      <c r="P178" s="75"/>
      <c r="Q178" s="41"/>
      <c r="R178" s="39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/>
      <c r="I179" s="68"/>
      <c r="J179" s="69"/>
      <c r="K179" s="70"/>
      <c r="L179" s="71"/>
      <c r="M179" s="72"/>
      <c r="N179" s="90"/>
      <c r="O179" s="74"/>
      <c r="P179" s="75"/>
      <c r="Q179" s="41"/>
      <c r="R179" s="39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/>
      <c r="I180" s="68"/>
      <c r="J180" s="69"/>
      <c r="K180" s="87"/>
      <c r="L180" s="71"/>
      <c r="M180" s="72"/>
      <c r="N180" s="90"/>
      <c r="O180" s="74"/>
      <c r="P180" s="75"/>
      <c r="R180" s="39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/>
      <c r="I181" s="68"/>
      <c r="J181" s="69"/>
      <c r="K181" s="85"/>
      <c r="L181" s="71"/>
      <c r="M181" s="72"/>
      <c r="N181" s="90"/>
      <c r="O181" s="74"/>
      <c r="P181" s="75"/>
      <c r="Q181" s="125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/>
      <c r="I182" s="68"/>
      <c r="J182" s="69"/>
      <c r="K182" s="85"/>
      <c r="L182" s="71"/>
      <c r="M182" s="72"/>
      <c r="N182" s="19"/>
      <c r="O182" s="126"/>
      <c r="P182" s="94"/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/>
      <c r="I183" s="68"/>
      <c r="J183" s="69"/>
      <c r="K183" s="85"/>
      <c r="L183" s="71"/>
      <c r="M183" s="72"/>
      <c r="N183" s="19"/>
      <c r="O183" s="126"/>
      <c r="P183" s="94"/>
      <c r="Q183" s="41"/>
      <c r="R183" s="39"/>
      <c r="S183" s="125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/>
      <c r="I184" s="68"/>
      <c r="J184" s="69"/>
      <c r="K184" s="87"/>
      <c r="L184" s="71"/>
      <c r="M184" s="72"/>
      <c r="N184" s="90"/>
      <c r="O184" s="74"/>
      <c r="P184" s="94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/>
      <c r="I185" s="68"/>
      <c r="J185" s="69"/>
      <c r="K185" s="87"/>
      <c r="L185" s="71"/>
      <c r="M185" s="127"/>
      <c r="N185" s="19"/>
      <c r="O185" s="128"/>
      <c r="P185" s="129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/>
      <c r="I186" s="68"/>
      <c r="J186" s="69"/>
      <c r="K186" s="87"/>
      <c r="L186" s="71"/>
      <c r="M186" s="72"/>
      <c r="N186" s="90"/>
      <c r="O186" s="74"/>
      <c r="P186" s="75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/>
      <c r="I187" s="84"/>
      <c r="J187" s="17"/>
      <c r="K187" s="85"/>
      <c r="L187" s="86"/>
      <c r="M187" s="72"/>
      <c r="N187" s="90"/>
      <c r="O187" s="74"/>
      <c r="P187" s="75"/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/>
      <c r="I190" s="84"/>
      <c r="J190" s="17"/>
      <c r="K190" s="85"/>
      <c r="L190" s="86"/>
      <c r="M190" s="72"/>
      <c r="N190" s="90"/>
      <c r="O190" s="74"/>
      <c r="P190" s="75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/>
      <c r="I191" s="68"/>
      <c r="J191" s="69"/>
      <c r="K191" s="87"/>
      <c r="L191" s="71"/>
      <c r="M191" s="72"/>
      <c r="N191" s="90"/>
      <c r="O191" s="74"/>
      <c r="P191" s="75"/>
      <c r="Q191" s="41"/>
      <c r="R191" s="39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/>
      <c r="I192" s="84"/>
      <c r="J192" s="17"/>
      <c r="K192" s="85"/>
      <c r="L192" s="86"/>
      <c r="M192" s="72"/>
      <c r="N192" s="90"/>
      <c r="O192" s="74"/>
      <c r="P192" s="75"/>
      <c r="Q192" s="41"/>
      <c r="R192" s="39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/>
      <c r="I193" s="84"/>
      <c r="J193" s="17"/>
      <c r="K193" s="85"/>
      <c r="L193" s="86"/>
      <c r="M193" s="72"/>
      <c r="N193" s="90"/>
      <c r="O193" s="74"/>
      <c r="P193" s="75"/>
      <c r="Q193" s="41"/>
      <c r="R193" s="39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/>
      <c r="I194" s="84"/>
      <c r="J194" s="17"/>
      <c r="K194" s="85"/>
      <c r="L194" s="86"/>
      <c r="M194" s="72"/>
      <c r="N194" s="90"/>
      <c r="O194" s="74"/>
      <c r="P194" s="75"/>
      <c r="Q194" s="41"/>
      <c r="R194" s="39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/>
      <c r="I195" s="84"/>
      <c r="J195" s="17"/>
      <c r="K195" s="85"/>
      <c r="L195" s="86"/>
      <c r="M195" s="72"/>
      <c r="N195" s="90"/>
      <c r="O195" s="74"/>
      <c r="P195" s="94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/>
      <c r="I196" s="84"/>
      <c r="J196" s="17"/>
      <c r="K196" s="85"/>
      <c r="L196" s="86"/>
      <c r="M196" s="72"/>
      <c r="N196" s="90"/>
      <c r="O196" s="74"/>
      <c r="P196" s="94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/>
      <c r="I197" s="84"/>
      <c r="J197" s="17"/>
      <c r="K197" s="85"/>
      <c r="L197" s="86"/>
      <c r="M197" s="72"/>
      <c r="N197" s="90"/>
      <c r="O197" s="74"/>
      <c r="P197" s="75"/>
      <c r="Q197" s="41"/>
      <c r="R197" s="39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/>
      <c r="I198" s="84"/>
      <c r="J198" s="17"/>
      <c r="K198" s="85"/>
      <c r="L198" s="86"/>
      <c r="M198" s="72"/>
      <c r="N198" s="90"/>
      <c r="O198" s="74"/>
      <c r="P198" s="75"/>
      <c r="Q198" s="41"/>
      <c r="R198" s="39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/>
      <c r="I199" s="84"/>
      <c r="J199" s="17"/>
      <c r="K199" s="85"/>
      <c r="L199" s="86"/>
      <c r="M199" s="72"/>
      <c r="N199" s="90"/>
      <c r="O199" s="74"/>
      <c r="P199" s="75"/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/>
      <c r="I200" s="84"/>
      <c r="J200" s="17"/>
      <c r="K200" s="85"/>
      <c r="L200" s="86"/>
      <c r="M200" s="72"/>
      <c r="N200" s="90"/>
      <c r="O200" s="74"/>
      <c r="P200" s="75"/>
      <c r="Q200" s="41"/>
      <c r="R200" s="39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/>
      <c r="I201" s="84"/>
      <c r="J201" s="17"/>
      <c r="K201" s="85"/>
      <c r="L201" s="86"/>
      <c r="M201" s="72"/>
      <c r="N201" s="90"/>
      <c r="O201" s="74"/>
      <c r="P201" s="75"/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/>
      <c r="I202" s="84"/>
      <c r="J202" s="17"/>
      <c r="K202" s="85"/>
      <c r="L202" s="86"/>
      <c r="M202" s="72"/>
      <c r="N202" s="90"/>
      <c r="O202" s="74"/>
      <c r="P202" s="75"/>
      <c r="Q202" s="41"/>
      <c r="R202" s="39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/>
      <c r="I203" s="84"/>
      <c r="J203" s="17"/>
      <c r="K203" s="85"/>
      <c r="L203" s="86"/>
      <c r="M203" s="72"/>
      <c r="N203" s="90"/>
      <c r="O203" s="74"/>
      <c r="P203" s="75"/>
      <c r="Q203" s="41"/>
      <c r="R203" s="39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/>
      <c r="I204" s="84"/>
      <c r="J204" s="17"/>
      <c r="K204" s="85"/>
      <c r="L204" s="86"/>
      <c r="M204" s="72"/>
      <c r="N204" s="90"/>
      <c r="O204" s="74"/>
      <c r="P204" s="75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/>
      <c r="I205" s="84"/>
      <c r="J205" s="17"/>
      <c r="K205" s="85"/>
      <c r="L205" s="86"/>
      <c r="M205" s="72"/>
      <c r="N205" s="90"/>
      <c r="O205" s="74"/>
      <c r="P205" s="75"/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/>
      <c r="I206" s="84"/>
      <c r="J206" s="17"/>
      <c r="K206" s="85"/>
      <c r="L206" s="86"/>
      <c r="M206" s="72"/>
      <c r="N206" s="90"/>
      <c r="O206" s="74"/>
      <c r="P206" s="75"/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/>
      <c r="I207" s="84"/>
      <c r="J207" s="17"/>
      <c r="K207" s="85"/>
      <c r="L207" s="86"/>
      <c r="M207" s="72"/>
      <c r="N207" s="90"/>
      <c r="O207" s="74"/>
      <c r="P207" s="75"/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/>
      <c r="I208" s="84"/>
      <c r="J208" s="17"/>
      <c r="K208" s="85"/>
      <c r="L208" s="86"/>
      <c r="M208" s="72"/>
      <c r="N208" s="90"/>
      <c r="O208" s="74"/>
      <c r="P208" s="94"/>
      <c r="Q208" s="41"/>
      <c r="R208" s="39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/>
      <c r="I209" s="84"/>
      <c r="J209" s="17"/>
      <c r="K209" s="85"/>
      <c r="L209" s="86"/>
      <c r="M209" s="72"/>
      <c r="N209" s="90"/>
      <c r="O209" s="74"/>
      <c r="P209" s="75"/>
      <c r="Q209" s="41"/>
      <c r="R209" s="39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/>
      <c r="I210" s="84"/>
      <c r="J210" s="17"/>
      <c r="K210" s="85"/>
      <c r="L210" s="86"/>
      <c r="M210" s="72"/>
      <c r="N210" s="90"/>
      <c r="O210" s="74"/>
      <c r="P210" s="75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/>
      <c r="I211" s="84"/>
      <c r="J211" s="17"/>
      <c r="K211" s="85"/>
      <c r="L211" s="86"/>
      <c r="M211" s="72"/>
      <c r="N211" s="90"/>
      <c r="O211" s="74"/>
      <c r="P211" s="75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/>
      <c r="I212" s="84"/>
      <c r="J212" s="17"/>
      <c r="K212" s="85"/>
      <c r="L212" s="86"/>
      <c r="M212" s="72"/>
      <c r="N212" s="90"/>
      <c r="O212" s="74"/>
      <c r="P212" s="75"/>
      <c r="Q212" s="41"/>
      <c r="R212" s="39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/>
      <c r="I213" s="84"/>
      <c r="J213" s="17"/>
      <c r="K213" s="85"/>
      <c r="L213" s="86"/>
      <c r="M213" s="72"/>
      <c r="N213" s="90"/>
      <c r="O213" s="74"/>
      <c r="P213" s="75"/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/>
      <c r="I214" s="84"/>
      <c r="J214" s="17"/>
      <c r="K214" s="85"/>
      <c r="L214" s="86"/>
      <c r="M214" s="72"/>
      <c r="N214" s="90"/>
      <c r="O214" s="74"/>
      <c r="P214" s="75"/>
      <c r="Q214" s="41"/>
      <c r="R214" s="39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/>
      <c r="I215" s="68"/>
      <c r="J215" s="69"/>
      <c r="K215" s="85"/>
      <c r="L215" s="71"/>
      <c r="M215" s="72"/>
      <c r="N215" s="90"/>
      <c r="O215" s="74"/>
      <c r="P215" s="75"/>
      <c r="Q215" s="41"/>
      <c r="R215" s="39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/>
      <c r="I216" s="84"/>
      <c r="J216" s="17"/>
      <c r="K216" s="85"/>
      <c r="L216" s="86"/>
      <c r="M216" s="72"/>
      <c r="N216" s="90"/>
      <c r="O216" s="74"/>
      <c r="P216" s="75"/>
      <c r="Q216" s="41"/>
      <c r="R216" s="39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/>
      <c r="I217" s="84"/>
      <c r="J217" s="17"/>
      <c r="K217" s="85"/>
      <c r="L217" s="86"/>
      <c r="M217" s="72"/>
      <c r="N217" s="90"/>
      <c r="O217" s="74"/>
      <c r="P217" s="94"/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/>
      <c r="I218" s="84"/>
      <c r="J218" s="17"/>
      <c r="K218" s="85"/>
      <c r="L218" s="86"/>
      <c r="M218" s="72"/>
      <c r="N218" s="90"/>
      <c r="O218" s="74"/>
      <c r="P218" s="75"/>
      <c r="Q218" s="41"/>
      <c r="R218" s="39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/>
      <c r="I219" s="84"/>
      <c r="J219" s="17"/>
      <c r="K219" s="85"/>
      <c r="L219" s="86"/>
      <c r="M219" s="72"/>
      <c r="N219" s="19"/>
      <c r="O219" s="74"/>
      <c r="P219" s="75"/>
      <c r="Q219" s="41"/>
      <c r="R219" s="39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/>
      <c r="I220" s="84"/>
      <c r="J220" s="17"/>
      <c r="K220" s="85"/>
      <c r="L220" s="86"/>
      <c r="M220" s="72"/>
      <c r="N220" s="90"/>
      <c r="O220" s="74"/>
      <c r="P220" s="75"/>
      <c r="Q220" s="41"/>
      <c r="R220" s="39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/>
      <c r="I221" s="84"/>
      <c r="J221" s="17"/>
      <c r="K221" s="85"/>
      <c r="L221" s="86"/>
      <c r="M221" s="72"/>
      <c r="N221" s="90"/>
      <c r="O221" s="74"/>
      <c r="P221" s="75"/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/>
      <c r="I222" s="84"/>
      <c r="J222" s="17"/>
      <c r="K222" s="85"/>
      <c r="L222" s="86"/>
      <c r="M222" s="72"/>
      <c r="N222" s="90"/>
      <c r="O222" s="74"/>
      <c r="P222" s="75"/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5:AB3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0.38"/>
    <col customWidth="1" min="22" max="28" width="6.88"/>
  </cols>
  <sheetData>
    <row r="1" ht="48.75" customHeight="1">
      <c r="A1" s="1" t="s">
        <v>0</v>
      </c>
      <c r="B1" s="2"/>
      <c r="C1" s="3" t="s">
        <v>447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448</v>
      </c>
      <c r="D4" s="21"/>
      <c r="E4" s="20"/>
      <c r="F4" s="21"/>
      <c r="G4" s="23" t="s">
        <v>449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10833.78761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47962.48555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450</v>
      </c>
      <c r="D7" s="54" t="s">
        <v>16</v>
      </c>
      <c r="E7" s="29"/>
      <c r="F7" s="30"/>
      <c r="G7" s="55">
        <v>1.0</v>
      </c>
      <c r="H7" s="56">
        <v>45901.0</v>
      </c>
      <c r="I7" s="57" t="s">
        <v>451</v>
      </c>
      <c r="J7" s="58">
        <f>'2025年8月收支财务报表'!C25</f>
        <v>112330.7492</v>
      </c>
      <c r="K7" s="59"/>
      <c r="L7" s="60"/>
      <c r="M7" s="61" t="s">
        <v>20</v>
      </c>
      <c r="N7" s="62">
        <v>210.36</v>
      </c>
      <c r="O7" s="63" t="s">
        <v>275</v>
      </c>
      <c r="P7" s="64">
        <v>0.6145833333333334</v>
      </c>
      <c r="R7" s="39"/>
      <c r="S7" s="25">
        <f>SUMIF(M:M,"GT&amp;SHEN 欧洲户８＋１ 港60+5+1",N:N)</f>
        <v>77971.79</v>
      </c>
      <c r="T7" s="101" t="s">
        <v>452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45901.0</v>
      </c>
      <c r="I8" s="68"/>
      <c r="J8" s="69"/>
      <c r="K8" s="70"/>
      <c r="L8" s="71"/>
      <c r="M8" s="80" t="s">
        <v>20</v>
      </c>
      <c r="N8" s="19">
        <v>24.57</v>
      </c>
      <c r="O8" s="126" t="s">
        <v>453</v>
      </c>
      <c r="P8" s="94" t="s">
        <v>454</v>
      </c>
      <c r="R8" s="39"/>
      <c r="S8" s="25">
        <f>SUMIF(M:M,"志诚三不限",N:N)</f>
        <v>35281.28</v>
      </c>
      <c r="T8" s="101" t="s">
        <v>39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413986.8892</v>
      </c>
      <c r="D9" s="30"/>
      <c r="E9" s="29"/>
      <c r="F9" s="30"/>
      <c r="G9" s="66">
        <v>3.0</v>
      </c>
      <c r="H9" s="56">
        <v>45901.0</v>
      </c>
      <c r="I9" s="68"/>
      <c r="J9" s="69"/>
      <c r="K9" s="70"/>
      <c r="L9" s="71"/>
      <c r="M9" s="61" t="s">
        <v>20</v>
      </c>
      <c r="N9" s="19">
        <v>26.25</v>
      </c>
      <c r="O9" s="126" t="s">
        <v>455</v>
      </c>
      <c r="P9" s="75">
        <v>0.7138888888888889</v>
      </c>
      <c r="R9" s="39"/>
      <c r="S9" s="25">
        <f>SUMIF(M:M,"海总新渠道",N:N)</f>
        <v>1110</v>
      </c>
      <c r="T9" s="101" t="s">
        <v>50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45901.0</v>
      </c>
      <c r="I10" s="68" t="s">
        <v>456</v>
      </c>
      <c r="J10" s="69">
        <v>840.0</v>
      </c>
      <c r="K10" s="70" t="s">
        <v>155</v>
      </c>
      <c r="L10" s="71">
        <v>0.8201388888888889</v>
      </c>
      <c r="M10" s="72" t="s">
        <v>452</v>
      </c>
      <c r="N10" s="90">
        <v>540.0</v>
      </c>
      <c r="O10" s="74" t="s">
        <v>457</v>
      </c>
      <c r="P10" s="75">
        <v>0.8631944444444445</v>
      </c>
      <c r="R10" s="39"/>
      <c r="S10" s="25">
        <f>SUMIF(M:M,"印度户印尼企业户",N:N)</f>
        <v>90763.63</v>
      </c>
      <c r="T10" s="101" t="s">
        <v>47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394753.4692</v>
      </c>
      <c r="D11" s="30"/>
      <c r="E11" s="29"/>
      <c r="F11" s="30"/>
      <c r="G11" s="66">
        <v>5.0</v>
      </c>
      <c r="H11" s="56">
        <v>45901.0</v>
      </c>
      <c r="I11" s="68"/>
      <c r="J11" s="69"/>
      <c r="K11" s="70"/>
      <c r="L11" s="71"/>
      <c r="M11" s="80" t="s">
        <v>39</v>
      </c>
      <c r="N11" s="90">
        <v>2058.46</v>
      </c>
      <c r="O11" s="74" t="s">
        <v>458</v>
      </c>
      <c r="P11" s="75">
        <v>0.9576388888888889</v>
      </c>
      <c r="R11" s="39"/>
      <c r="S11" s="25">
        <f>SUMIF(M:M,"路人互动",N:N)</f>
        <v>15002.96</v>
      </c>
      <c r="T11" s="101" t="s">
        <v>36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45902.0</v>
      </c>
      <c r="I12" s="84"/>
      <c r="J12" s="17"/>
      <c r="K12" s="85"/>
      <c r="L12" s="86"/>
      <c r="M12" s="80" t="s">
        <v>50</v>
      </c>
      <c r="N12" s="90">
        <v>1110.0</v>
      </c>
      <c r="O12" s="74"/>
      <c r="P12" s="75">
        <v>0.49722222222222223</v>
      </c>
      <c r="R12" s="39"/>
      <c r="S12" s="25">
        <f>SUMIF(M:M,"Vcc-102524 服务费1（泰华）",N:N)</f>
        <v>404</v>
      </c>
      <c r="T12" s="101" t="s">
        <v>264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19233.42</v>
      </c>
      <c r="D13" s="30"/>
      <c r="E13" s="29"/>
      <c r="F13" s="30"/>
      <c r="G13" s="66">
        <v>7.0</v>
      </c>
      <c r="H13" s="67">
        <v>45902.0</v>
      </c>
      <c r="I13" s="68"/>
      <c r="J13" s="69"/>
      <c r="K13" s="87"/>
      <c r="L13" s="71"/>
      <c r="M13" s="72" t="s">
        <v>20</v>
      </c>
      <c r="N13" s="90">
        <v>59.0</v>
      </c>
      <c r="O13" s="74" t="s">
        <v>459</v>
      </c>
      <c r="P13" s="75">
        <v>0.54375</v>
      </c>
      <c r="Q13" s="41"/>
      <c r="R13" s="39"/>
      <c r="S13" s="25">
        <f>SUMIF(M:M,"印度企业户 欧洲美金户",N:N)</f>
        <v>1056.3</v>
      </c>
      <c r="T13" s="101" t="s">
        <v>339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45902.0</v>
      </c>
      <c r="I14" s="68"/>
      <c r="J14" s="69"/>
      <c r="K14" s="70"/>
      <c r="L14" s="71"/>
      <c r="M14" s="72" t="s">
        <v>20</v>
      </c>
      <c r="N14" s="90">
        <v>288.86</v>
      </c>
      <c r="O14" s="74" t="s">
        <v>453</v>
      </c>
      <c r="P14" s="75">
        <v>0.6763888888888889</v>
      </c>
      <c r="R14" s="39"/>
      <c r="S14" s="25">
        <f>SUMIF(M:M,"凤凰渠道-泰华",N:N)</f>
        <v>14511.09</v>
      </c>
      <c r="T14" s="101" t="s">
        <v>75</v>
      </c>
      <c r="U14" s="76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45902.0</v>
      </c>
      <c r="I15" s="84"/>
      <c r="J15" s="17"/>
      <c r="K15" s="85"/>
      <c r="L15" s="86"/>
      <c r="M15" s="72" t="s">
        <v>14</v>
      </c>
      <c r="N15" s="90">
        <v>60.0</v>
      </c>
      <c r="O15" s="74" t="s">
        <v>460</v>
      </c>
      <c r="P15" s="75">
        <v>0.6847222222222222</v>
      </c>
      <c r="R15" s="39"/>
      <c r="S15" s="25">
        <f>SUMIF(M:M,"海总-黑泽",N:N)</f>
        <v>4423.2</v>
      </c>
      <c r="T15" s="101" t="s">
        <v>57</v>
      </c>
      <c r="U15" s="40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45902.0</v>
      </c>
      <c r="I16" s="68"/>
      <c r="J16" s="69"/>
      <c r="K16" s="87"/>
      <c r="L16" s="71"/>
      <c r="M16" s="72" t="s">
        <v>20</v>
      </c>
      <c r="N16" s="90">
        <v>500.0</v>
      </c>
      <c r="O16" s="74" t="s">
        <v>382</v>
      </c>
      <c r="P16" s="75">
        <v>0.6979166666666666</v>
      </c>
      <c r="R16" s="39"/>
      <c r="S16" s="25">
        <f>SUMIF(M:M,"Alex &amp; Doris_谷歌户",N:N)</f>
        <v>1110</v>
      </c>
      <c r="T16" s="101" t="s">
        <v>163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45902.0</v>
      </c>
      <c r="I17" s="68"/>
      <c r="J17" s="69"/>
      <c r="K17" s="70"/>
      <c r="L17" s="88"/>
      <c r="M17" s="72" t="s">
        <v>20</v>
      </c>
      <c r="N17" s="146">
        <v>34.285</v>
      </c>
      <c r="O17" s="126" t="s">
        <v>461</v>
      </c>
      <c r="P17" s="75">
        <v>0.7277777777777777</v>
      </c>
      <c r="R17" s="39"/>
      <c r="S17" s="25">
        <f>SUMIF(M:M,"wade shen 美金谷歌户25+5%",N:N)</f>
        <v>1247.5</v>
      </c>
      <c r="T17" s="101" t="s">
        <v>157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45902.0</v>
      </c>
      <c r="I18" s="68"/>
      <c r="J18" s="69"/>
      <c r="K18" s="92"/>
      <c r="L18" s="88"/>
      <c r="M18" s="72" t="s">
        <v>20</v>
      </c>
      <c r="N18" s="19">
        <v>20.0</v>
      </c>
      <c r="O18" s="126" t="s">
        <v>462</v>
      </c>
      <c r="P18" s="75">
        <v>0.7333333333333333</v>
      </c>
      <c r="R18" s="39"/>
      <c r="S18" s="25">
        <f>SUMIF(M:M,"GT二不限",N:N)</f>
        <v>1765.12</v>
      </c>
      <c r="T18" s="101" t="s">
        <v>463</v>
      </c>
      <c r="U18" s="76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45902.0</v>
      </c>
      <c r="I19" s="68"/>
      <c r="J19" s="69"/>
      <c r="K19" s="70"/>
      <c r="L19" s="71"/>
      <c r="M19" s="80" t="s">
        <v>464</v>
      </c>
      <c r="N19" s="90">
        <v>3960.0</v>
      </c>
      <c r="O19" s="74" t="s">
        <v>155</v>
      </c>
      <c r="P19" s="94" t="s">
        <v>465</v>
      </c>
      <c r="R19" s="39"/>
      <c r="S19" s="25">
        <f>SUMIF(M:M,"谷歌户（阿水）",N:N)</f>
        <v>300</v>
      </c>
      <c r="T19" s="101" t="s">
        <v>466</v>
      </c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45902.0</v>
      </c>
      <c r="I20" s="68"/>
      <c r="J20" s="69"/>
      <c r="K20" s="70"/>
      <c r="L20" s="88"/>
      <c r="M20" s="72" t="s">
        <v>39</v>
      </c>
      <c r="N20" s="90">
        <v>3062.1</v>
      </c>
      <c r="O20" s="74" t="s">
        <v>467</v>
      </c>
      <c r="P20" s="75">
        <v>0.9993055555555556</v>
      </c>
      <c r="R20" s="39"/>
      <c r="S20" s="25">
        <f>SUMIF(M:M,"6% 海外户",N:N)</f>
        <v>455.84</v>
      </c>
      <c r="T20" s="101" t="s">
        <v>330</v>
      </c>
    </row>
    <row r="21" ht="27.75" customHeight="1">
      <c r="A21" s="29"/>
      <c r="B21" s="30"/>
      <c r="C21" s="77">
        <f>SUMIFS(J:J,H:H,"&gt;="&amp;$C$17,H:H,"&lt;="&amp;$C$19)</f>
        <v>413986.8892</v>
      </c>
      <c r="D21" s="30"/>
      <c r="E21" s="29"/>
      <c r="F21" s="30"/>
      <c r="G21" s="66">
        <v>15.0</v>
      </c>
      <c r="H21" s="67">
        <v>45903.0</v>
      </c>
      <c r="I21" s="68"/>
      <c r="J21" s="69"/>
      <c r="K21" s="70"/>
      <c r="L21" s="71"/>
      <c r="M21" s="72" t="s">
        <v>20</v>
      </c>
      <c r="N21" s="90">
        <v>59.0</v>
      </c>
      <c r="O21" s="74" t="s">
        <v>468</v>
      </c>
      <c r="P21" s="75">
        <v>0.5319444444444444</v>
      </c>
      <c r="R21" s="39"/>
      <c r="S21" s="25">
        <f>SUMIF(M:M,"深圳芳林子",N:N)</f>
        <v>3454.2</v>
      </c>
      <c r="T21" s="101" t="s">
        <v>469</v>
      </c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45903.0</v>
      </c>
      <c r="I22" s="68"/>
      <c r="J22" s="69"/>
      <c r="K22" s="70"/>
      <c r="L22" s="71"/>
      <c r="M22" s="72" t="s">
        <v>47</v>
      </c>
      <c r="N22" s="90">
        <v>8499.15</v>
      </c>
      <c r="O22" s="74" t="s">
        <v>470</v>
      </c>
      <c r="P22" s="75">
        <v>0.5340277777777778</v>
      </c>
      <c r="R22" s="39"/>
      <c r="S22" s="25">
        <f>SUMIF(M:M,"二不限企业户",N:N)</f>
        <v>820</v>
      </c>
      <c r="T22" s="101" t="s">
        <v>111</v>
      </c>
    </row>
    <row r="23" ht="27.75" customHeight="1">
      <c r="A23" s="29"/>
      <c r="B23" s="30"/>
      <c r="C23" s="79">
        <f>SUMIFS(N:N,H:H,"&gt;="&amp;$C$17,H:H,"&lt;="&amp;$C$19)</f>
        <v>394753.4692</v>
      </c>
      <c r="D23" s="30"/>
      <c r="E23" s="29"/>
      <c r="F23" s="30"/>
      <c r="G23" s="66">
        <v>17.0</v>
      </c>
      <c r="H23" s="67">
        <v>45903.0</v>
      </c>
      <c r="I23" s="68"/>
      <c r="J23" s="69"/>
      <c r="K23" s="93"/>
      <c r="L23" s="71"/>
      <c r="M23" s="72" t="s">
        <v>20</v>
      </c>
      <c r="N23" s="90">
        <v>10.0369</v>
      </c>
      <c r="O23" s="74" t="s">
        <v>471</v>
      </c>
      <c r="P23" s="75">
        <v>0.55625</v>
      </c>
      <c r="R23" s="39"/>
      <c r="S23" s="25">
        <f>SUMIF(M:M,"华飞-Alex（三不限）8+千分6",N:N)</f>
        <v>334.596</v>
      </c>
      <c r="T23" s="101" t="s">
        <v>154</v>
      </c>
      <c r="U23" s="76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45903.0</v>
      </c>
      <c r="I24" s="68"/>
      <c r="J24" s="69"/>
      <c r="K24" s="70"/>
      <c r="L24" s="88"/>
      <c r="M24" s="72" t="s">
        <v>14</v>
      </c>
      <c r="N24" s="90">
        <v>10000.0</v>
      </c>
      <c r="O24" s="74" t="s">
        <v>120</v>
      </c>
      <c r="P24" s="75">
        <v>0.5611111111111111</v>
      </c>
      <c r="R24" s="39"/>
      <c r="S24" s="25">
        <f>SUMIF(M:M,"Y-5208 FB欧/美户",N:N)</f>
        <v>2260</v>
      </c>
      <c r="T24" s="101" t="s">
        <v>30</v>
      </c>
      <c r="V24" s="40"/>
      <c r="W24" s="76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19233.42</v>
      </c>
      <c r="D25" s="30"/>
      <c r="E25" s="29"/>
      <c r="F25" s="30"/>
      <c r="G25" s="66">
        <v>19.0</v>
      </c>
      <c r="H25" s="67">
        <v>45903.0</v>
      </c>
      <c r="I25" s="68"/>
      <c r="J25" s="69"/>
      <c r="K25" s="85"/>
      <c r="L25" s="88"/>
      <c r="M25" s="72" t="s">
        <v>14</v>
      </c>
      <c r="N25" s="90">
        <v>10000.0</v>
      </c>
      <c r="O25" s="74" t="s">
        <v>472</v>
      </c>
      <c r="P25" s="94" t="s">
        <v>473</v>
      </c>
      <c r="R25" s="39"/>
      <c r="S25" s="25">
        <f>SUMIF(M:M,"三不限美国户-8%小鱼",N:N)</f>
        <v>1080</v>
      </c>
      <c r="T25" s="101" t="s">
        <v>268</v>
      </c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45903.0</v>
      </c>
      <c r="I26" s="68"/>
      <c r="J26" s="69"/>
      <c r="K26" s="70"/>
      <c r="L26" s="88"/>
      <c r="M26" s="72" t="s">
        <v>20</v>
      </c>
      <c r="N26" s="90">
        <v>9.98</v>
      </c>
      <c r="O26" s="74" t="s">
        <v>474</v>
      </c>
      <c r="P26" s="75">
        <v>0.65</v>
      </c>
      <c r="R26" s="39"/>
      <c r="S26" s="25">
        <f>SUMIF(M:M,"潘安户",N:N)</f>
        <v>218.16</v>
      </c>
      <c r="T26" s="101" t="s">
        <v>342</v>
      </c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45903.0</v>
      </c>
      <c r="I27" s="68" t="s">
        <v>173</v>
      </c>
      <c r="J27" s="69">
        <v>55.7</v>
      </c>
      <c r="K27" s="70" t="s">
        <v>155</v>
      </c>
      <c r="L27" s="71">
        <v>0.9284722222222223</v>
      </c>
      <c r="M27" s="72"/>
      <c r="N27" s="19"/>
      <c r="O27" s="74"/>
      <c r="P27" s="75"/>
      <c r="R27" s="39"/>
      <c r="S27" s="25">
        <f>SUMIF(M:M,"企业户",N:N)</f>
        <v>152.53</v>
      </c>
      <c r="T27" s="101" t="s">
        <v>475</v>
      </c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45904.0</v>
      </c>
      <c r="I28" s="68" t="s">
        <v>476</v>
      </c>
      <c r="J28" s="69">
        <v>3960.0</v>
      </c>
      <c r="K28" s="70" t="s">
        <v>477</v>
      </c>
      <c r="L28" s="71">
        <v>0.03333333333333333</v>
      </c>
      <c r="M28" s="72" t="s">
        <v>20</v>
      </c>
      <c r="N28" s="90">
        <v>118.0</v>
      </c>
      <c r="O28" s="74" t="s">
        <v>478</v>
      </c>
      <c r="P28" s="75">
        <v>0.4930555555555556</v>
      </c>
      <c r="Q28" s="41"/>
      <c r="R28" s="39"/>
      <c r="S28" s="25">
        <f>SUMIF(M:M,"Jay",N:N)</f>
        <v>9600</v>
      </c>
      <c r="T28" s="101" t="s">
        <v>479</v>
      </c>
      <c r="U28" s="76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45904.0</v>
      </c>
      <c r="I29" s="68" t="s">
        <v>480</v>
      </c>
      <c r="J29" s="69">
        <v>481.56</v>
      </c>
      <c r="K29" s="70" t="s">
        <v>155</v>
      </c>
      <c r="L29" s="71">
        <v>0.5770833333333333</v>
      </c>
      <c r="M29" s="80" t="s">
        <v>20</v>
      </c>
      <c r="N29" s="90" t="s">
        <v>481</v>
      </c>
      <c r="O29" s="74" t="s">
        <v>482</v>
      </c>
      <c r="P29" s="75">
        <v>0.6305555555555555</v>
      </c>
      <c r="R29" s="39"/>
      <c r="S29" s="25">
        <f>SUMIF(M:M,"岳总",N:N)</f>
        <v>42920</v>
      </c>
      <c r="T29" s="101" t="s">
        <v>81</v>
      </c>
      <c r="U29" s="7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45904.0</v>
      </c>
      <c r="I30" s="68"/>
      <c r="J30" s="69"/>
      <c r="K30" s="85"/>
      <c r="L30" s="88"/>
      <c r="M30" s="72" t="s">
        <v>452</v>
      </c>
      <c r="N30" s="90">
        <v>218.0</v>
      </c>
      <c r="O30" s="74" t="s">
        <v>445</v>
      </c>
      <c r="P30" s="75">
        <v>0.6791666666666667</v>
      </c>
      <c r="R30" s="39"/>
      <c r="S30" s="25">
        <f>SUMIF(M:M,"晨",N:N)</f>
        <v>5250</v>
      </c>
      <c r="T30" s="101" t="s">
        <v>483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45904.0</v>
      </c>
      <c r="I31" s="68" t="s">
        <v>484</v>
      </c>
      <c r="J31" s="69">
        <v>695.49</v>
      </c>
      <c r="K31" s="70" t="s">
        <v>155</v>
      </c>
      <c r="L31" s="88" t="s">
        <v>371</v>
      </c>
      <c r="M31" s="72"/>
      <c r="N31" s="19"/>
      <c r="O31" s="74"/>
      <c r="P31" s="75"/>
      <c r="R31" s="39"/>
      <c r="S31" s="25">
        <f>SUMIF(M:M,"意大利3期",N:N)</f>
        <v>20505</v>
      </c>
      <c r="T31" s="101" t="s">
        <v>485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45904.0</v>
      </c>
      <c r="I32" s="68" t="s">
        <v>476</v>
      </c>
      <c r="J32" s="69">
        <v>2090.0</v>
      </c>
      <c r="K32" s="70" t="s">
        <v>486</v>
      </c>
      <c r="L32" s="88" t="s">
        <v>487</v>
      </c>
      <c r="M32" s="72" t="s">
        <v>39</v>
      </c>
      <c r="N32" s="90">
        <v>3352.29</v>
      </c>
      <c r="O32" s="74" t="s">
        <v>488</v>
      </c>
      <c r="P32" s="94" t="s">
        <v>489</v>
      </c>
      <c r="R32" s="39"/>
      <c r="S32" s="25">
        <f>SUMIF(M:M,"渠道L 英文L 马来",N:N)</f>
        <v>3960</v>
      </c>
      <c r="T32" s="101" t="s">
        <v>464</v>
      </c>
      <c r="U32" s="76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45905.0</v>
      </c>
      <c r="I33" s="68" t="s">
        <v>476</v>
      </c>
      <c r="J33" s="69">
        <v>2200.0</v>
      </c>
      <c r="K33" s="70" t="s">
        <v>490</v>
      </c>
      <c r="L33" s="71">
        <v>0.5131944444444444</v>
      </c>
      <c r="M33" s="72" t="s">
        <v>14</v>
      </c>
      <c r="N33" s="19">
        <v>3511.8188833333334</v>
      </c>
      <c r="O33" s="74" t="s">
        <v>117</v>
      </c>
      <c r="P33" s="75">
        <v>0.6326388888888889</v>
      </c>
      <c r="R33" s="39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45905.0</v>
      </c>
      <c r="I34" s="68" t="s">
        <v>491</v>
      </c>
      <c r="J34" s="69">
        <v>576.0</v>
      </c>
      <c r="K34" s="70"/>
      <c r="L34" s="71">
        <v>0.6333333333333333</v>
      </c>
      <c r="M34" s="72" t="s">
        <v>14</v>
      </c>
      <c r="N34" s="146">
        <v>1800.0</v>
      </c>
      <c r="O34" s="74" t="s">
        <v>117</v>
      </c>
      <c r="P34" s="75">
        <v>0.6361111111111111</v>
      </c>
      <c r="Q34" s="41"/>
      <c r="R34" s="39"/>
      <c r="S34" s="103">
        <f>SUM(S4:S32)</f>
        <v>394753.4692</v>
      </c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45905.0</v>
      </c>
      <c r="I35" s="68"/>
      <c r="J35" s="69"/>
      <c r="K35" s="70"/>
      <c r="L35" s="71"/>
      <c r="M35" s="72" t="s">
        <v>14</v>
      </c>
      <c r="N35" s="146">
        <v>1263.9555555555555</v>
      </c>
      <c r="O35" s="74" t="s">
        <v>117</v>
      </c>
      <c r="P35" s="75">
        <v>0.6388888888888888</v>
      </c>
      <c r="R35" s="39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45905.0</v>
      </c>
      <c r="I36" s="68"/>
      <c r="J36" s="69"/>
      <c r="K36" s="70"/>
      <c r="L36" s="71"/>
      <c r="M36" s="72" t="s">
        <v>14</v>
      </c>
      <c r="N36" s="146">
        <v>2002.0444444444447</v>
      </c>
      <c r="O36" s="96" t="s">
        <v>117</v>
      </c>
      <c r="P36" s="99">
        <v>0.6416666666666667</v>
      </c>
      <c r="Q36" s="100"/>
      <c r="R36" s="39"/>
      <c r="S36" s="106" t="s">
        <v>97</v>
      </c>
      <c r="T36" s="107"/>
      <c r="U36" s="107"/>
      <c r="V36" s="107"/>
      <c r="W36" s="107"/>
      <c r="X36" s="107"/>
      <c r="Y36" s="107"/>
      <c r="Z36" s="107"/>
      <c r="AA36" s="107"/>
      <c r="AB36" s="108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45905.0</v>
      </c>
      <c r="I37" s="68"/>
      <c r="J37" s="69"/>
      <c r="K37" s="85"/>
      <c r="L37" s="86"/>
      <c r="M37" s="72" t="s">
        <v>14</v>
      </c>
      <c r="N37" s="146">
        <v>555.5555555555555</v>
      </c>
      <c r="O37" s="96" t="s">
        <v>117</v>
      </c>
      <c r="P37" s="99">
        <v>0.6430555555555556</v>
      </c>
      <c r="Q37" s="100"/>
      <c r="R37" s="39"/>
      <c r="S37" s="40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45905.0</v>
      </c>
      <c r="I38" s="68"/>
      <c r="J38" s="69"/>
      <c r="K38" s="85"/>
      <c r="L38" s="86"/>
      <c r="M38" s="72" t="s">
        <v>14</v>
      </c>
      <c r="N38" s="146">
        <v>695.5555555555555</v>
      </c>
      <c r="O38" s="96" t="s">
        <v>117</v>
      </c>
      <c r="P38" s="99">
        <v>0.6451388888888889</v>
      </c>
      <c r="R38" s="39"/>
      <c r="S38" s="109">
        <f>SUMIF(I:I,"西班牙大区1组资源-张小强",J:J)</f>
        <v>9680</v>
      </c>
      <c r="T38" s="26" t="s">
        <v>476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45905.0</v>
      </c>
      <c r="I39" s="68"/>
      <c r="J39" s="69"/>
      <c r="K39" s="70"/>
      <c r="L39" s="71"/>
      <c r="M39" s="72" t="s">
        <v>14</v>
      </c>
      <c r="N39" s="146">
        <v>555.5555555555555</v>
      </c>
      <c r="O39" s="96" t="s">
        <v>117</v>
      </c>
      <c r="P39" s="99">
        <v>0.6458333333333334</v>
      </c>
      <c r="Q39" s="100"/>
      <c r="R39" s="39"/>
      <c r="S39" s="109">
        <f>SUMIF(I:I,"拉总（印度）",J:J)</f>
        <v>576</v>
      </c>
      <c r="T39" s="26" t="s">
        <v>491</v>
      </c>
      <c r="U39" s="76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45905.0</v>
      </c>
      <c r="I40" s="68"/>
      <c r="J40" s="69"/>
      <c r="K40" s="70"/>
      <c r="L40" s="88"/>
      <c r="M40" s="72" t="s">
        <v>14</v>
      </c>
      <c r="N40" s="146">
        <v>5000.0</v>
      </c>
      <c r="O40" s="96" t="s">
        <v>117</v>
      </c>
      <c r="P40" s="99">
        <v>0.6472222222222223</v>
      </c>
      <c r="Q40" s="100"/>
      <c r="R40" s="39"/>
      <c r="S40" s="109">
        <f>SUMIF(I:I,"白马4期",J:J)</f>
        <v>60000</v>
      </c>
      <c r="T40" s="26" t="s">
        <v>263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45905.0</v>
      </c>
      <c r="I41" s="68"/>
      <c r="J41" s="69"/>
      <c r="K41" s="70"/>
      <c r="L41" s="88"/>
      <c r="M41" s="72" t="s">
        <v>485</v>
      </c>
      <c r="N41" s="90">
        <v>20505.0</v>
      </c>
      <c r="O41" s="96" t="s">
        <v>155</v>
      </c>
      <c r="P41" s="99">
        <v>0.65625</v>
      </c>
      <c r="R41" s="39"/>
      <c r="S41" s="109">
        <f>SUMIF(I:I,"渠道BF 新加坡L",J:J)</f>
        <v>2700</v>
      </c>
      <c r="T41" s="26" t="s">
        <v>492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45905.0</v>
      </c>
      <c r="I42" s="68"/>
      <c r="J42" s="69"/>
      <c r="K42" s="70"/>
      <c r="L42" s="71"/>
      <c r="M42" s="72" t="s">
        <v>20</v>
      </c>
      <c r="N42" s="90">
        <v>89.0</v>
      </c>
      <c r="O42" s="96" t="s">
        <v>493</v>
      </c>
      <c r="P42" s="140" t="s">
        <v>494</v>
      </c>
      <c r="R42" s="39"/>
      <c r="S42" s="109">
        <f>SUMIF(I:I,"印度18期",J:J)</f>
        <v>123944</v>
      </c>
      <c r="T42" s="26" t="s">
        <v>495</v>
      </c>
      <c r="U42" s="11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45905.0</v>
      </c>
      <c r="I43" s="68" t="s">
        <v>496</v>
      </c>
      <c r="J43" s="69">
        <v>5535.0</v>
      </c>
      <c r="K43" s="87"/>
      <c r="L43" s="71">
        <v>0.6881944444444444</v>
      </c>
      <c r="M43" s="72"/>
      <c r="N43" s="90"/>
      <c r="O43" s="96"/>
      <c r="P43" s="99"/>
      <c r="Q43" s="100"/>
      <c r="R43" s="39"/>
      <c r="S43" s="109">
        <f>SUMIF(I:I,"2009意大利",J:J)</f>
        <v>2260</v>
      </c>
      <c r="T43" s="26" t="s">
        <v>497</v>
      </c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45905.0</v>
      </c>
      <c r="I44" s="68" t="s">
        <v>497</v>
      </c>
      <c r="J44" s="69">
        <v>2260.0</v>
      </c>
      <c r="K44" s="70" t="s">
        <v>498</v>
      </c>
      <c r="L44" s="71">
        <v>0.8055555555555556</v>
      </c>
      <c r="M44" s="147"/>
      <c r="N44" s="19"/>
      <c r="O44" s="148"/>
      <c r="P44" s="140"/>
      <c r="R44" s="39"/>
      <c r="S44" s="109">
        <f>SUMIF(I:I,"意大利3期",J:J)</f>
        <v>4485</v>
      </c>
      <c r="T44" s="26" t="s">
        <v>485</v>
      </c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45906.0</v>
      </c>
      <c r="I45" s="68"/>
      <c r="J45" s="69"/>
      <c r="K45" s="85"/>
      <c r="L45" s="71"/>
      <c r="M45" s="72" t="s">
        <v>47</v>
      </c>
      <c r="N45" s="90">
        <v>4221.41</v>
      </c>
      <c r="O45" s="96" t="s">
        <v>499</v>
      </c>
      <c r="P45" s="99">
        <v>0.5604166666666667</v>
      </c>
      <c r="R45" s="39"/>
      <c r="S45" s="109">
        <f>SUMIF(I:I,"2011意大利",J:J)</f>
        <v>2145</v>
      </c>
      <c r="T45" s="26" t="s">
        <v>500</v>
      </c>
      <c r="U45" s="76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45906.0</v>
      </c>
      <c r="I46" s="68"/>
      <c r="J46" s="69"/>
      <c r="K46" s="85"/>
      <c r="L46" s="88"/>
      <c r="M46" s="72" t="s">
        <v>36</v>
      </c>
      <c r="N46" s="90">
        <v>575.0</v>
      </c>
      <c r="O46" s="74" t="s">
        <v>501</v>
      </c>
      <c r="P46" s="75">
        <v>0.6340277777777777</v>
      </c>
      <c r="R46" s="39"/>
      <c r="S46" s="109">
        <f>SUMIF(I:I,"马来英语粉",J:J)</f>
        <v>20000</v>
      </c>
      <c r="T46" s="26" t="s">
        <v>502</v>
      </c>
      <c r="U46" s="76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45907.0</v>
      </c>
      <c r="I47" s="68" t="s">
        <v>263</v>
      </c>
      <c r="J47" s="69">
        <v>30000.0</v>
      </c>
      <c r="K47" s="70"/>
      <c r="L47" s="71">
        <v>0.6506944444444445</v>
      </c>
      <c r="M47" s="72"/>
      <c r="N47" s="90"/>
      <c r="O47" s="74"/>
      <c r="P47" s="94"/>
      <c r="R47" s="39"/>
      <c r="S47" s="109">
        <f>SUMIF(I:I,"日本 FB人设",J:J)</f>
        <v>59000</v>
      </c>
      <c r="T47" s="26" t="s">
        <v>503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45907.0</v>
      </c>
      <c r="I48" s="68"/>
      <c r="J48" s="69"/>
      <c r="K48" s="70"/>
      <c r="L48" s="71"/>
      <c r="M48" s="72" t="s">
        <v>20</v>
      </c>
      <c r="N48" s="90">
        <v>225.0</v>
      </c>
      <c r="O48" s="74" t="s">
        <v>45</v>
      </c>
      <c r="P48" s="94" t="s">
        <v>336</v>
      </c>
      <c r="R48" s="39"/>
      <c r="S48" s="109">
        <f>SUMIF(I:I,"尼日利亚",J:J)</f>
        <v>200</v>
      </c>
      <c r="T48" s="26" t="s">
        <v>504</v>
      </c>
      <c r="U48" s="76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45908.0</v>
      </c>
      <c r="I49" s="68"/>
      <c r="J49" s="69"/>
      <c r="K49" s="70"/>
      <c r="L49" s="71"/>
      <c r="M49" s="72" t="s">
        <v>20</v>
      </c>
      <c r="N49" s="90">
        <v>500.0</v>
      </c>
      <c r="O49" s="74" t="s">
        <v>382</v>
      </c>
      <c r="P49" s="75">
        <v>0.5979166666666667</v>
      </c>
      <c r="R49" s="39"/>
      <c r="S49" s="109"/>
      <c r="T49" s="26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45908.0</v>
      </c>
      <c r="I50" s="68"/>
      <c r="J50" s="69"/>
      <c r="K50" s="85"/>
      <c r="L50" s="71"/>
      <c r="M50" s="72" t="s">
        <v>20</v>
      </c>
      <c r="N50" s="90">
        <v>59.0</v>
      </c>
      <c r="O50" s="74" t="s">
        <v>459</v>
      </c>
      <c r="P50" s="75">
        <v>0.6048611111111111</v>
      </c>
      <c r="R50" s="39"/>
      <c r="S50" s="109"/>
      <c r="T50" s="26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45908.0</v>
      </c>
      <c r="I51" s="68"/>
      <c r="J51" s="69"/>
      <c r="K51" s="87"/>
      <c r="L51" s="71"/>
      <c r="M51" s="72" t="s">
        <v>36</v>
      </c>
      <c r="N51" s="90">
        <v>545.0</v>
      </c>
      <c r="O51" s="74" t="s">
        <v>505</v>
      </c>
      <c r="P51" s="94">
        <v>15.0</v>
      </c>
      <c r="R51" s="39"/>
      <c r="S51" s="109">
        <f>SUMIF(I:I,"R|泰华&amp;云峰合作群美金企业户",J:J)</f>
        <v>1884.89</v>
      </c>
      <c r="T51" s="26" t="s">
        <v>506</v>
      </c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45908.0</v>
      </c>
      <c r="I52" s="68" t="s">
        <v>476</v>
      </c>
      <c r="J52" s="69">
        <v>1430.0</v>
      </c>
      <c r="K52" s="70" t="s">
        <v>507</v>
      </c>
      <c r="L52" s="88" t="s">
        <v>508</v>
      </c>
      <c r="M52" s="72" t="s">
        <v>264</v>
      </c>
      <c r="N52" s="90">
        <v>101.0</v>
      </c>
      <c r="O52" s="74" t="s">
        <v>89</v>
      </c>
      <c r="P52" s="94" t="s">
        <v>509</v>
      </c>
      <c r="Q52" s="41"/>
      <c r="R52" s="39"/>
      <c r="S52" s="109">
        <f>SUMIF(I:I,"晨",J:J)</f>
        <v>4375</v>
      </c>
      <c r="T52" s="101" t="s">
        <v>483</v>
      </c>
      <c r="U52" s="76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45908.0</v>
      </c>
      <c r="I53" s="68"/>
      <c r="J53" s="69"/>
      <c r="K53" s="70"/>
      <c r="L53" s="71"/>
      <c r="M53" s="72" t="s">
        <v>452</v>
      </c>
      <c r="N53" s="90">
        <v>683.02</v>
      </c>
      <c r="O53" s="74" t="s">
        <v>510</v>
      </c>
      <c r="P53" s="94">
        <v>1924.0</v>
      </c>
      <c r="R53" s="39"/>
      <c r="S53" s="109">
        <f>SUMIF(I:I,"Y-5208 FB欧/美户",J:J)</f>
        <v>1763.33</v>
      </c>
      <c r="T53" s="101" t="s">
        <v>30</v>
      </c>
      <c r="U53" s="76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45908.0</v>
      </c>
      <c r="I54" s="68"/>
      <c r="J54" s="69"/>
      <c r="K54" s="70"/>
      <c r="L54" s="71"/>
      <c r="M54" s="72" t="s">
        <v>20</v>
      </c>
      <c r="N54" s="90">
        <v>59.0</v>
      </c>
      <c r="O54" s="74" t="s">
        <v>459</v>
      </c>
      <c r="P54" s="75">
        <v>0.8583333333333333</v>
      </c>
      <c r="R54" s="39"/>
      <c r="S54" s="109">
        <f>SUMIF(I:I,"海总新渠道",J:J)</f>
        <v>535.17</v>
      </c>
      <c r="T54" s="26" t="s">
        <v>50</v>
      </c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45908.0</v>
      </c>
      <c r="I55" s="68"/>
      <c r="J55" s="69"/>
      <c r="K55" s="70"/>
      <c r="L55" s="71"/>
      <c r="M55" s="72" t="s">
        <v>452</v>
      </c>
      <c r="N55" s="90">
        <v>1090.0</v>
      </c>
      <c r="O55" s="74" t="s">
        <v>511</v>
      </c>
      <c r="P55" s="94" t="s">
        <v>512</v>
      </c>
      <c r="R55" s="39"/>
      <c r="S55" s="109">
        <f>SUMIF(I:I,"后勤支出",J:J)</f>
        <v>500</v>
      </c>
      <c r="T55" s="101" t="s">
        <v>513</v>
      </c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45909.0</v>
      </c>
      <c r="I56" s="68"/>
      <c r="J56" s="69"/>
      <c r="K56" s="87"/>
      <c r="L56" s="71"/>
      <c r="M56" s="72" t="s">
        <v>452</v>
      </c>
      <c r="N56" s="90">
        <v>1090.0</v>
      </c>
      <c r="O56" s="74" t="s">
        <v>511</v>
      </c>
      <c r="P56" s="94" t="s">
        <v>514</v>
      </c>
      <c r="R56" s="39"/>
      <c r="S56" s="109">
        <f>SUMIF(I:I,"海总-德国；意大利",J:J)</f>
        <v>5535</v>
      </c>
      <c r="T56" s="101" t="s">
        <v>496</v>
      </c>
      <c r="U56" s="76"/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45909.0</v>
      </c>
      <c r="I57" s="68"/>
      <c r="J57" s="69"/>
      <c r="K57" s="70"/>
      <c r="L57" s="71"/>
      <c r="M57" s="72" t="s">
        <v>452</v>
      </c>
      <c r="N57" s="90">
        <v>545.0</v>
      </c>
      <c r="O57" s="74" t="s">
        <v>515</v>
      </c>
      <c r="P57" s="94" t="s">
        <v>366</v>
      </c>
      <c r="R57" s="39"/>
      <c r="S57" s="109">
        <f>SUMIF(I:I,"客户服务群-L0816",J:J)</f>
        <v>695.49</v>
      </c>
      <c r="T57" s="101" t="s">
        <v>484</v>
      </c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45909.0</v>
      </c>
      <c r="I58" s="68"/>
      <c r="J58" s="69"/>
      <c r="K58" s="70"/>
      <c r="L58" s="71"/>
      <c r="M58" s="72" t="s">
        <v>452</v>
      </c>
      <c r="N58" s="90">
        <v>545.0</v>
      </c>
      <c r="O58" s="74" t="s">
        <v>515</v>
      </c>
      <c r="P58" s="75">
        <v>0.6541666666666667</v>
      </c>
      <c r="R58" s="39"/>
      <c r="S58" s="109">
        <f>SUMIF(I:I,"欧洲户10➕1-Nancy",J:J)</f>
        <v>481.56</v>
      </c>
      <c r="T58" s="101" t="s">
        <v>480</v>
      </c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45909.0</v>
      </c>
      <c r="I59" s="68"/>
      <c r="J59" s="69"/>
      <c r="K59" s="70"/>
      <c r="L59" s="71"/>
      <c r="M59" s="72" t="s">
        <v>14</v>
      </c>
      <c r="N59" s="102">
        <v>500.0</v>
      </c>
      <c r="O59" s="74" t="s">
        <v>516</v>
      </c>
      <c r="P59" s="75">
        <v>0.68125</v>
      </c>
      <c r="R59" s="39"/>
      <c r="S59" s="109">
        <f>SUMIF(I:I,"十月二不限",J:J)</f>
        <v>55.7</v>
      </c>
      <c r="T59" s="101" t="s">
        <v>173</v>
      </c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45909.0</v>
      </c>
      <c r="I60" s="68" t="s">
        <v>492</v>
      </c>
      <c r="J60" s="69">
        <v>2700.0</v>
      </c>
      <c r="K60" s="85"/>
      <c r="L60" s="88" t="s">
        <v>517</v>
      </c>
      <c r="M60" s="72" t="s">
        <v>339</v>
      </c>
      <c r="N60" s="90">
        <v>330.0</v>
      </c>
      <c r="O60" s="74" t="s">
        <v>518</v>
      </c>
      <c r="P60" s="75">
        <v>0.7513888888888889</v>
      </c>
      <c r="R60" s="39"/>
      <c r="S60" s="109">
        <f>SUMIF(I:I,"马来英_阿稳",J:J)</f>
        <v>840</v>
      </c>
      <c r="T60" s="101" t="s">
        <v>456</v>
      </c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45909.0</v>
      </c>
      <c r="I61" s="68"/>
      <c r="J61" s="69"/>
      <c r="K61" s="70"/>
      <c r="L61" s="71"/>
      <c r="M61" s="72" t="s">
        <v>452</v>
      </c>
      <c r="N61" s="90">
        <v>902.08</v>
      </c>
      <c r="O61" s="74" t="s">
        <v>519</v>
      </c>
      <c r="P61" s="75">
        <v>0.9416666666666667</v>
      </c>
      <c r="Q61" s="125"/>
      <c r="R61" s="39"/>
      <c r="S61" s="117">
        <f>J7</f>
        <v>112330.7492</v>
      </c>
      <c r="T61" s="26" t="s">
        <v>451</v>
      </c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45910.0</v>
      </c>
      <c r="I62" s="68"/>
      <c r="J62" s="69"/>
      <c r="K62" s="87"/>
      <c r="L62" s="71"/>
      <c r="M62" s="72" t="s">
        <v>452</v>
      </c>
      <c r="N62" s="90">
        <v>1090.0</v>
      </c>
      <c r="O62" s="74" t="s">
        <v>511</v>
      </c>
      <c r="P62" s="94" t="s">
        <v>520</v>
      </c>
      <c r="R62" s="39"/>
      <c r="S62" s="40">
        <f>SUM(S38:S61)</f>
        <v>413986.8892</v>
      </c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45910.0</v>
      </c>
      <c r="I63" s="68"/>
      <c r="J63" s="69"/>
      <c r="K63" s="87"/>
      <c r="L63" s="71"/>
      <c r="M63" s="72" t="s">
        <v>14</v>
      </c>
      <c r="N63" s="90">
        <v>10000.0</v>
      </c>
      <c r="O63" s="74" t="s">
        <v>160</v>
      </c>
      <c r="P63" s="75">
        <v>0.5131944444444444</v>
      </c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45910.0</v>
      </c>
      <c r="I64" s="68"/>
      <c r="J64" s="69"/>
      <c r="K64" s="70"/>
      <c r="L64" s="71"/>
      <c r="M64" s="72" t="s">
        <v>452</v>
      </c>
      <c r="N64" s="90">
        <v>1090.0</v>
      </c>
      <c r="O64" s="74" t="s">
        <v>511</v>
      </c>
      <c r="P64" s="75">
        <v>0.5409722222222222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45910.0</v>
      </c>
      <c r="I65" s="68"/>
      <c r="J65" s="69"/>
      <c r="K65" s="70"/>
      <c r="L65" s="71"/>
      <c r="M65" s="72" t="s">
        <v>20</v>
      </c>
      <c r="N65" s="90">
        <v>127.0</v>
      </c>
      <c r="O65" s="74" t="s">
        <v>478</v>
      </c>
      <c r="P65" s="75">
        <v>0.5444444444444444</v>
      </c>
      <c r="R65" s="39"/>
      <c r="S65" s="76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45910.0</v>
      </c>
      <c r="I66" s="68"/>
      <c r="J66" s="69"/>
      <c r="K66" s="70"/>
      <c r="L66" s="71"/>
      <c r="M66" s="72" t="s">
        <v>452</v>
      </c>
      <c r="N66" s="90">
        <v>1635.0</v>
      </c>
      <c r="O66" s="74" t="s">
        <v>521</v>
      </c>
      <c r="P66" s="75">
        <v>0.6138888888888889</v>
      </c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45910.0</v>
      </c>
      <c r="I67" s="68" t="s">
        <v>14</v>
      </c>
      <c r="J67" s="69">
        <v>500.0</v>
      </c>
      <c r="K67" s="70" t="s">
        <v>522</v>
      </c>
      <c r="L67" s="71">
        <v>0.74375</v>
      </c>
      <c r="M67" s="72" t="s">
        <v>39</v>
      </c>
      <c r="N67" s="90">
        <v>2410.48</v>
      </c>
      <c r="O67" s="74" t="s">
        <v>523</v>
      </c>
      <c r="P67" s="75">
        <v>0.7513888888888889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45910.0</v>
      </c>
      <c r="I68" s="68"/>
      <c r="J68" s="69"/>
      <c r="K68" s="70"/>
      <c r="L68" s="71"/>
      <c r="M68" s="72" t="s">
        <v>452</v>
      </c>
      <c r="N68" s="90">
        <v>2180.0</v>
      </c>
      <c r="O68" s="74" t="s">
        <v>524</v>
      </c>
      <c r="P68" s="75">
        <v>0.8131944444444444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45910.0</v>
      </c>
      <c r="I69" s="68"/>
      <c r="J69" s="69"/>
      <c r="K69" s="85"/>
      <c r="L69" s="71"/>
      <c r="M69" s="72" t="s">
        <v>75</v>
      </c>
      <c r="N69" s="90">
        <v>4214.44</v>
      </c>
      <c r="O69" s="74" t="s">
        <v>525</v>
      </c>
      <c r="P69" s="75">
        <v>0.8402777777777778</v>
      </c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45910.0</v>
      </c>
      <c r="I70" s="68"/>
      <c r="J70" s="69"/>
      <c r="K70" s="70"/>
      <c r="L70" s="71"/>
      <c r="M70" s="72" t="s">
        <v>452</v>
      </c>
      <c r="N70" s="90">
        <v>2180.0</v>
      </c>
      <c r="O70" s="74" t="s">
        <v>524</v>
      </c>
      <c r="P70" s="94" t="s">
        <v>526</v>
      </c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45911.0</v>
      </c>
      <c r="I71" s="68"/>
      <c r="J71" s="69"/>
      <c r="K71" s="70"/>
      <c r="L71" s="71"/>
      <c r="M71" s="72" t="s">
        <v>452</v>
      </c>
      <c r="N71" s="90">
        <v>2725.0</v>
      </c>
      <c r="O71" s="74" t="s">
        <v>527</v>
      </c>
      <c r="P71" s="94" t="s">
        <v>528</v>
      </c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45911.0</v>
      </c>
      <c r="I72" s="68"/>
      <c r="J72" s="69"/>
      <c r="K72" s="87"/>
      <c r="L72" s="71"/>
      <c r="M72" s="72" t="s">
        <v>47</v>
      </c>
      <c r="N72" s="90">
        <v>4793.91</v>
      </c>
      <c r="O72" s="74" t="s">
        <v>529</v>
      </c>
      <c r="P72" s="94" t="s">
        <v>530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45911.0</v>
      </c>
      <c r="I73" s="68"/>
      <c r="J73" s="69"/>
      <c r="K73" s="70"/>
      <c r="L73" s="71"/>
      <c r="M73" s="72" t="s">
        <v>14</v>
      </c>
      <c r="N73" s="90">
        <v>1778.0</v>
      </c>
      <c r="O73" s="74" t="s">
        <v>531</v>
      </c>
      <c r="P73" s="75">
        <v>0.5479166666666667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45911.0</v>
      </c>
      <c r="I74" s="120"/>
      <c r="J74" s="121"/>
      <c r="K74" s="93"/>
      <c r="L74" s="71"/>
      <c r="M74" s="72" t="s">
        <v>20</v>
      </c>
      <c r="N74" s="90">
        <v>255.1797</v>
      </c>
      <c r="O74" s="74" t="s">
        <v>532</v>
      </c>
      <c r="P74" s="75">
        <v>0.5506944444444445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45911.0</v>
      </c>
      <c r="I75" s="68"/>
      <c r="J75" s="69"/>
      <c r="K75" s="70"/>
      <c r="L75" s="71"/>
      <c r="M75" s="72" t="s">
        <v>20</v>
      </c>
      <c r="N75" s="90">
        <v>500.0</v>
      </c>
      <c r="O75" s="74" t="s">
        <v>382</v>
      </c>
      <c r="P75" s="75">
        <v>0.5166666666666667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45911.0</v>
      </c>
      <c r="I76" s="68"/>
      <c r="J76" s="69"/>
      <c r="K76" s="70"/>
      <c r="L76" s="71"/>
      <c r="M76" s="72" t="s">
        <v>452</v>
      </c>
      <c r="N76" s="90">
        <v>2289.0</v>
      </c>
      <c r="O76" s="74" t="s">
        <v>533</v>
      </c>
      <c r="P76" s="75">
        <v>0.6861111111111111</v>
      </c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45911.0</v>
      </c>
      <c r="I77" s="68"/>
      <c r="J77" s="69"/>
      <c r="K77" s="70"/>
      <c r="L77" s="71"/>
      <c r="M77" s="72" t="s">
        <v>20</v>
      </c>
      <c r="N77" s="90">
        <v>1.92</v>
      </c>
      <c r="O77" s="74" t="s">
        <v>296</v>
      </c>
      <c r="P77" s="75">
        <v>0.7159722222222222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45911.0</v>
      </c>
      <c r="I78" s="68"/>
      <c r="J78" s="69"/>
      <c r="K78" s="87"/>
      <c r="L78" s="71"/>
      <c r="M78" s="72" t="s">
        <v>36</v>
      </c>
      <c r="N78" s="90">
        <v>545.0</v>
      </c>
      <c r="O78" s="74" t="s">
        <v>505</v>
      </c>
      <c r="P78" s="94" t="s">
        <v>336</v>
      </c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45912.0</v>
      </c>
      <c r="I79" s="68"/>
      <c r="J79" s="69"/>
      <c r="K79" s="70"/>
      <c r="L79" s="88"/>
      <c r="M79" s="72" t="s">
        <v>20</v>
      </c>
      <c r="N79" s="90">
        <v>1.02</v>
      </c>
      <c r="O79" s="74" t="s">
        <v>482</v>
      </c>
      <c r="P79" s="75">
        <v>0.48680555555555555</v>
      </c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45912.0</v>
      </c>
      <c r="I80" s="68"/>
      <c r="J80" s="69"/>
      <c r="K80" s="92"/>
      <c r="L80" s="88"/>
      <c r="M80" s="72" t="s">
        <v>452</v>
      </c>
      <c r="N80" s="90">
        <v>4905.0</v>
      </c>
      <c r="O80" s="74" t="s">
        <v>534</v>
      </c>
      <c r="P80" s="75">
        <v>0.5111111111111111</v>
      </c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45912.0</v>
      </c>
      <c r="I81" s="68"/>
      <c r="J81" s="69"/>
      <c r="K81" s="70"/>
      <c r="L81" s="88"/>
      <c r="M81" s="72" t="s">
        <v>157</v>
      </c>
      <c r="N81" s="90">
        <v>60.0</v>
      </c>
      <c r="O81" s="74" t="s">
        <v>535</v>
      </c>
      <c r="P81" s="75">
        <v>0.6027777777777777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45912.0</v>
      </c>
      <c r="I82" s="68"/>
      <c r="J82" s="69"/>
      <c r="K82" s="70"/>
      <c r="L82" s="71"/>
      <c r="M82" s="72" t="s">
        <v>20</v>
      </c>
      <c r="N82" s="90">
        <v>66.0</v>
      </c>
      <c r="O82" s="74" t="s">
        <v>468</v>
      </c>
      <c r="P82" s="75">
        <v>0.6125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45912.0</v>
      </c>
      <c r="I83" s="68" t="s">
        <v>50</v>
      </c>
      <c r="J83" s="69">
        <v>535.17</v>
      </c>
      <c r="K83" s="70" t="s">
        <v>155</v>
      </c>
      <c r="L83" s="71">
        <v>0.6979166666666666</v>
      </c>
      <c r="M83" s="72" t="s">
        <v>36</v>
      </c>
      <c r="N83" s="90">
        <v>545.0</v>
      </c>
      <c r="O83" s="74" t="s">
        <v>505</v>
      </c>
      <c r="P83" s="75">
        <v>0.6125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45912.0</v>
      </c>
      <c r="I84" s="68"/>
      <c r="J84" s="69"/>
      <c r="K84" s="70"/>
      <c r="L84" s="88"/>
      <c r="M84" s="72" t="s">
        <v>20</v>
      </c>
      <c r="N84" s="90">
        <v>0.89</v>
      </c>
      <c r="O84" s="74" t="s">
        <v>482</v>
      </c>
      <c r="P84" s="75">
        <v>0.7534722222222222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45912.0</v>
      </c>
      <c r="I85" s="68"/>
      <c r="J85" s="69"/>
      <c r="K85" s="87"/>
      <c r="L85" s="71"/>
      <c r="M85" s="72" t="s">
        <v>57</v>
      </c>
      <c r="N85" s="90">
        <v>575.4</v>
      </c>
      <c r="O85" s="74" t="s">
        <v>536</v>
      </c>
      <c r="P85" s="75">
        <v>0.775</v>
      </c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45912.0</v>
      </c>
      <c r="I86" s="68"/>
      <c r="J86" s="69"/>
      <c r="K86" s="70"/>
      <c r="L86" s="88"/>
      <c r="M86" s="72" t="s">
        <v>20</v>
      </c>
      <c r="N86" s="90">
        <v>14.14</v>
      </c>
      <c r="O86" s="126" t="s">
        <v>537</v>
      </c>
      <c r="P86" s="75">
        <v>0.8423611111111111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45912.0</v>
      </c>
      <c r="I87" s="68"/>
      <c r="J87" s="69"/>
      <c r="K87" s="85"/>
      <c r="L87" s="71"/>
      <c r="M87" s="72" t="s">
        <v>20</v>
      </c>
      <c r="N87" s="90">
        <v>1059.89</v>
      </c>
      <c r="O87" s="126" t="s">
        <v>538</v>
      </c>
      <c r="P87" s="75">
        <v>0.8486111111111111</v>
      </c>
      <c r="Q87" s="41"/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45912.0</v>
      </c>
      <c r="I88" s="68" t="s">
        <v>495</v>
      </c>
      <c r="J88" s="69">
        <v>30000.0</v>
      </c>
      <c r="K88" s="70"/>
      <c r="L88" s="71">
        <v>0.8541666666666666</v>
      </c>
      <c r="M88" s="72" t="s">
        <v>452</v>
      </c>
      <c r="N88" s="90">
        <v>2651.29</v>
      </c>
      <c r="O88" s="74" t="s">
        <v>539</v>
      </c>
      <c r="P88" s="75">
        <v>0.8826388888888889</v>
      </c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45913.0</v>
      </c>
      <c r="I89" s="68"/>
      <c r="J89" s="69"/>
      <c r="K89" s="70"/>
      <c r="L89" s="71"/>
      <c r="M89" s="72" t="s">
        <v>483</v>
      </c>
      <c r="N89" s="90">
        <v>5250.0</v>
      </c>
      <c r="O89" s="74"/>
      <c r="P89" s="75">
        <v>0.5798611111111112</v>
      </c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45913.0</v>
      </c>
      <c r="I90" s="68"/>
      <c r="J90" s="69"/>
      <c r="K90" s="70"/>
      <c r="L90" s="71"/>
      <c r="M90" s="72" t="s">
        <v>452</v>
      </c>
      <c r="N90" s="90">
        <v>2725.0</v>
      </c>
      <c r="O90" s="74" t="s">
        <v>540</v>
      </c>
      <c r="P90" s="75">
        <v>0.5958333333333333</v>
      </c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45913.0</v>
      </c>
      <c r="I91" s="68"/>
      <c r="J91" s="69"/>
      <c r="K91" s="70"/>
      <c r="L91" s="71"/>
      <c r="M91" s="72" t="s">
        <v>20</v>
      </c>
      <c r="N91" s="90">
        <v>18.65</v>
      </c>
      <c r="O91" s="74" t="s">
        <v>296</v>
      </c>
      <c r="P91" s="94" t="s">
        <v>541</v>
      </c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45913.0</v>
      </c>
      <c r="I92" s="68"/>
      <c r="J92" s="69"/>
      <c r="K92" s="70"/>
      <c r="L92" s="71"/>
      <c r="M92" s="72" t="s">
        <v>20</v>
      </c>
      <c r="N92" s="90">
        <v>500.0</v>
      </c>
      <c r="O92" s="74" t="s">
        <v>382</v>
      </c>
      <c r="P92" s="94" t="s">
        <v>509</v>
      </c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45913.0</v>
      </c>
      <c r="I93" s="68"/>
      <c r="J93" s="69"/>
      <c r="K93" s="70"/>
      <c r="L93" s="71"/>
      <c r="M93" s="72" t="s">
        <v>39</v>
      </c>
      <c r="N93" s="90">
        <v>1987.53</v>
      </c>
      <c r="O93" s="74" t="s">
        <v>542</v>
      </c>
      <c r="P93" s="75">
        <v>0.7173611111111111</v>
      </c>
      <c r="Q93" s="125"/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45913.0</v>
      </c>
      <c r="I94" s="68"/>
      <c r="J94" s="69"/>
      <c r="K94" s="70"/>
      <c r="L94" s="71"/>
      <c r="M94" s="72" t="s">
        <v>57</v>
      </c>
      <c r="N94" s="90">
        <v>1120.8</v>
      </c>
      <c r="O94" s="74" t="s">
        <v>543</v>
      </c>
      <c r="P94" s="75">
        <v>0.7993055555555556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45913.0</v>
      </c>
      <c r="I95" s="68"/>
      <c r="J95" s="69"/>
      <c r="K95" s="70"/>
      <c r="L95" s="71"/>
      <c r="M95" s="72" t="s">
        <v>20</v>
      </c>
      <c r="N95" s="90">
        <v>14.74601</v>
      </c>
      <c r="O95" s="74" t="s">
        <v>544</v>
      </c>
      <c r="P95" s="75">
        <v>0.8090277777777778</v>
      </c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45913.0</v>
      </c>
      <c r="I96" s="68"/>
      <c r="J96" s="69"/>
      <c r="K96" s="70"/>
      <c r="L96" s="88"/>
      <c r="M96" s="72" t="s">
        <v>157</v>
      </c>
      <c r="N96" s="90">
        <v>430.0</v>
      </c>
      <c r="O96" s="74" t="s">
        <v>545</v>
      </c>
      <c r="P96" s="75">
        <v>0.9138888888888889</v>
      </c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45913.0</v>
      </c>
      <c r="I97" s="68"/>
      <c r="J97" s="69"/>
      <c r="K97" s="70"/>
      <c r="L97" s="71"/>
      <c r="M97" s="72" t="s">
        <v>163</v>
      </c>
      <c r="N97" s="90">
        <v>1110.0</v>
      </c>
      <c r="O97" s="74" t="s">
        <v>546</v>
      </c>
      <c r="P97" s="75">
        <v>0.9284722222222223</v>
      </c>
      <c r="R97" s="39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45913.0</v>
      </c>
      <c r="I98" s="68"/>
      <c r="J98" s="69"/>
      <c r="K98" s="70"/>
      <c r="L98" s="71"/>
      <c r="M98" s="72" t="s">
        <v>452</v>
      </c>
      <c r="N98" s="90">
        <v>4797.25</v>
      </c>
      <c r="O98" s="74" t="s">
        <v>547</v>
      </c>
      <c r="P98" s="75">
        <v>0.9416666666666667</v>
      </c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45914.0</v>
      </c>
      <c r="I99" s="84"/>
      <c r="J99" s="17"/>
      <c r="K99" s="85"/>
      <c r="L99" s="86"/>
      <c r="M99" s="72" t="s">
        <v>36</v>
      </c>
      <c r="N99" s="90">
        <v>1167.96</v>
      </c>
      <c r="O99" s="74" t="s">
        <v>548</v>
      </c>
      <c r="P99" s="75">
        <v>0.41875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45914.0</v>
      </c>
      <c r="I100" s="68"/>
      <c r="J100" s="69"/>
      <c r="K100" s="70"/>
      <c r="L100" s="71"/>
      <c r="M100" s="72" t="s">
        <v>452</v>
      </c>
      <c r="N100" s="90">
        <v>2289.0</v>
      </c>
      <c r="O100" s="74" t="s">
        <v>549</v>
      </c>
      <c r="P100" s="94" t="s">
        <v>297</v>
      </c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45914.0</v>
      </c>
      <c r="I101" s="68"/>
      <c r="J101" s="69"/>
      <c r="K101" s="70"/>
      <c r="L101" s="71"/>
      <c r="M101" s="72" t="s">
        <v>452</v>
      </c>
      <c r="N101" s="90">
        <v>2180.0</v>
      </c>
      <c r="O101" s="74" t="s">
        <v>524</v>
      </c>
      <c r="P101" s="94" t="s">
        <v>229</v>
      </c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45914.0</v>
      </c>
      <c r="I102" s="68"/>
      <c r="J102" s="69"/>
      <c r="K102" s="70"/>
      <c r="L102" s="88"/>
      <c r="M102" s="72" t="s">
        <v>57</v>
      </c>
      <c r="N102" s="90">
        <v>545.4</v>
      </c>
      <c r="O102" s="74" t="s">
        <v>199</v>
      </c>
      <c r="P102" s="94" t="s">
        <v>550</v>
      </c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45914.0</v>
      </c>
      <c r="I103" s="68"/>
      <c r="J103" s="69"/>
      <c r="K103" s="87"/>
      <c r="L103" s="88"/>
      <c r="M103" s="72" t="s">
        <v>39</v>
      </c>
      <c r="N103" s="90">
        <v>1070.0</v>
      </c>
      <c r="O103" s="74" t="s">
        <v>551</v>
      </c>
      <c r="P103" s="94" t="s">
        <v>552</v>
      </c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45914.0</v>
      </c>
      <c r="I104" s="68"/>
      <c r="J104" s="69"/>
      <c r="K104" s="87"/>
      <c r="L104" s="71"/>
      <c r="M104" s="72" t="s">
        <v>36</v>
      </c>
      <c r="N104" s="90">
        <v>1090.0</v>
      </c>
      <c r="O104" s="74" t="s">
        <v>553</v>
      </c>
      <c r="P104" s="94" t="s">
        <v>554</v>
      </c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45915.0</v>
      </c>
      <c r="I105" s="68"/>
      <c r="J105" s="69"/>
      <c r="K105" s="70"/>
      <c r="L105" s="71"/>
      <c r="M105" s="72" t="s">
        <v>157</v>
      </c>
      <c r="N105" s="90">
        <v>537.5</v>
      </c>
      <c r="O105" s="74" t="s">
        <v>555</v>
      </c>
      <c r="P105" s="94" t="s">
        <v>556</v>
      </c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45915.0</v>
      </c>
      <c r="I106" s="68" t="s">
        <v>30</v>
      </c>
      <c r="J106" s="69">
        <v>1763.33</v>
      </c>
      <c r="K106" s="70" t="s">
        <v>155</v>
      </c>
      <c r="L106" s="71">
        <v>0.44513888888888886</v>
      </c>
      <c r="M106" s="72" t="s">
        <v>20</v>
      </c>
      <c r="N106" s="90">
        <v>66.0</v>
      </c>
      <c r="O106" s="74" t="s">
        <v>557</v>
      </c>
      <c r="P106" s="75">
        <v>0.4486111111111111</v>
      </c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45915.0</v>
      </c>
      <c r="I107" s="68"/>
      <c r="J107" s="69"/>
      <c r="K107" s="70"/>
      <c r="L107" s="71"/>
      <c r="M107" s="72" t="s">
        <v>452</v>
      </c>
      <c r="N107" s="90">
        <v>3488.0</v>
      </c>
      <c r="O107" s="74" t="s">
        <v>558</v>
      </c>
      <c r="P107" s="75">
        <v>0.49444444444444446</v>
      </c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45915.0</v>
      </c>
      <c r="I108" s="68"/>
      <c r="J108" s="69"/>
      <c r="K108" s="70"/>
      <c r="L108" s="71"/>
      <c r="M108" s="72" t="s">
        <v>20</v>
      </c>
      <c r="N108" s="90">
        <v>500.0</v>
      </c>
      <c r="O108" s="74" t="s">
        <v>559</v>
      </c>
      <c r="P108" s="75">
        <v>0.49583333333333335</v>
      </c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45915.0</v>
      </c>
      <c r="I109" s="68"/>
      <c r="J109" s="69"/>
      <c r="K109" s="93"/>
      <c r="L109" s="88"/>
      <c r="M109" s="72" t="s">
        <v>20</v>
      </c>
      <c r="N109" s="90">
        <v>10.17</v>
      </c>
      <c r="O109" s="74" t="s">
        <v>560</v>
      </c>
      <c r="P109" s="75">
        <v>0.5208333333333334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45915.0</v>
      </c>
      <c r="I110" s="68"/>
      <c r="J110" s="69"/>
      <c r="K110" s="85"/>
      <c r="L110" s="71"/>
      <c r="M110" s="72" t="s">
        <v>36</v>
      </c>
      <c r="N110" s="90">
        <v>1090.0</v>
      </c>
      <c r="O110" s="74" t="s">
        <v>553</v>
      </c>
      <c r="P110" s="75">
        <v>0.625</v>
      </c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45915.0</v>
      </c>
      <c r="I111" s="68" t="s">
        <v>485</v>
      </c>
      <c r="J111" s="69">
        <v>4485.0</v>
      </c>
      <c r="K111" s="70"/>
      <c r="L111" s="71">
        <v>0.6333333333333333</v>
      </c>
      <c r="M111" s="72" t="s">
        <v>57</v>
      </c>
      <c r="N111" s="90">
        <v>1090.8</v>
      </c>
      <c r="O111" s="74" t="s">
        <v>232</v>
      </c>
      <c r="P111" s="75">
        <v>0.65625</v>
      </c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45915.0</v>
      </c>
      <c r="I112" s="68"/>
      <c r="J112" s="69"/>
      <c r="K112" s="70"/>
      <c r="L112" s="71"/>
      <c r="M112" s="72" t="s">
        <v>157</v>
      </c>
      <c r="N112" s="90">
        <v>20.0</v>
      </c>
      <c r="O112" s="74" t="s">
        <v>561</v>
      </c>
      <c r="P112" s="75">
        <v>0.6854166666666667</v>
      </c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45915.0</v>
      </c>
      <c r="I113" s="68"/>
      <c r="J113" s="69"/>
      <c r="K113" s="70"/>
      <c r="L113" s="71"/>
      <c r="M113" s="72" t="s">
        <v>39</v>
      </c>
      <c r="N113" s="90">
        <v>2140.0</v>
      </c>
      <c r="O113" s="74" t="s">
        <v>562</v>
      </c>
      <c r="P113" s="75">
        <v>0.7319444444444444</v>
      </c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45915.0</v>
      </c>
      <c r="I114" s="68"/>
      <c r="J114" s="69"/>
      <c r="K114" s="70"/>
      <c r="L114" s="71"/>
      <c r="M114" s="72" t="s">
        <v>463</v>
      </c>
      <c r="N114" s="90">
        <v>664.0</v>
      </c>
      <c r="O114" s="74" t="s">
        <v>563</v>
      </c>
      <c r="P114" s="75">
        <v>0.7340277777777777</v>
      </c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45915.0</v>
      </c>
      <c r="I115" s="68"/>
      <c r="J115" s="69"/>
      <c r="K115" s="70"/>
      <c r="L115" s="71"/>
      <c r="M115" s="72" t="s">
        <v>463</v>
      </c>
      <c r="N115" s="90">
        <v>332.0</v>
      </c>
      <c r="O115" s="74" t="s">
        <v>564</v>
      </c>
      <c r="P115" s="75">
        <v>0.7847222222222222</v>
      </c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45915.0</v>
      </c>
      <c r="I116" s="68"/>
      <c r="J116" s="69"/>
      <c r="K116" s="70"/>
      <c r="L116" s="88"/>
      <c r="M116" s="72" t="s">
        <v>20</v>
      </c>
      <c r="N116" s="90">
        <v>16.4</v>
      </c>
      <c r="O116" s="74" t="s">
        <v>296</v>
      </c>
      <c r="P116" s="75">
        <v>0.8159722222222222</v>
      </c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45915.0</v>
      </c>
      <c r="I117" s="68"/>
      <c r="J117" s="69"/>
      <c r="K117" s="70"/>
      <c r="L117" s="71"/>
      <c r="M117" s="72" t="s">
        <v>39</v>
      </c>
      <c r="N117" s="90">
        <v>1605.0</v>
      </c>
      <c r="O117" s="74" t="s">
        <v>565</v>
      </c>
      <c r="P117" s="75">
        <v>0.8784722222222222</v>
      </c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45915.0</v>
      </c>
      <c r="I118" s="68"/>
      <c r="J118" s="69"/>
      <c r="K118" s="92"/>
      <c r="L118" s="71"/>
      <c r="M118" s="72" t="s">
        <v>81</v>
      </c>
      <c r="N118" s="90">
        <v>7250.0</v>
      </c>
      <c r="O118" s="74"/>
      <c r="P118" s="75">
        <v>0.9340277777777778</v>
      </c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45915.0</v>
      </c>
      <c r="I119" s="68"/>
      <c r="J119" s="69"/>
      <c r="K119" s="70"/>
      <c r="L119" s="71"/>
      <c r="M119" s="72" t="s">
        <v>452</v>
      </c>
      <c r="N119" s="90">
        <v>3560.49</v>
      </c>
      <c r="O119" s="74" t="s">
        <v>566</v>
      </c>
      <c r="P119" s="75">
        <v>0.9770833333333333</v>
      </c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45916.0</v>
      </c>
      <c r="I120" s="68"/>
      <c r="J120" s="69"/>
      <c r="K120" s="70"/>
      <c r="L120" s="71"/>
      <c r="M120" s="72" t="s">
        <v>20</v>
      </c>
      <c r="N120" s="90">
        <v>40.44</v>
      </c>
      <c r="O120" s="74" t="s">
        <v>275</v>
      </c>
      <c r="P120" s="75">
        <v>0.4777777777777778</v>
      </c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45916.0</v>
      </c>
      <c r="I121" s="68" t="s">
        <v>483</v>
      </c>
      <c r="J121" s="69">
        <v>4375.0</v>
      </c>
      <c r="K121" s="70"/>
      <c r="L121" s="71">
        <v>0.4951388888888889</v>
      </c>
      <c r="M121" s="72" t="s">
        <v>479</v>
      </c>
      <c r="N121" s="90">
        <v>3200.0</v>
      </c>
      <c r="O121" s="74"/>
      <c r="P121" s="75">
        <v>0.5451388888888888</v>
      </c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45916.0</v>
      </c>
      <c r="I122" s="68"/>
      <c r="J122" s="69"/>
      <c r="K122" s="70"/>
      <c r="L122" s="71"/>
      <c r="M122" s="72" t="s">
        <v>452</v>
      </c>
      <c r="N122" s="90">
        <v>4469.0</v>
      </c>
      <c r="O122" s="74" t="s">
        <v>567</v>
      </c>
      <c r="P122" s="75">
        <v>0.5708333333333333</v>
      </c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45916.0</v>
      </c>
      <c r="I123" s="68"/>
      <c r="J123" s="69"/>
      <c r="K123" s="70"/>
      <c r="L123" s="71"/>
      <c r="M123" s="72" t="s">
        <v>20</v>
      </c>
      <c r="N123" s="90">
        <v>58.0</v>
      </c>
      <c r="O123" s="74" t="s">
        <v>568</v>
      </c>
      <c r="P123" s="75">
        <v>0.5840277777777778</v>
      </c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45916.0</v>
      </c>
      <c r="I124" s="68" t="s">
        <v>503</v>
      </c>
      <c r="J124" s="69">
        <f>100+17900</f>
        <v>18000</v>
      </c>
      <c r="K124" s="70"/>
      <c r="L124" s="71">
        <v>0.6291666666666667</v>
      </c>
      <c r="M124" s="72" t="s">
        <v>157</v>
      </c>
      <c r="N124" s="90">
        <v>200.0</v>
      </c>
      <c r="O124" s="126"/>
      <c r="P124" s="75">
        <v>0.6527777777777778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45916.0</v>
      </c>
      <c r="I125" s="68"/>
      <c r="J125" s="69"/>
      <c r="K125" s="70"/>
      <c r="L125" s="71"/>
      <c r="M125" s="72" t="s">
        <v>75</v>
      </c>
      <c r="N125" s="90">
        <v>6609.76</v>
      </c>
      <c r="O125" s="74" t="s">
        <v>569</v>
      </c>
      <c r="P125" s="75">
        <v>0.6631944444444444</v>
      </c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45916.0</v>
      </c>
      <c r="I126" s="68"/>
      <c r="J126" s="69"/>
      <c r="K126" s="70"/>
      <c r="L126" s="71"/>
      <c r="M126" s="72" t="s">
        <v>36</v>
      </c>
      <c r="N126" s="90">
        <v>1090.0</v>
      </c>
      <c r="O126" s="74" t="s">
        <v>553</v>
      </c>
      <c r="P126" s="94" t="s">
        <v>570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45916.0</v>
      </c>
      <c r="I127" s="84"/>
      <c r="J127" s="17"/>
      <c r="K127" s="85"/>
      <c r="L127" s="86"/>
      <c r="M127" s="72" t="s">
        <v>452</v>
      </c>
      <c r="N127" s="90">
        <v>1090.0</v>
      </c>
      <c r="O127" s="74" t="s">
        <v>511</v>
      </c>
      <c r="P127" s="75">
        <v>0.7548611111111111</v>
      </c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45916.0</v>
      </c>
      <c r="I128" s="68"/>
      <c r="J128" s="69"/>
      <c r="K128" s="70"/>
      <c r="L128" s="71"/>
      <c r="M128" s="72" t="s">
        <v>39</v>
      </c>
      <c r="N128" s="90">
        <v>1960.4</v>
      </c>
      <c r="O128" s="74" t="s">
        <v>571</v>
      </c>
      <c r="P128" s="75">
        <v>0.7868055555555555</v>
      </c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45916.0</v>
      </c>
      <c r="I129" s="68" t="s">
        <v>500</v>
      </c>
      <c r="J129" s="69">
        <v>2145.0</v>
      </c>
      <c r="K129" s="70" t="s">
        <v>572</v>
      </c>
      <c r="L129" s="71">
        <v>0.7868055555555555</v>
      </c>
      <c r="M129" s="72"/>
      <c r="N129" s="90"/>
      <c r="O129" s="74"/>
      <c r="P129" s="75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45916.0</v>
      </c>
      <c r="I130" s="68" t="s">
        <v>495</v>
      </c>
      <c r="J130" s="69">
        <v>30000.0</v>
      </c>
      <c r="K130" s="70"/>
      <c r="L130" s="71">
        <v>0.7930555555555555</v>
      </c>
      <c r="M130" s="72" t="s">
        <v>39</v>
      </c>
      <c r="N130" s="90">
        <v>1605.0</v>
      </c>
      <c r="O130" s="74" t="s">
        <v>565</v>
      </c>
      <c r="P130" s="75">
        <v>0.8729166666666667</v>
      </c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45916.0</v>
      </c>
      <c r="I131" s="68"/>
      <c r="J131" s="69"/>
      <c r="K131" s="70"/>
      <c r="L131" s="88"/>
      <c r="M131" s="72" t="s">
        <v>36</v>
      </c>
      <c r="N131" s="90">
        <v>545.0</v>
      </c>
      <c r="O131" s="74" t="s">
        <v>505</v>
      </c>
      <c r="P131" s="75">
        <v>0.8736111111111111</v>
      </c>
      <c r="Q131" s="41"/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45916.0</v>
      </c>
      <c r="I132" s="68"/>
      <c r="J132" s="69"/>
      <c r="K132" s="85"/>
      <c r="L132" s="71"/>
      <c r="M132" s="72" t="s">
        <v>81</v>
      </c>
      <c r="N132" s="90">
        <v>7250.0</v>
      </c>
      <c r="O132" s="74"/>
      <c r="P132" s="75">
        <v>0.9229166666666667</v>
      </c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45916.0</v>
      </c>
      <c r="I133" s="68" t="s">
        <v>502</v>
      </c>
      <c r="J133" s="69">
        <v>20000.0</v>
      </c>
      <c r="K133" s="70"/>
      <c r="L133" s="88" t="s">
        <v>573</v>
      </c>
      <c r="M133" s="72"/>
      <c r="N133" s="90"/>
      <c r="O133" s="74"/>
      <c r="P133" s="94"/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45917.0</v>
      </c>
      <c r="I134" s="68"/>
      <c r="J134" s="69"/>
      <c r="K134" s="70"/>
      <c r="L134" s="71"/>
      <c r="M134" s="72" t="s">
        <v>463</v>
      </c>
      <c r="N134" s="90">
        <v>353.12</v>
      </c>
      <c r="O134" s="74" t="s">
        <v>574</v>
      </c>
      <c r="P134" s="75">
        <v>0.44513888888888886</v>
      </c>
      <c r="Q134" s="125"/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45917.0</v>
      </c>
      <c r="I135" s="68"/>
      <c r="J135" s="69"/>
      <c r="K135" s="70"/>
      <c r="L135" s="71"/>
      <c r="M135" s="72" t="s">
        <v>463</v>
      </c>
      <c r="N135" s="90">
        <f>208*2</f>
        <v>416</v>
      </c>
      <c r="O135" s="74" t="s">
        <v>575</v>
      </c>
      <c r="P135" s="75">
        <v>0.4597222222222222</v>
      </c>
      <c r="Q135" s="125"/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45917.0</v>
      </c>
      <c r="I136" s="68"/>
      <c r="J136" s="69"/>
      <c r="K136" s="70"/>
      <c r="L136" s="88"/>
      <c r="M136" s="72" t="s">
        <v>36</v>
      </c>
      <c r="N136" s="90">
        <v>545.0</v>
      </c>
      <c r="O136" s="74" t="s">
        <v>505</v>
      </c>
      <c r="P136" s="75">
        <v>0.4979166666666667</v>
      </c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45917.0</v>
      </c>
      <c r="I137" s="84"/>
      <c r="J137" s="17"/>
      <c r="K137" s="85"/>
      <c r="L137" s="86"/>
      <c r="M137" s="72" t="s">
        <v>452</v>
      </c>
      <c r="N137" s="90">
        <v>3815.0</v>
      </c>
      <c r="O137" s="74" t="s">
        <v>576</v>
      </c>
      <c r="P137" s="75">
        <v>0.5</v>
      </c>
      <c r="Q137" s="41"/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45917.0</v>
      </c>
      <c r="I138" s="68"/>
      <c r="J138" s="69"/>
      <c r="K138" s="70"/>
      <c r="L138" s="71"/>
      <c r="M138" s="72" t="s">
        <v>466</v>
      </c>
      <c r="N138" s="90">
        <v>300.0</v>
      </c>
      <c r="O138" s="74" t="s">
        <v>427</v>
      </c>
      <c r="P138" s="75">
        <v>0.5618055555555556</v>
      </c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45917.0</v>
      </c>
      <c r="I139" s="68"/>
      <c r="J139" s="69"/>
      <c r="K139" s="70"/>
      <c r="L139" s="71"/>
      <c r="M139" s="72" t="s">
        <v>47</v>
      </c>
      <c r="N139" s="90">
        <v>11187.15</v>
      </c>
      <c r="O139" s="74" t="s">
        <v>577</v>
      </c>
      <c r="P139" s="75">
        <v>0.6548611111111111</v>
      </c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45917.0</v>
      </c>
      <c r="I140" s="68"/>
      <c r="J140" s="69"/>
      <c r="K140" s="70"/>
      <c r="L140" s="71"/>
      <c r="M140" s="72" t="s">
        <v>36</v>
      </c>
      <c r="N140" s="90">
        <v>1120.0</v>
      </c>
      <c r="O140" s="74" t="s">
        <v>578</v>
      </c>
      <c r="P140" s="75">
        <v>0.6902777777777778</v>
      </c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45917.0</v>
      </c>
      <c r="I141" s="84"/>
      <c r="J141" s="17"/>
      <c r="K141" s="85"/>
      <c r="L141" s="86"/>
      <c r="M141" s="72" t="s">
        <v>479</v>
      </c>
      <c r="N141" s="90">
        <v>6400.0</v>
      </c>
      <c r="O141" s="74"/>
      <c r="P141" s="75">
        <v>0.7125</v>
      </c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45917.0</v>
      </c>
      <c r="I142" s="68"/>
      <c r="J142" s="69"/>
      <c r="K142" s="70"/>
      <c r="L142" s="71"/>
      <c r="M142" s="72" t="s">
        <v>75</v>
      </c>
      <c r="N142" s="90">
        <v>808.75</v>
      </c>
      <c r="O142" s="74" t="s">
        <v>579</v>
      </c>
      <c r="P142" s="75">
        <v>0.7208333333333333</v>
      </c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45917.0</v>
      </c>
      <c r="I143" s="68"/>
      <c r="J143" s="69"/>
      <c r="K143" s="70"/>
      <c r="L143" s="71"/>
      <c r="M143" s="72" t="s">
        <v>20</v>
      </c>
      <c r="N143" s="90">
        <v>500.0</v>
      </c>
      <c r="O143" s="74" t="s">
        <v>382</v>
      </c>
      <c r="P143" s="75">
        <v>0.7388888888888889</v>
      </c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45917.0</v>
      </c>
      <c r="I144" s="68"/>
      <c r="J144" s="69"/>
      <c r="K144" s="85"/>
      <c r="L144" s="71"/>
      <c r="M144" s="72" t="s">
        <v>452</v>
      </c>
      <c r="N144" s="90">
        <v>3161.88</v>
      </c>
      <c r="O144" s="74" t="s">
        <v>580</v>
      </c>
      <c r="P144" s="75">
        <v>0.7833333333333333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45917.0</v>
      </c>
      <c r="I145" s="68"/>
      <c r="J145" s="69"/>
      <c r="K145" s="70"/>
      <c r="L145" s="71"/>
      <c r="M145" s="72" t="s">
        <v>20</v>
      </c>
      <c r="N145" s="90">
        <v>79.0</v>
      </c>
      <c r="O145" s="74" t="s">
        <v>581</v>
      </c>
      <c r="P145" s="75">
        <v>0.8090277777777778</v>
      </c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45917.0</v>
      </c>
      <c r="I146" s="68"/>
      <c r="J146" s="69"/>
      <c r="K146" s="70"/>
      <c r="L146" s="71"/>
      <c r="M146" s="72" t="s">
        <v>36</v>
      </c>
      <c r="N146" s="90">
        <v>1090.0</v>
      </c>
      <c r="O146" s="74" t="s">
        <v>553</v>
      </c>
      <c r="P146" s="75">
        <v>0.8243055555555555</v>
      </c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45917.0</v>
      </c>
      <c r="I147" s="68"/>
      <c r="J147" s="69"/>
      <c r="K147" s="85"/>
      <c r="L147" s="71"/>
      <c r="M147" s="72" t="s">
        <v>452</v>
      </c>
      <c r="N147" s="90">
        <v>3349.36</v>
      </c>
      <c r="O147" s="74" t="s">
        <v>582</v>
      </c>
      <c r="P147" s="75">
        <v>0.8722222222222222</v>
      </c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45917.0</v>
      </c>
      <c r="I148" s="68"/>
      <c r="J148" s="69"/>
      <c r="K148" s="85"/>
      <c r="L148" s="88"/>
      <c r="M148" s="147" t="s">
        <v>81</v>
      </c>
      <c r="N148" s="19">
        <v>7250.0</v>
      </c>
      <c r="O148" s="74"/>
      <c r="P148" s="94" t="s">
        <v>583</v>
      </c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45918.0</v>
      </c>
      <c r="I149" s="68"/>
      <c r="J149" s="69"/>
      <c r="K149" s="70"/>
      <c r="L149" s="71"/>
      <c r="M149" s="72" t="s">
        <v>452</v>
      </c>
      <c r="N149" s="90">
        <v>1090.0</v>
      </c>
      <c r="O149" s="74" t="s">
        <v>511</v>
      </c>
      <c r="P149" s="94" t="s">
        <v>584</v>
      </c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45918.0</v>
      </c>
      <c r="I150" s="68" t="s">
        <v>503</v>
      </c>
      <c r="J150" s="69">
        <f>100+22900</f>
        <v>23000</v>
      </c>
      <c r="K150" s="70"/>
      <c r="L150" s="88" t="s">
        <v>585</v>
      </c>
      <c r="M150" s="72" t="s">
        <v>452</v>
      </c>
      <c r="N150" s="90">
        <v>1090.0</v>
      </c>
      <c r="O150" s="74" t="s">
        <v>511</v>
      </c>
      <c r="P150" s="94" t="s">
        <v>586</v>
      </c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45918.0</v>
      </c>
      <c r="I151" s="68"/>
      <c r="J151" s="69"/>
      <c r="K151" s="70"/>
      <c r="L151" s="88"/>
      <c r="M151" s="72" t="s">
        <v>36</v>
      </c>
      <c r="N151" s="90">
        <v>545.0</v>
      </c>
      <c r="O151" s="74" t="s">
        <v>505</v>
      </c>
      <c r="P151" s="94" t="s">
        <v>587</v>
      </c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45918.0</v>
      </c>
      <c r="I152" s="68"/>
      <c r="J152" s="69"/>
      <c r="K152" s="87"/>
      <c r="L152" s="71"/>
      <c r="M152" s="72" t="s">
        <v>452</v>
      </c>
      <c r="N152" s="90">
        <v>1635.0</v>
      </c>
      <c r="O152" s="74" t="s">
        <v>521</v>
      </c>
      <c r="P152" s="94" t="s">
        <v>588</v>
      </c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45918.0</v>
      </c>
      <c r="I153" s="68"/>
      <c r="J153" s="69"/>
      <c r="K153" s="70"/>
      <c r="L153" s="88"/>
      <c r="M153" s="72" t="s">
        <v>57</v>
      </c>
      <c r="N153" s="90">
        <v>545.4</v>
      </c>
      <c r="O153" s="74" t="s">
        <v>199</v>
      </c>
      <c r="P153" s="94" t="s">
        <v>589</v>
      </c>
      <c r="Q153" s="41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45918.0</v>
      </c>
      <c r="I154" s="68"/>
      <c r="J154" s="69"/>
      <c r="K154" s="85"/>
      <c r="L154" s="71"/>
      <c r="M154" s="72" t="s">
        <v>339</v>
      </c>
      <c r="N154" s="90">
        <v>118.68</v>
      </c>
      <c r="O154" s="74" t="s">
        <v>590</v>
      </c>
      <c r="P154" s="75">
        <v>0.5305555555555556</v>
      </c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45918.0</v>
      </c>
      <c r="I155" s="68"/>
      <c r="J155" s="69"/>
      <c r="K155" s="85"/>
      <c r="L155" s="71"/>
      <c r="M155" s="72" t="s">
        <v>57</v>
      </c>
      <c r="N155" s="90">
        <v>545.4</v>
      </c>
      <c r="O155" s="74" t="s">
        <v>199</v>
      </c>
      <c r="P155" s="75">
        <v>0.5777777777777777</v>
      </c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45918.0</v>
      </c>
      <c r="I156" s="68"/>
      <c r="J156" s="69"/>
      <c r="K156" s="70"/>
      <c r="L156" s="71"/>
      <c r="M156" s="72" t="s">
        <v>36</v>
      </c>
      <c r="N156" s="90">
        <v>1090.0</v>
      </c>
      <c r="O156" s="74" t="s">
        <v>511</v>
      </c>
      <c r="P156" s="75">
        <v>0.6493055555555556</v>
      </c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45918.0</v>
      </c>
      <c r="I157" s="68"/>
      <c r="J157" s="69"/>
      <c r="K157" s="70"/>
      <c r="L157" s="71"/>
      <c r="M157" s="72" t="s">
        <v>39</v>
      </c>
      <c r="N157" s="90">
        <v>2495.4</v>
      </c>
      <c r="O157" s="74" t="s">
        <v>591</v>
      </c>
      <c r="P157" s="75">
        <v>0.6618055555555555</v>
      </c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45918.0</v>
      </c>
      <c r="I158" s="68"/>
      <c r="J158" s="69"/>
      <c r="K158" s="87"/>
      <c r="L158" s="71"/>
      <c r="M158" s="72" t="s">
        <v>330</v>
      </c>
      <c r="N158" s="90">
        <v>455.84</v>
      </c>
      <c r="O158" s="74" t="s">
        <v>592</v>
      </c>
      <c r="P158" s="75">
        <v>0.6715277777777777</v>
      </c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45918.0</v>
      </c>
      <c r="I159" s="68"/>
      <c r="J159" s="69"/>
      <c r="K159" s="87"/>
      <c r="L159" s="71"/>
      <c r="M159" s="72" t="s">
        <v>452</v>
      </c>
      <c r="N159" s="90">
        <v>1090.0</v>
      </c>
      <c r="O159" s="74" t="s">
        <v>511</v>
      </c>
      <c r="P159" s="75">
        <v>0.6729166666666667</v>
      </c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45918.0</v>
      </c>
      <c r="I160" s="68"/>
      <c r="J160" s="69"/>
      <c r="K160" s="70"/>
      <c r="L160" s="88"/>
      <c r="M160" s="72" t="s">
        <v>39</v>
      </c>
      <c r="N160" s="90">
        <v>1150.0</v>
      </c>
      <c r="O160" s="74" t="s">
        <v>593</v>
      </c>
      <c r="P160" s="75">
        <v>0.6930555555555555</v>
      </c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45918.0</v>
      </c>
      <c r="I161" s="68" t="s">
        <v>495</v>
      </c>
      <c r="J161" s="69">
        <v>30000.0</v>
      </c>
      <c r="K161" s="70"/>
      <c r="L161" s="71">
        <v>0.7347222222222223</v>
      </c>
      <c r="M161" s="72" t="s">
        <v>36</v>
      </c>
      <c r="N161" s="90">
        <v>545.0</v>
      </c>
      <c r="O161" s="74" t="s">
        <v>505</v>
      </c>
      <c r="P161" s="75">
        <v>0.8222222222222222</v>
      </c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45918.0</v>
      </c>
      <c r="I162" s="68"/>
      <c r="J162" s="69"/>
      <c r="K162" s="93"/>
      <c r="L162" s="71"/>
      <c r="M162" s="72" t="s">
        <v>452</v>
      </c>
      <c r="N162" s="90">
        <v>1973.42</v>
      </c>
      <c r="O162" s="74" t="s">
        <v>594</v>
      </c>
      <c r="P162" s="75">
        <v>0.8243055555555555</v>
      </c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45918.0</v>
      </c>
      <c r="I163" s="68"/>
      <c r="J163" s="69"/>
      <c r="K163" s="70"/>
      <c r="L163" s="71"/>
      <c r="M163" s="72" t="s">
        <v>452</v>
      </c>
      <c r="N163" s="90">
        <v>1090.0</v>
      </c>
      <c r="O163" s="74" t="s">
        <v>511</v>
      </c>
      <c r="P163" s="75">
        <v>0.8680555555555556</v>
      </c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45918.0</v>
      </c>
      <c r="I164" s="68" t="s">
        <v>506</v>
      </c>
      <c r="J164" s="69">
        <v>1884.89</v>
      </c>
      <c r="K164" s="70" t="s">
        <v>155</v>
      </c>
      <c r="L164" s="71">
        <v>0.8965277777777778</v>
      </c>
      <c r="M164" s="72" t="s">
        <v>39</v>
      </c>
      <c r="N164" s="90">
        <v>1498.0</v>
      </c>
      <c r="O164" s="74" t="s">
        <v>595</v>
      </c>
      <c r="P164" s="75">
        <v>0.8972222222222223</v>
      </c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45919.0</v>
      </c>
      <c r="I165" s="68"/>
      <c r="J165" s="69"/>
      <c r="K165" s="70"/>
      <c r="L165" s="71"/>
      <c r="M165" s="72"/>
      <c r="N165" s="90"/>
      <c r="O165" s="74"/>
      <c r="P165" s="75"/>
      <c r="R165" s="39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45919.0</v>
      </c>
      <c r="I166" s="68"/>
      <c r="J166" s="69"/>
      <c r="K166" s="70"/>
      <c r="L166" s="71"/>
      <c r="M166" s="72"/>
      <c r="N166" s="90"/>
      <c r="O166" s="74"/>
      <c r="P166" s="75"/>
      <c r="Q166" s="125"/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45919.0</v>
      </c>
      <c r="I167" s="68"/>
      <c r="J167" s="69"/>
      <c r="K167" s="70"/>
      <c r="L167" s="71"/>
      <c r="M167" s="72" t="s">
        <v>452</v>
      </c>
      <c r="N167" s="90">
        <v>2180.0</v>
      </c>
      <c r="O167" s="74" t="s">
        <v>524</v>
      </c>
      <c r="P167" s="75">
        <v>0.48680555555555555</v>
      </c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45919.0</v>
      </c>
      <c r="I168" s="68"/>
      <c r="J168" s="69"/>
      <c r="K168" s="87"/>
      <c r="L168" s="71"/>
      <c r="M168" s="72" t="s">
        <v>36</v>
      </c>
      <c r="N168" s="90">
        <v>545.0</v>
      </c>
      <c r="O168" s="74" t="s">
        <v>505</v>
      </c>
      <c r="P168" s="75">
        <v>0.5097222222222222</v>
      </c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45919.0</v>
      </c>
      <c r="I169" s="68"/>
      <c r="J169" s="69"/>
      <c r="K169" s="70"/>
      <c r="L169" s="71"/>
      <c r="M169" s="72" t="s">
        <v>20</v>
      </c>
      <c r="N169" s="90">
        <v>76.5</v>
      </c>
      <c r="O169" s="74" t="s">
        <v>596</v>
      </c>
      <c r="P169" s="75">
        <v>0.5215277777777778</v>
      </c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45919.0</v>
      </c>
      <c r="I170" s="68"/>
      <c r="J170" s="69"/>
      <c r="K170" s="70"/>
      <c r="L170" s="71"/>
      <c r="M170" s="72" t="s">
        <v>75</v>
      </c>
      <c r="N170" s="90">
        <v>1423.1</v>
      </c>
      <c r="O170" s="74" t="s">
        <v>597</v>
      </c>
      <c r="P170" s="75">
        <v>0.5395833333333333</v>
      </c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45919.0</v>
      </c>
      <c r="I171" s="84"/>
      <c r="J171" s="17"/>
      <c r="K171" s="85"/>
      <c r="L171" s="86"/>
      <c r="M171" s="72" t="s">
        <v>452</v>
      </c>
      <c r="N171" s="90">
        <v>1090.0</v>
      </c>
      <c r="O171" s="74" t="s">
        <v>511</v>
      </c>
      <c r="P171" s="75">
        <v>0.5618055555555556</v>
      </c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45919.0</v>
      </c>
      <c r="I172" s="84"/>
      <c r="J172" s="17"/>
      <c r="K172" s="85"/>
      <c r="L172" s="86"/>
      <c r="M172" s="72" t="s">
        <v>20</v>
      </c>
      <c r="N172" s="90">
        <v>79.0</v>
      </c>
      <c r="O172" s="74" t="s">
        <v>581</v>
      </c>
      <c r="P172" s="75">
        <v>0.6131944444444445</v>
      </c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45919.0</v>
      </c>
      <c r="I173" s="84"/>
      <c r="J173" s="17"/>
      <c r="K173" s="85"/>
      <c r="L173" s="86"/>
      <c r="M173" s="72" t="s">
        <v>20</v>
      </c>
      <c r="N173" s="90">
        <v>10.07</v>
      </c>
      <c r="O173" s="74" t="s">
        <v>598</v>
      </c>
      <c r="P173" s="94">
        <v>16.09</v>
      </c>
      <c r="R173" s="39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45919.0</v>
      </c>
      <c r="I174" s="68" t="s">
        <v>495</v>
      </c>
      <c r="J174" s="69">
        <v>30000.0</v>
      </c>
      <c r="K174" s="70"/>
      <c r="L174" s="71">
        <v>0.7409722222222223</v>
      </c>
      <c r="M174" s="72" t="s">
        <v>39</v>
      </c>
      <c r="N174" s="90">
        <v>6211.62</v>
      </c>
      <c r="O174" s="74" t="s">
        <v>599</v>
      </c>
      <c r="P174" s="75">
        <v>0.7513888888888889</v>
      </c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45919.0</v>
      </c>
      <c r="I175" s="68"/>
      <c r="J175" s="69"/>
      <c r="K175" s="87"/>
      <c r="L175" s="71"/>
      <c r="M175" s="72" t="s">
        <v>36</v>
      </c>
      <c r="N175" s="90">
        <v>1090.0</v>
      </c>
      <c r="O175" s="74" t="s">
        <v>511</v>
      </c>
      <c r="P175" s="75">
        <v>0.7784722222222222</v>
      </c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45919.0</v>
      </c>
      <c r="I176" s="68"/>
      <c r="J176" s="69"/>
      <c r="K176" s="70"/>
      <c r="L176" s="71"/>
      <c r="M176" s="72" t="s">
        <v>452</v>
      </c>
      <c r="N176" s="90">
        <v>4360.0</v>
      </c>
      <c r="O176" s="74" t="s">
        <v>600</v>
      </c>
      <c r="P176" s="75">
        <v>0.8097222222222222</v>
      </c>
      <c r="Q176" s="41"/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>
        <v>45919.0</v>
      </c>
      <c r="I177" s="68"/>
      <c r="J177" s="69"/>
      <c r="K177" s="70"/>
      <c r="L177" s="71"/>
      <c r="M177" s="72" t="s">
        <v>469</v>
      </c>
      <c r="N177" s="90">
        <v>3454.2</v>
      </c>
      <c r="O177" s="74" t="s">
        <v>601</v>
      </c>
      <c r="P177" s="75">
        <v>0.83125</v>
      </c>
      <c r="Q177" s="41"/>
      <c r="R177" s="39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>
        <v>45919.0</v>
      </c>
      <c r="I178" s="68"/>
      <c r="J178" s="69"/>
      <c r="K178" s="70"/>
      <c r="L178" s="71"/>
      <c r="M178" s="72" t="s">
        <v>20</v>
      </c>
      <c r="N178" s="90">
        <v>964.0</v>
      </c>
      <c r="O178" s="74" t="s">
        <v>602</v>
      </c>
      <c r="P178" s="75">
        <v>0.8444444444444444</v>
      </c>
      <c r="Q178" s="41"/>
      <c r="R178" s="39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>
        <v>45919.0</v>
      </c>
      <c r="I179" s="68"/>
      <c r="J179" s="69"/>
      <c r="K179" s="70"/>
      <c r="L179" s="71"/>
      <c r="M179" s="72" t="s">
        <v>81</v>
      </c>
      <c r="N179" s="90">
        <v>9715.0</v>
      </c>
      <c r="O179" s="74"/>
      <c r="P179" s="75">
        <v>0.8458333333333333</v>
      </c>
      <c r="Q179" s="41"/>
      <c r="R179" s="39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>
        <v>45919.0</v>
      </c>
      <c r="I180" s="68"/>
      <c r="J180" s="69"/>
      <c r="K180" s="87"/>
      <c r="L180" s="71"/>
      <c r="M180" s="72" t="s">
        <v>452</v>
      </c>
      <c r="N180" s="90">
        <v>1090.0</v>
      </c>
      <c r="O180" s="74" t="s">
        <v>511</v>
      </c>
      <c r="P180" s="75">
        <v>0.8791666666666667</v>
      </c>
      <c r="R180" s="39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>
        <v>45919.0</v>
      </c>
      <c r="I181" s="68"/>
      <c r="J181" s="69"/>
      <c r="K181" s="85"/>
      <c r="L181" s="71"/>
      <c r="M181" s="72" t="s">
        <v>39</v>
      </c>
      <c r="N181" s="90">
        <v>1605.0</v>
      </c>
      <c r="O181" s="74" t="s">
        <v>565</v>
      </c>
      <c r="P181" s="75">
        <v>0.9652777777777778</v>
      </c>
      <c r="Q181" s="125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>
        <v>45920.0</v>
      </c>
      <c r="I182" s="68"/>
      <c r="J182" s="69"/>
      <c r="K182" s="85"/>
      <c r="L182" s="71"/>
      <c r="M182" s="72" t="s">
        <v>20</v>
      </c>
      <c r="N182" s="19">
        <v>79.0</v>
      </c>
      <c r="O182" s="126" t="s">
        <v>266</v>
      </c>
      <c r="P182" s="94" t="s">
        <v>603</v>
      </c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>
        <v>45920.0</v>
      </c>
      <c r="I183" s="68"/>
      <c r="J183" s="69"/>
      <c r="K183" s="85"/>
      <c r="L183" s="71"/>
      <c r="M183" s="72" t="s">
        <v>20</v>
      </c>
      <c r="N183" s="19">
        <v>66.0</v>
      </c>
      <c r="O183" s="126" t="s">
        <v>468</v>
      </c>
      <c r="P183" s="94" t="s">
        <v>364</v>
      </c>
      <c r="Q183" s="41"/>
      <c r="R183" s="39"/>
      <c r="S183" s="125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>
        <v>45920.0</v>
      </c>
      <c r="I184" s="68"/>
      <c r="J184" s="69"/>
      <c r="K184" s="87"/>
      <c r="L184" s="71"/>
      <c r="M184" s="72" t="s">
        <v>39</v>
      </c>
      <c r="N184" s="90">
        <v>1070.0</v>
      </c>
      <c r="O184" s="74" t="s">
        <v>551</v>
      </c>
      <c r="P184" s="94" t="s">
        <v>604</v>
      </c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>
        <v>45920.0</v>
      </c>
      <c r="I185" s="68" t="s">
        <v>504</v>
      </c>
      <c r="J185" s="69">
        <v>200.0</v>
      </c>
      <c r="K185" s="87"/>
      <c r="L185" s="71">
        <v>0.7104166666666667</v>
      </c>
      <c r="M185" s="127"/>
      <c r="N185" s="19"/>
      <c r="O185" s="128"/>
      <c r="P185" s="129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>
        <v>45920.0</v>
      </c>
      <c r="I186" s="68" t="s">
        <v>503</v>
      </c>
      <c r="J186" s="69">
        <v>18000.0</v>
      </c>
      <c r="K186" s="87"/>
      <c r="L186" s="71">
        <v>0.8083333333333333</v>
      </c>
      <c r="M186" s="72" t="s">
        <v>81</v>
      </c>
      <c r="N186" s="90">
        <v>11455.0</v>
      </c>
      <c r="O186" s="74"/>
      <c r="P186" s="75">
        <v>0.8145833333333333</v>
      </c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>
        <v>45921.0</v>
      </c>
      <c r="I187" s="84"/>
      <c r="J187" s="17"/>
      <c r="K187" s="85"/>
      <c r="L187" s="86"/>
      <c r="M187" s="72" t="s">
        <v>20</v>
      </c>
      <c r="N187" s="90">
        <v>89.0</v>
      </c>
      <c r="O187" s="74" t="s">
        <v>605</v>
      </c>
      <c r="P187" s="75">
        <v>0.8388888888888889</v>
      </c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>
        <v>45921.0</v>
      </c>
      <c r="I188" s="84"/>
      <c r="J188" s="17"/>
      <c r="K188" s="85"/>
      <c r="L188" s="86"/>
      <c r="M188" s="72" t="s">
        <v>14</v>
      </c>
      <c r="N188" s="90">
        <v>240.0</v>
      </c>
      <c r="O188" s="74" t="s">
        <v>606</v>
      </c>
      <c r="P188" s="94" t="s">
        <v>589</v>
      </c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>
        <v>45921.0</v>
      </c>
      <c r="I189" s="84"/>
      <c r="J189" s="17"/>
      <c r="K189" s="85"/>
      <c r="L189" s="86"/>
      <c r="M189" s="72" t="s">
        <v>47</v>
      </c>
      <c r="N189" s="90">
        <v>6334.3</v>
      </c>
      <c r="O189" s="74" t="s">
        <v>607</v>
      </c>
      <c r="P189" s="94" t="s">
        <v>608</v>
      </c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>
        <v>45922.0</v>
      </c>
      <c r="I190" s="84"/>
      <c r="J190" s="17"/>
      <c r="K190" s="85"/>
      <c r="L190" s="86"/>
      <c r="M190" s="72" t="s">
        <v>36</v>
      </c>
      <c r="N190" s="90">
        <v>150.0</v>
      </c>
      <c r="O190" s="74" t="s">
        <v>609</v>
      </c>
      <c r="P190" s="75">
        <v>0.44513888888888886</v>
      </c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>
        <v>45922.0</v>
      </c>
      <c r="I191" s="68"/>
      <c r="J191" s="69"/>
      <c r="K191" s="87"/>
      <c r="L191" s="71"/>
      <c r="M191" s="72" t="s">
        <v>36</v>
      </c>
      <c r="N191" s="90">
        <v>1090.0</v>
      </c>
      <c r="O191" s="74" t="s">
        <v>511</v>
      </c>
      <c r="P191" s="75">
        <v>0.47291666666666665</v>
      </c>
      <c r="Q191" s="41"/>
      <c r="R191" s="39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>
        <v>45922.0</v>
      </c>
      <c r="I192" s="84"/>
      <c r="J192" s="17"/>
      <c r="K192" s="85"/>
      <c r="L192" s="86"/>
      <c r="M192" s="72" t="s">
        <v>20</v>
      </c>
      <c r="N192" s="90">
        <v>79.0</v>
      </c>
      <c r="O192" s="74" t="s">
        <v>581</v>
      </c>
      <c r="P192" s="75">
        <v>0.4861111111111111</v>
      </c>
      <c r="Q192" s="41"/>
      <c r="R192" s="39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>
        <v>45922.0</v>
      </c>
      <c r="I193" s="84"/>
      <c r="J193" s="17"/>
      <c r="K193" s="85"/>
      <c r="L193" s="86"/>
      <c r="M193" s="72" t="s">
        <v>75</v>
      </c>
      <c r="N193" s="90">
        <v>1455.04</v>
      </c>
      <c r="O193" s="74" t="s">
        <v>610</v>
      </c>
      <c r="P193" s="75">
        <v>0.6673611111111111</v>
      </c>
      <c r="Q193" s="41"/>
      <c r="R193" s="39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>
        <v>45922.0</v>
      </c>
      <c r="I194" s="84"/>
      <c r="J194" s="17"/>
      <c r="K194" s="85"/>
      <c r="L194" s="86"/>
      <c r="M194" s="72" t="s">
        <v>20</v>
      </c>
      <c r="N194" s="90">
        <v>75.0</v>
      </c>
      <c r="O194" s="74" t="s">
        <v>611</v>
      </c>
      <c r="P194" s="75">
        <v>0.6777777777777778</v>
      </c>
      <c r="Q194" s="41"/>
      <c r="R194" s="39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>
        <v>45923.0</v>
      </c>
      <c r="I195" s="84"/>
      <c r="J195" s="17"/>
      <c r="K195" s="85"/>
      <c r="L195" s="86"/>
      <c r="M195" s="72" t="s">
        <v>30</v>
      </c>
      <c r="N195" s="90">
        <v>2260.0</v>
      </c>
      <c r="O195" s="74" t="s">
        <v>612</v>
      </c>
      <c r="P195" s="94" t="s">
        <v>587</v>
      </c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>
        <v>45923.0</v>
      </c>
      <c r="I196" s="84"/>
      <c r="J196" s="17"/>
      <c r="K196" s="85"/>
      <c r="L196" s="86"/>
      <c r="M196" s="72" t="s">
        <v>20</v>
      </c>
      <c r="N196" s="90">
        <v>10.07</v>
      </c>
      <c r="O196" s="74" t="s">
        <v>598</v>
      </c>
      <c r="P196" s="94" t="s">
        <v>613</v>
      </c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>
        <v>45923.0</v>
      </c>
      <c r="I197" s="84"/>
      <c r="J197" s="17"/>
      <c r="K197" s="85"/>
      <c r="L197" s="86"/>
      <c r="M197" s="72" t="s">
        <v>47</v>
      </c>
      <c r="N197" s="90">
        <v>6831.57</v>
      </c>
      <c r="O197" s="74" t="s">
        <v>614</v>
      </c>
      <c r="P197" s="75">
        <v>0.64375</v>
      </c>
      <c r="Q197" s="41"/>
      <c r="R197" s="39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>
        <v>45923.0</v>
      </c>
      <c r="I198" s="84"/>
      <c r="J198" s="17"/>
      <c r="K198" s="85"/>
      <c r="L198" s="86"/>
      <c r="M198" s="72" t="s">
        <v>339</v>
      </c>
      <c r="N198" s="90">
        <v>607.62</v>
      </c>
      <c r="O198" s="74" t="s">
        <v>615</v>
      </c>
      <c r="P198" s="75">
        <v>0.7104166666666667</v>
      </c>
      <c r="Q198" s="41"/>
      <c r="R198" s="39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>
        <v>45923.0</v>
      </c>
      <c r="I199" s="84"/>
      <c r="J199" s="17"/>
      <c r="K199" s="85"/>
      <c r="L199" s="86"/>
      <c r="M199" s="72" t="s">
        <v>20</v>
      </c>
      <c r="N199" s="90">
        <v>79.0</v>
      </c>
      <c r="O199" s="74" t="s">
        <v>581</v>
      </c>
      <c r="P199" s="75">
        <v>0.7354166666666667</v>
      </c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>
        <v>45923.0</v>
      </c>
      <c r="I200" s="84"/>
      <c r="J200" s="17"/>
      <c r="K200" s="85"/>
      <c r="L200" s="86"/>
      <c r="M200" s="72" t="s">
        <v>20</v>
      </c>
      <c r="N200" s="90">
        <v>110.0</v>
      </c>
      <c r="O200" s="74" t="s">
        <v>616</v>
      </c>
      <c r="P200" s="75">
        <v>0.7381944444444445</v>
      </c>
      <c r="Q200" s="41"/>
      <c r="R200" s="39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>
        <v>45923.0</v>
      </c>
      <c r="I201" s="84"/>
      <c r="J201" s="17"/>
      <c r="K201" s="85"/>
      <c r="L201" s="86"/>
      <c r="M201" s="72" t="s">
        <v>20</v>
      </c>
      <c r="N201" s="90">
        <v>115.0</v>
      </c>
      <c r="O201" s="74" t="s">
        <v>616</v>
      </c>
      <c r="P201" s="75">
        <v>0.7541666666666667</v>
      </c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>
        <v>45923.0</v>
      </c>
      <c r="I202" s="84"/>
      <c r="J202" s="17"/>
      <c r="K202" s="85"/>
      <c r="L202" s="86"/>
      <c r="M202" s="72" t="s">
        <v>154</v>
      </c>
      <c r="N202" s="90">
        <v>217.296</v>
      </c>
      <c r="O202" s="74" t="s">
        <v>617</v>
      </c>
      <c r="P202" s="75">
        <v>0.7805555555555556</v>
      </c>
      <c r="Q202" s="41"/>
      <c r="R202" s="39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>
        <v>45924.0</v>
      </c>
      <c r="I203" s="84"/>
      <c r="J203" s="17"/>
      <c r="K203" s="85"/>
      <c r="L203" s="86"/>
      <c r="M203" s="72" t="s">
        <v>20</v>
      </c>
      <c r="N203" s="90">
        <v>79.0</v>
      </c>
      <c r="O203" s="74" t="s">
        <v>581</v>
      </c>
      <c r="P203" s="75">
        <v>0.4909722222222222</v>
      </c>
      <c r="Q203" s="41"/>
      <c r="R203" s="39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>
        <v>45924.0</v>
      </c>
      <c r="I204" s="84"/>
      <c r="J204" s="17"/>
      <c r="K204" s="85"/>
      <c r="L204" s="86"/>
      <c r="M204" s="72" t="s">
        <v>20</v>
      </c>
      <c r="N204" s="90">
        <v>56.0</v>
      </c>
      <c r="O204" s="74" t="s">
        <v>468</v>
      </c>
      <c r="P204" s="75">
        <v>0.4979166666666667</v>
      </c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>
        <v>45924.0</v>
      </c>
      <c r="I205" s="84"/>
      <c r="J205" s="17"/>
      <c r="K205" s="85"/>
      <c r="L205" s="86"/>
      <c r="M205" s="72" t="s">
        <v>264</v>
      </c>
      <c r="N205" s="90">
        <v>303.0</v>
      </c>
      <c r="O205" s="74" t="s">
        <v>618</v>
      </c>
      <c r="P205" s="75">
        <v>0.5006944444444444</v>
      </c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>
        <v>45924.0</v>
      </c>
      <c r="I206" s="84"/>
      <c r="J206" s="17"/>
      <c r="K206" s="85"/>
      <c r="L206" s="86"/>
      <c r="M206" s="72" t="s">
        <v>20</v>
      </c>
      <c r="N206" s="90">
        <v>500.0</v>
      </c>
      <c r="O206" s="74" t="s">
        <v>382</v>
      </c>
      <c r="P206" s="75">
        <v>0.5243055555555556</v>
      </c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>
        <v>45924.0</v>
      </c>
      <c r="I207" s="84"/>
      <c r="J207" s="17"/>
      <c r="K207" s="85"/>
      <c r="L207" s="86"/>
      <c r="M207" s="72" t="s">
        <v>111</v>
      </c>
      <c r="N207" s="90">
        <v>102.5</v>
      </c>
      <c r="O207" s="74" t="s">
        <v>619</v>
      </c>
      <c r="P207" s="75">
        <v>0.7881944444444444</v>
      </c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>
        <v>45925.0</v>
      </c>
      <c r="I208" s="84"/>
      <c r="J208" s="17"/>
      <c r="K208" s="85"/>
      <c r="L208" s="86"/>
      <c r="M208" s="72" t="s">
        <v>111</v>
      </c>
      <c r="N208" s="90">
        <v>102.5</v>
      </c>
      <c r="O208" s="74" t="s">
        <v>619</v>
      </c>
      <c r="P208" s="94" t="s">
        <v>620</v>
      </c>
      <c r="Q208" s="41"/>
      <c r="R208" s="39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>
        <v>45925.0</v>
      </c>
      <c r="I209" s="84"/>
      <c r="J209" s="17"/>
      <c r="K209" s="85"/>
      <c r="L209" s="86"/>
      <c r="M209" s="72" t="s">
        <v>20</v>
      </c>
      <c r="N209" s="90">
        <v>79.0</v>
      </c>
      <c r="O209" s="74" t="s">
        <v>581</v>
      </c>
      <c r="P209" s="75">
        <v>0.5395833333333333</v>
      </c>
      <c r="Q209" s="41"/>
      <c r="R209" s="39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>
        <v>45925.0</v>
      </c>
      <c r="I210" s="84"/>
      <c r="J210" s="17"/>
      <c r="K210" s="85"/>
      <c r="L210" s="86"/>
      <c r="M210" s="72" t="s">
        <v>111</v>
      </c>
      <c r="N210" s="90">
        <v>615.0</v>
      </c>
      <c r="O210" s="74" t="s">
        <v>621</v>
      </c>
      <c r="P210" s="75">
        <v>0.6534722222222222</v>
      </c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>
        <v>45925.0</v>
      </c>
      <c r="I211" s="84"/>
      <c r="J211" s="17"/>
      <c r="K211" s="85"/>
      <c r="L211" s="86"/>
      <c r="M211" s="72" t="s">
        <v>47</v>
      </c>
      <c r="N211" s="90">
        <v>6792.72</v>
      </c>
      <c r="O211" s="74" t="s">
        <v>622</v>
      </c>
      <c r="P211" s="75">
        <v>0.7194444444444444</v>
      </c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>
        <v>45925.0</v>
      </c>
      <c r="I212" s="84"/>
      <c r="J212" s="17"/>
      <c r="K212" s="85"/>
      <c r="L212" s="86"/>
      <c r="M212" s="72" t="s">
        <v>20</v>
      </c>
      <c r="N212" s="90">
        <v>288.25</v>
      </c>
      <c r="O212" s="74" t="s">
        <v>26</v>
      </c>
      <c r="P212" s="75">
        <v>0.7375</v>
      </c>
      <c r="Q212" s="41"/>
      <c r="R212" s="39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>
        <v>45926.0</v>
      </c>
      <c r="I213" s="84"/>
      <c r="J213" s="17"/>
      <c r="K213" s="85"/>
      <c r="L213" s="86"/>
      <c r="M213" s="72" t="s">
        <v>20</v>
      </c>
      <c r="N213" s="90">
        <v>118.0</v>
      </c>
      <c r="O213" s="74" t="s">
        <v>623</v>
      </c>
      <c r="P213" s="75">
        <v>0.4236111111111111</v>
      </c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>
        <v>45926.0</v>
      </c>
      <c r="I214" s="84"/>
      <c r="J214" s="17"/>
      <c r="K214" s="85"/>
      <c r="L214" s="86"/>
      <c r="M214" s="72" t="s">
        <v>20</v>
      </c>
      <c r="N214" s="90">
        <v>110.0</v>
      </c>
      <c r="O214" s="74" t="s">
        <v>624</v>
      </c>
      <c r="P214" s="75">
        <v>0.6076388888888888</v>
      </c>
      <c r="Q214" s="41"/>
      <c r="R214" s="39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>
        <v>45926.0</v>
      </c>
      <c r="I215" s="68" t="s">
        <v>495</v>
      </c>
      <c r="J215" s="69">
        <v>3944.0</v>
      </c>
      <c r="K215" s="85"/>
      <c r="L215" s="71">
        <v>0.7541666666666667</v>
      </c>
      <c r="M215" s="72" t="s">
        <v>268</v>
      </c>
      <c r="N215" s="90">
        <v>540.0</v>
      </c>
      <c r="O215" s="74" t="s">
        <v>269</v>
      </c>
      <c r="P215" s="75">
        <v>0.8180555555555555</v>
      </c>
      <c r="Q215" s="41"/>
      <c r="R215" s="39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>
        <v>45927.0</v>
      </c>
      <c r="I216" s="84"/>
      <c r="J216" s="17"/>
      <c r="K216" s="85"/>
      <c r="L216" s="86"/>
      <c r="M216" s="72" t="s">
        <v>20</v>
      </c>
      <c r="N216" s="90">
        <v>680.0</v>
      </c>
      <c r="O216" s="74" t="s">
        <v>625</v>
      </c>
      <c r="P216" s="75">
        <v>0.6736111111111112</v>
      </c>
      <c r="Q216" s="41"/>
      <c r="R216" s="39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>
        <v>45928.0</v>
      </c>
      <c r="I217" s="84"/>
      <c r="J217" s="17"/>
      <c r="K217" s="85"/>
      <c r="L217" s="86"/>
      <c r="M217" s="72" t="s">
        <v>20</v>
      </c>
      <c r="N217" s="90">
        <v>118.0</v>
      </c>
      <c r="O217" s="74" t="s">
        <v>623</v>
      </c>
      <c r="P217" s="94" t="s">
        <v>626</v>
      </c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>
        <v>45929.0</v>
      </c>
      <c r="I218" s="84"/>
      <c r="J218" s="17"/>
      <c r="K218" s="85"/>
      <c r="L218" s="86"/>
      <c r="M218" s="72" t="s">
        <v>342</v>
      </c>
      <c r="N218" s="90">
        <v>109.08</v>
      </c>
      <c r="O218" s="74" t="s">
        <v>627</v>
      </c>
      <c r="P218" s="75">
        <v>0.45555555555555555</v>
      </c>
      <c r="Q218" s="41"/>
      <c r="R218" s="39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>
        <v>45929.0</v>
      </c>
      <c r="I219" s="84"/>
      <c r="J219" s="17"/>
      <c r="K219" s="85"/>
      <c r="L219" s="86"/>
      <c r="M219" s="72" t="s">
        <v>20</v>
      </c>
      <c r="N219" s="19">
        <f>52*2</f>
        <v>104</v>
      </c>
      <c r="O219" s="74" t="s">
        <v>628</v>
      </c>
      <c r="P219" s="75">
        <v>0.475</v>
      </c>
      <c r="Q219" s="41"/>
      <c r="R219" s="39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>
        <v>45929.0</v>
      </c>
      <c r="I220" s="84"/>
      <c r="J220" s="17"/>
      <c r="K220" s="85"/>
      <c r="L220" s="86"/>
      <c r="M220" s="72" t="s">
        <v>20</v>
      </c>
      <c r="N220" s="90">
        <v>16.97</v>
      </c>
      <c r="O220" s="74" t="s">
        <v>400</v>
      </c>
      <c r="P220" s="75">
        <v>0.4965277777777778</v>
      </c>
      <c r="Q220" s="41"/>
      <c r="R220" s="39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>
        <v>45929.0</v>
      </c>
      <c r="I221" s="84"/>
      <c r="J221" s="17"/>
      <c r="K221" s="85"/>
      <c r="L221" s="86"/>
      <c r="M221" s="72" t="s">
        <v>154</v>
      </c>
      <c r="N221" s="90">
        <v>117.3</v>
      </c>
      <c r="O221" s="74" t="s">
        <v>629</v>
      </c>
      <c r="P221" s="75">
        <v>0.55</v>
      </c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>
        <v>45929.0</v>
      </c>
      <c r="I222" s="84"/>
      <c r="J222" s="17"/>
      <c r="K222" s="85"/>
      <c r="L222" s="86"/>
      <c r="M222" s="72" t="s">
        <v>20</v>
      </c>
      <c r="N222" s="90">
        <v>74.0</v>
      </c>
      <c r="O222" s="74" t="s">
        <v>630</v>
      </c>
      <c r="P222" s="75">
        <v>0.55625</v>
      </c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>
        <v>45929.0</v>
      </c>
      <c r="I223" s="84"/>
      <c r="J223" s="17"/>
      <c r="K223" s="85"/>
      <c r="L223" s="86"/>
      <c r="M223" s="72" t="s">
        <v>47</v>
      </c>
      <c r="N223" s="90">
        <v>13539.75</v>
      </c>
      <c r="O223" s="74" t="s">
        <v>631</v>
      </c>
      <c r="P223" s="75">
        <v>0.6361111111111111</v>
      </c>
      <c r="Q223" s="41"/>
      <c r="R223" s="39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>
        <v>45929.0</v>
      </c>
      <c r="I224" s="84"/>
      <c r="J224" s="17"/>
      <c r="K224" s="85"/>
      <c r="L224" s="86"/>
      <c r="M224" s="72" t="s">
        <v>20</v>
      </c>
      <c r="N224" s="90">
        <v>157.14</v>
      </c>
      <c r="O224" s="74" t="s">
        <v>632</v>
      </c>
      <c r="P224" s="75">
        <v>0.6402777777777777</v>
      </c>
      <c r="Q224" s="41"/>
      <c r="R224" s="39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67">
        <v>45929.0</v>
      </c>
      <c r="I225" s="84"/>
      <c r="J225" s="17"/>
      <c r="K225" s="85"/>
      <c r="L225" s="86"/>
      <c r="M225" s="72" t="s">
        <v>20</v>
      </c>
      <c r="N225" s="90">
        <v>500.0</v>
      </c>
      <c r="O225" s="74" t="s">
        <v>382</v>
      </c>
      <c r="P225" s="94" t="s">
        <v>633</v>
      </c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67">
        <v>45929.0</v>
      </c>
      <c r="I226" s="84"/>
      <c r="J226" s="17"/>
      <c r="K226" s="85"/>
      <c r="L226" s="86"/>
      <c r="M226" s="72" t="s">
        <v>342</v>
      </c>
      <c r="N226" s="90">
        <v>109.08</v>
      </c>
      <c r="O226" s="74" t="s">
        <v>627</v>
      </c>
      <c r="P226" s="75">
        <v>0.7430555555555556</v>
      </c>
      <c r="Q226" s="41"/>
      <c r="R226" s="39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67">
        <v>45929.0</v>
      </c>
      <c r="I227" s="68" t="s">
        <v>263</v>
      </c>
      <c r="J227" s="69">
        <v>30000.0</v>
      </c>
      <c r="K227" s="85"/>
      <c r="L227" s="88" t="s">
        <v>334</v>
      </c>
      <c r="M227" s="72" t="s">
        <v>268</v>
      </c>
      <c r="N227" s="90">
        <v>540.0</v>
      </c>
      <c r="O227" s="74" t="s">
        <v>269</v>
      </c>
      <c r="P227" s="94" t="s">
        <v>634</v>
      </c>
      <c r="Q227" s="41"/>
      <c r="R227" s="39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67">
        <v>45929.0</v>
      </c>
      <c r="I228" s="84"/>
      <c r="J228" s="17"/>
      <c r="K228" s="85"/>
      <c r="L228" s="86"/>
      <c r="M228" s="72" t="s">
        <v>47</v>
      </c>
      <c r="N228" s="90">
        <v>13685.91</v>
      </c>
      <c r="O228" s="74" t="s">
        <v>635</v>
      </c>
      <c r="P228" s="94" t="s">
        <v>636</v>
      </c>
      <c r="Q228" s="41"/>
      <c r="R228" s="39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67">
        <v>45931.0</v>
      </c>
      <c r="I229" s="84"/>
      <c r="J229" s="17"/>
      <c r="K229" s="85"/>
      <c r="L229" s="86"/>
      <c r="M229" s="72" t="s">
        <v>475</v>
      </c>
      <c r="N229" s="90">
        <v>152.53</v>
      </c>
      <c r="O229" s="74" t="s">
        <v>637</v>
      </c>
      <c r="P229" s="75">
        <v>0.6111111111111112</v>
      </c>
      <c r="Q229" s="41"/>
      <c r="R229" s="39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67">
        <v>45931.0</v>
      </c>
      <c r="I230" s="84"/>
      <c r="J230" s="17"/>
      <c r="K230" s="85"/>
      <c r="L230" s="86"/>
      <c r="M230" s="72" t="s">
        <v>47</v>
      </c>
      <c r="N230" s="90">
        <v>14877.76</v>
      </c>
      <c r="O230" s="74" t="s">
        <v>638</v>
      </c>
      <c r="P230" s="75">
        <v>0.6930555555555555</v>
      </c>
      <c r="Q230" s="41"/>
      <c r="R230" s="39"/>
      <c r="S230" s="95" t="s">
        <v>639</v>
      </c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/>
      <c r="H231" s="67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143"/>
      <c r="T231" s="143"/>
      <c r="U231" s="143"/>
      <c r="V231" s="143"/>
      <c r="W231" s="143"/>
      <c r="X231" s="144"/>
      <c r="Y231" s="145"/>
      <c r="Z231" s="145"/>
      <c r="AA231" s="145"/>
      <c r="AB231" s="30"/>
    </row>
    <row r="232" ht="27.75" customHeight="1">
      <c r="A232" s="29"/>
      <c r="B232" s="29"/>
      <c r="C232" s="29"/>
      <c r="D232" s="29"/>
      <c r="E232" s="29"/>
      <c r="F232" s="30"/>
      <c r="G232" s="122"/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/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/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/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/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/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/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/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/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/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6:AB36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0.38"/>
    <col customWidth="1" min="22" max="28" width="6.88"/>
  </cols>
  <sheetData>
    <row r="1" ht="48.75" customHeight="1">
      <c r="A1" s="1" t="s">
        <v>0</v>
      </c>
      <c r="B1" s="2"/>
      <c r="C1" s="3" t="s">
        <v>640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641</v>
      </c>
      <c r="D4" s="21"/>
      <c r="E4" s="20"/>
      <c r="F4" s="21"/>
      <c r="G4" s="23" t="s">
        <v>642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7033.375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417091.9437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643</v>
      </c>
      <c r="D7" s="54" t="s">
        <v>16</v>
      </c>
      <c r="E7" s="29"/>
      <c r="F7" s="30"/>
      <c r="G7" s="55">
        <v>1.0</v>
      </c>
      <c r="H7" s="56">
        <v>45870.0</v>
      </c>
      <c r="I7" s="57" t="s">
        <v>644</v>
      </c>
      <c r="J7" s="58">
        <f>'2025年7月收支财务报表'!C25</f>
        <v>368534.2709</v>
      </c>
      <c r="K7" s="59"/>
      <c r="L7" s="60"/>
      <c r="M7" s="61" t="s">
        <v>20</v>
      </c>
      <c r="N7" s="62">
        <v>40.0</v>
      </c>
      <c r="O7" s="63" t="s">
        <v>645</v>
      </c>
      <c r="P7" s="64">
        <v>0.5666666666666667</v>
      </c>
      <c r="Q7" s="41"/>
      <c r="R7" s="39"/>
      <c r="S7" s="25">
        <f>SUMIF(M:M,"深圳芳林子",N:N)</f>
        <v>570.65</v>
      </c>
      <c r="T7" s="101" t="s">
        <v>469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45870.0</v>
      </c>
      <c r="I8" s="68" t="s">
        <v>646</v>
      </c>
      <c r="J8" s="69">
        <v>7520.0</v>
      </c>
      <c r="K8" s="70" t="s">
        <v>647</v>
      </c>
      <c r="L8" s="71">
        <v>0.6145833333333334</v>
      </c>
      <c r="M8" s="80" t="s">
        <v>75</v>
      </c>
      <c r="N8" s="90">
        <v>6601.28</v>
      </c>
      <c r="O8" s="74" t="s">
        <v>648</v>
      </c>
      <c r="P8" s="75">
        <v>0.6791666666666667</v>
      </c>
      <c r="R8" s="39"/>
      <c r="S8" s="25">
        <f>SUMIF(M:M,"印度企业户 欧洲美金户",N:N)</f>
        <v>10544.56</v>
      </c>
      <c r="T8" s="101" t="s">
        <v>339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888102.5379</v>
      </c>
      <c r="D9" s="30"/>
      <c r="E9" s="29"/>
      <c r="F9" s="30"/>
      <c r="G9" s="66">
        <v>3.0</v>
      </c>
      <c r="H9" s="56">
        <v>45870.0</v>
      </c>
      <c r="I9" s="68"/>
      <c r="J9" s="69"/>
      <c r="K9" s="70"/>
      <c r="L9" s="71"/>
      <c r="M9" s="80" t="s">
        <v>75</v>
      </c>
      <c r="N9" s="90">
        <v>8424.59</v>
      </c>
      <c r="O9" s="74" t="s">
        <v>649</v>
      </c>
      <c r="P9" s="75">
        <v>0.8993055555555556</v>
      </c>
      <c r="Q9" s="41"/>
      <c r="R9" s="39"/>
      <c r="S9" s="149">
        <f>SUMIF(M:M,"凤凰渠道-泰华",N:N)</f>
        <v>48872.05</v>
      </c>
      <c r="T9" s="150" t="s">
        <v>75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45871.0</v>
      </c>
      <c r="I10" s="68"/>
      <c r="J10" s="69"/>
      <c r="K10" s="70"/>
      <c r="L10" s="71"/>
      <c r="M10" s="72" t="s">
        <v>20</v>
      </c>
      <c r="N10" s="90">
        <v>500.0</v>
      </c>
      <c r="O10" s="74" t="s">
        <v>211</v>
      </c>
      <c r="P10" s="75">
        <v>0.4361111111111111</v>
      </c>
      <c r="R10" s="39"/>
      <c r="S10" s="149">
        <f>SUMIF(M:M,"Vcc-102524 服务费1（泰华）",N:N)</f>
        <v>202</v>
      </c>
      <c r="T10" s="101" t="s">
        <v>264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775771.7887</v>
      </c>
      <c r="D11" s="30"/>
      <c r="E11" s="29"/>
      <c r="F11" s="30"/>
      <c r="G11" s="66">
        <v>5.0</v>
      </c>
      <c r="H11" s="67">
        <v>45871.0</v>
      </c>
      <c r="I11" s="68" t="s">
        <v>646</v>
      </c>
      <c r="J11" s="69">
        <v>3040.0</v>
      </c>
      <c r="K11" s="70" t="s">
        <v>650</v>
      </c>
      <c r="L11" s="71">
        <v>0.6972222222222222</v>
      </c>
      <c r="M11" s="80" t="s">
        <v>75</v>
      </c>
      <c r="N11" s="90">
        <v>12075.0</v>
      </c>
      <c r="O11" s="74" t="s">
        <v>651</v>
      </c>
      <c r="P11" s="94" t="s">
        <v>652</v>
      </c>
      <c r="R11" s="39"/>
      <c r="S11" s="149">
        <f>SUMIF(M:M,"🌹R|泰华&amp;云峰合作群美金企业户12+1",N:N)</f>
        <v>2262.4</v>
      </c>
      <c r="T11" s="101" t="s">
        <v>653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45871.0</v>
      </c>
      <c r="I12" s="84"/>
      <c r="J12" s="17"/>
      <c r="K12" s="85"/>
      <c r="L12" s="86"/>
      <c r="M12" s="80" t="s">
        <v>75</v>
      </c>
      <c r="N12" s="90">
        <v>4600.0</v>
      </c>
      <c r="O12" s="74" t="s">
        <v>654</v>
      </c>
      <c r="P12" s="75">
        <v>0.9263888888888889</v>
      </c>
      <c r="R12" s="39"/>
      <c r="S12" s="25">
        <f>SUMIF(M:M,"GT&amp;SHEN 欧洲户８＋１ 港60+5+1",N:N)</f>
        <v>13287.51</v>
      </c>
      <c r="T12" s="101" t="s">
        <v>452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112330.7492</v>
      </c>
      <c r="D13" s="30"/>
      <c r="E13" s="29"/>
      <c r="F13" s="30"/>
      <c r="G13" s="66">
        <v>7.0</v>
      </c>
      <c r="H13" s="67">
        <v>45871.0</v>
      </c>
      <c r="I13" s="68"/>
      <c r="J13" s="69"/>
      <c r="K13" s="87"/>
      <c r="L13" s="71"/>
      <c r="M13" s="72" t="s">
        <v>20</v>
      </c>
      <c r="N13" s="90">
        <v>101.5</v>
      </c>
      <c r="O13" s="74" t="s">
        <v>655</v>
      </c>
      <c r="P13" s="75">
        <v>0.9756944444444444</v>
      </c>
      <c r="Q13" s="41"/>
      <c r="R13" s="39"/>
      <c r="S13" s="25">
        <f>SUMIF(M:M,"印度户印尼企业户",N:N)</f>
        <v>29569.46</v>
      </c>
      <c r="T13" s="101" t="s">
        <v>47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45871.0</v>
      </c>
      <c r="I14" s="68"/>
      <c r="J14" s="69"/>
      <c r="K14" s="70"/>
      <c r="L14" s="71"/>
      <c r="M14" s="72" t="s">
        <v>264</v>
      </c>
      <c r="N14" s="90">
        <v>202.0</v>
      </c>
      <c r="O14" s="74" t="s">
        <v>95</v>
      </c>
      <c r="P14" s="75">
        <v>0.99375</v>
      </c>
      <c r="R14" s="39"/>
      <c r="S14" s="25">
        <f>SUMIF(M:M,"Y-5208 FB欧/美户",N:N)</f>
        <v>5075</v>
      </c>
      <c r="T14" s="101" t="s">
        <v>30</v>
      </c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45872.0</v>
      </c>
      <c r="I15" s="84"/>
      <c r="J15" s="17"/>
      <c r="K15" s="85"/>
      <c r="L15" s="86"/>
      <c r="M15" s="80" t="s">
        <v>75</v>
      </c>
      <c r="N15" s="90">
        <v>4600.0</v>
      </c>
      <c r="O15" s="74" t="s">
        <v>654</v>
      </c>
      <c r="P15" s="75">
        <v>0.9986111111111111</v>
      </c>
      <c r="R15" s="39"/>
      <c r="S15" s="25">
        <f>SUMIF(M:M,"印尼企业户",N:N)</f>
        <v>1150</v>
      </c>
      <c r="T15" s="101" t="s">
        <v>656</v>
      </c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45872.0</v>
      </c>
      <c r="I16" s="68"/>
      <c r="J16" s="69"/>
      <c r="K16" s="87"/>
      <c r="L16" s="71"/>
      <c r="M16" s="72" t="s">
        <v>14</v>
      </c>
      <c r="N16" s="90">
        <v>37375.427</v>
      </c>
      <c r="O16" s="74" t="s">
        <v>657</v>
      </c>
      <c r="P16" s="75">
        <v>0.5729166666666666</v>
      </c>
      <c r="Q16" s="41"/>
      <c r="R16" s="39"/>
      <c r="S16" s="25">
        <f>SUMIF(M:M,"客户服务群-L0816",N:N)</f>
        <v>3129</v>
      </c>
      <c r="T16" s="101" t="s">
        <v>484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45872.0</v>
      </c>
      <c r="I17" s="68"/>
      <c r="J17" s="69"/>
      <c r="K17" s="70"/>
      <c r="L17" s="88"/>
      <c r="M17" s="72" t="s">
        <v>14</v>
      </c>
      <c r="N17" s="102">
        <v>168189.4215</v>
      </c>
      <c r="O17" s="74" t="s">
        <v>658</v>
      </c>
      <c r="P17" s="75">
        <v>0.5909722222222222</v>
      </c>
      <c r="R17" s="39"/>
      <c r="S17" s="25">
        <f>SUMIF(M:M,"志诚三不限",N:N)</f>
        <v>11710.95</v>
      </c>
      <c r="T17" s="101" t="s">
        <v>39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45872.0</v>
      </c>
      <c r="I18" s="68"/>
      <c r="J18" s="69"/>
      <c r="K18" s="92"/>
      <c r="L18" s="88"/>
      <c r="M18" s="72" t="s">
        <v>20</v>
      </c>
      <c r="N18" s="90">
        <v>18.0</v>
      </c>
      <c r="O18" s="74" t="s">
        <v>659</v>
      </c>
      <c r="P18" s="75">
        <v>0.6430555555555556</v>
      </c>
      <c r="R18" s="39"/>
      <c r="S18" s="25">
        <f>SUMIF(M:M,"黑泽",N:N)</f>
        <v>60</v>
      </c>
      <c r="T18" s="101" t="s">
        <v>660</v>
      </c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45872.0</v>
      </c>
      <c r="I19" s="68"/>
      <c r="J19" s="69"/>
      <c r="K19" s="70"/>
      <c r="L19" s="71"/>
      <c r="M19" s="80" t="s">
        <v>75</v>
      </c>
      <c r="N19" s="90">
        <v>7475.0</v>
      </c>
      <c r="O19" s="74" t="s">
        <v>661</v>
      </c>
      <c r="P19" s="75">
        <v>0.7548611111111111</v>
      </c>
      <c r="R19" s="39"/>
      <c r="S19" s="25">
        <f>SUMIF(M:M,"欧洲户10➕1-Nancy",N:N)</f>
        <v>1665</v>
      </c>
      <c r="T19" s="101" t="s">
        <v>480</v>
      </c>
      <c r="U19" s="76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45873.0</v>
      </c>
      <c r="I20" s="68"/>
      <c r="J20" s="69"/>
      <c r="K20" s="70"/>
      <c r="L20" s="88"/>
      <c r="M20" s="72" t="s">
        <v>14</v>
      </c>
      <c r="N20" s="90">
        <v>10000.0</v>
      </c>
      <c r="O20" s="74" t="s">
        <v>120</v>
      </c>
      <c r="P20" s="75">
        <v>0.8138888888888889</v>
      </c>
      <c r="R20" s="39"/>
      <c r="S20" s="25">
        <f>SUMIF(M:M,"海总新渠道",N:N)</f>
        <v>1080</v>
      </c>
      <c r="T20" s="101" t="s">
        <v>50</v>
      </c>
    </row>
    <row r="21" ht="27.75" customHeight="1">
      <c r="A21" s="29"/>
      <c r="B21" s="30"/>
      <c r="C21" s="77">
        <f>SUMIFS(J:J,H:H,"&gt;="&amp;$C$17,H:H,"&lt;="&amp;$C$19)</f>
        <v>888102.5379</v>
      </c>
      <c r="D21" s="30"/>
      <c r="E21" s="29"/>
      <c r="F21" s="30"/>
      <c r="G21" s="66">
        <v>15.0</v>
      </c>
      <c r="H21" s="67">
        <v>45873.0</v>
      </c>
      <c r="I21" s="68"/>
      <c r="J21" s="69"/>
      <c r="K21" s="70"/>
      <c r="L21" s="71"/>
      <c r="M21" s="72" t="s">
        <v>20</v>
      </c>
      <c r="N21" s="90">
        <v>1010.0</v>
      </c>
      <c r="O21" s="74" t="s">
        <v>662</v>
      </c>
      <c r="P21" s="75">
        <v>0.6229166666666667</v>
      </c>
      <c r="R21" s="39"/>
      <c r="S21" s="25">
        <f>SUMIF(M:M,"路人互动",N:N)</f>
        <v>779.89</v>
      </c>
      <c r="T21" s="101" t="s">
        <v>36</v>
      </c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45873.0</v>
      </c>
      <c r="I22" s="68"/>
      <c r="J22" s="69"/>
      <c r="K22" s="70"/>
      <c r="L22" s="71"/>
      <c r="M22" s="80" t="s">
        <v>75</v>
      </c>
      <c r="N22" s="90">
        <v>5096.18</v>
      </c>
      <c r="O22" s="74" t="s">
        <v>663</v>
      </c>
      <c r="P22" s="94" t="s">
        <v>664</v>
      </c>
      <c r="R22" s="39"/>
      <c r="S22" s="25">
        <f>SUMIF(M:M,"马来英_阿稳",N:N)</f>
        <v>11440</v>
      </c>
      <c r="T22" s="101" t="s">
        <v>456</v>
      </c>
    </row>
    <row r="23" ht="27.75" customHeight="1">
      <c r="A23" s="29"/>
      <c r="B23" s="30"/>
      <c r="C23" s="79">
        <f>SUMIFS(N:N,H:H,"&gt;="&amp;$C$17,H:H,"&lt;="&amp;$C$19)</f>
        <v>775771.7887</v>
      </c>
      <c r="D23" s="30"/>
      <c r="E23" s="29"/>
      <c r="F23" s="30"/>
      <c r="G23" s="66">
        <v>17.0</v>
      </c>
      <c r="H23" s="67">
        <v>45874.0</v>
      </c>
      <c r="I23" s="68"/>
      <c r="J23" s="69"/>
      <c r="K23" s="93"/>
      <c r="L23" s="71"/>
      <c r="M23" s="72" t="s">
        <v>653</v>
      </c>
      <c r="N23" s="90">
        <v>1131.2</v>
      </c>
      <c r="O23" s="74" t="s">
        <v>665</v>
      </c>
      <c r="P23" s="75">
        <v>0.9625</v>
      </c>
      <c r="R23" s="39"/>
      <c r="S23" s="25">
        <f>SUMIF(M:M,"德国德语-阿稳",N:N)</f>
        <v>2600</v>
      </c>
      <c r="T23" s="101" t="s">
        <v>666</v>
      </c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45874.0</v>
      </c>
      <c r="I24" s="68"/>
      <c r="J24" s="69"/>
      <c r="K24" s="70"/>
      <c r="L24" s="88"/>
      <c r="M24" s="72" t="s">
        <v>14</v>
      </c>
      <c r="N24" s="146">
        <v>15024.342608450705</v>
      </c>
      <c r="O24" s="74" t="s">
        <v>117</v>
      </c>
      <c r="P24" s="75">
        <v>0.6375</v>
      </c>
      <c r="R24" s="39"/>
      <c r="S24" s="25">
        <f>SUMIF(M:M,"海总-小日子，意大利🇮🇹",N:N)</f>
        <v>5000</v>
      </c>
      <c r="T24" s="101" t="s">
        <v>667</v>
      </c>
      <c r="U24" s="76"/>
      <c r="V24" s="40"/>
      <c r="W24" s="76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112330.7492</v>
      </c>
      <c r="D25" s="30"/>
      <c r="E25" s="29"/>
      <c r="F25" s="30"/>
      <c r="G25" s="66">
        <v>19.0</v>
      </c>
      <c r="H25" s="67">
        <v>45874.0</v>
      </c>
      <c r="I25" s="68"/>
      <c r="J25" s="69"/>
      <c r="K25" s="85"/>
      <c r="L25" s="88"/>
      <c r="M25" s="80" t="s">
        <v>14</v>
      </c>
      <c r="N25" s="19">
        <v>10434.578873239436</v>
      </c>
      <c r="O25" s="74" t="s">
        <v>117</v>
      </c>
      <c r="P25" s="75">
        <v>0.6416666666666667</v>
      </c>
      <c r="R25" s="39"/>
      <c r="S25" s="25">
        <f>SUMIF(M:M,"阿稳-IN",N:N)</f>
        <v>17280</v>
      </c>
      <c r="T25" s="101" t="s">
        <v>668</v>
      </c>
      <c r="U25" s="76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45874.0</v>
      </c>
      <c r="I26" s="68"/>
      <c r="J26" s="69"/>
      <c r="K26" s="70"/>
      <c r="L26" s="88"/>
      <c r="M26" s="72" t="s">
        <v>14</v>
      </c>
      <c r="N26" s="19">
        <v>13790.168309859155</v>
      </c>
      <c r="O26" s="74" t="s">
        <v>117</v>
      </c>
      <c r="P26" s="75">
        <v>0.6388888888888888</v>
      </c>
      <c r="Q26" s="41"/>
      <c r="R26" s="39"/>
      <c r="S26" s="25">
        <f>SUMIF(M:M,"印度23期",N:N)</f>
        <v>12060</v>
      </c>
      <c r="T26" s="101" t="s">
        <v>669</v>
      </c>
      <c r="U26" s="76" t="s">
        <v>155</v>
      </c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45874.0</v>
      </c>
      <c r="I27" s="68"/>
      <c r="J27" s="69"/>
      <c r="K27" s="70"/>
      <c r="L27" s="71"/>
      <c r="M27" s="72" t="s">
        <v>14</v>
      </c>
      <c r="N27" s="19">
        <v>697.6478873239438</v>
      </c>
      <c r="O27" s="74" t="s">
        <v>117</v>
      </c>
      <c r="P27" s="75">
        <v>0.6423611111111112</v>
      </c>
      <c r="R27" s="39"/>
      <c r="S27" s="25">
        <f>SUMIF(M:M,"B1印度",N:N)</f>
        <v>24064</v>
      </c>
      <c r="T27" s="101" t="s">
        <v>670</v>
      </c>
      <c r="U27" s="76" t="s">
        <v>155</v>
      </c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45874.0</v>
      </c>
      <c r="I28" s="68"/>
      <c r="J28" s="69"/>
      <c r="K28" s="70"/>
      <c r="L28" s="88"/>
      <c r="M28" s="72" t="s">
        <v>14</v>
      </c>
      <c r="N28" s="19">
        <v>7775.225633802818</v>
      </c>
      <c r="O28" s="74" t="s">
        <v>117</v>
      </c>
      <c r="P28" s="75">
        <v>0.6402777777777777</v>
      </c>
      <c r="Q28" s="41"/>
      <c r="R28" s="39"/>
      <c r="S28" s="25">
        <f>SUMIF(M:M,"海总-德国；意大利",N:N)</f>
        <v>105935</v>
      </c>
      <c r="T28" s="101" t="s">
        <v>496</v>
      </c>
      <c r="U28" s="76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45874.0</v>
      </c>
      <c r="I29" s="68"/>
      <c r="J29" s="69"/>
      <c r="K29" s="70"/>
      <c r="L29" s="88"/>
      <c r="M29" s="80" t="s">
        <v>14</v>
      </c>
      <c r="N29" s="19">
        <v>7738.062994366197</v>
      </c>
      <c r="O29" s="74" t="s">
        <v>117</v>
      </c>
      <c r="P29" s="75">
        <v>0.64375</v>
      </c>
      <c r="Q29" s="41"/>
      <c r="R29" s="39"/>
      <c r="S29" s="25">
        <f>SUMIF(M:M,"印度驻场-lala(郑总）",N:N)</f>
        <v>43309</v>
      </c>
      <c r="T29" s="101" t="s">
        <v>671</v>
      </c>
      <c r="U29" s="7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45874.0</v>
      </c>
      <c r="I30" s="68"/>
      <c r="J30" s="69"/>
      <c r="K30" s="85"/>
      <c r="L30" s="88"/>
      <c r="M30" s="72" t="s">
        <v>14</v>
      </c>
      <c r="N30" s="19">
        <v>6175.915253521127</v>
      </c>
      <c r="O30" s="74" t="s">
        <v>117</v>
      </c>
      <c r="P30" s="75">
        <v>0.6451388888888889</v>
      </c>
      <c r="R30" s="39"/>
      <c r="S30" s="103">
        <f>SUM(S4:S29)</f>
        <v>775771.7887</v>
      </c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45874.0</v>
      </c>
      <c r="I31" s="68"/>
      <c r="J31" s="69"/>
      <c r="K31" s="85"/>
      <c r="L31" s="88"/>
      <c r="M31" s="72" t="s">
        <v>14</v>
      </c>
      <c r="N31" s="19">
        <v>6701.733661971832</v>
      </c>
      <c r="O31" s="74" t="s">
        <v>117</v>
      </c>
      <c r="P31" s="75">
        <v>0.6465277777777778</v>
      </c>
      <c r="R31" s="39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45874.0</v>
      </c>
      <c r="I32" s="68"/>
      <c r="J32" s="69"/>
      <c r="K32" s="70"/>
      <c r="L32" s="88"/>
      <c r="M32" s="72" t="s">
        <v>14</v>
      </c>
      <c r="N32" s="19">
        <v>5000.0</v>
      </c>
      <c r="O32" s="74" t="s">
        <v>117</v>
      </c>
      <c r="P32" s="75">
        <v>0.6472222222222223</v>
      </c>
      <c r="R32" s="39"/>
      <c r="S32" s="106" t="s">
        <v>97</v>
      </c>
      <c r="T32" s="107"/>
      <c r="U32" s="107"/>
      <c r="V32" s="107"/>
      <c r="W32" s="107"/>
      <c r="X32" s="107"/>
      <c r="Y32" s="107"/>
      <c r="Z32" s="107"/>
      <c r="AA32" s="107"/>
      <c r="AB32" s="108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45874.0</v>
      </c>
      <c r="I33" s="68" t="s">
        <v>672</v>
      </c>
      <c r="J33" s="69">
        <v>4222.37</v>
      </c>
      <c r="K33" s="70" t="s">
        <v>155</v>
      </c>
      <c r="L33" s="71">
        <v>0.7222222222222222</v>
      </c>
      <c r="M33" s="72"/>
      <c r="N33" s="19"/>
      <c r="O33" s="74"/>
      <c r="P33" s="75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45874.0</v>
      </c>
      <c r="I34" s="68" t="s">
        <v>673</v>
      </c>
      <c r="J34" s="69">
        <v>16772.0</v>
      </c>
      <c r="K34" s="70" t="s">
        <v>674</v>
      </c>
      <c r="L34" s="71">
        <v>0.7944444444444444</v>
      </c>
      <c r="M34" s="72"/>
      <c r="N34" s="19"/>
      <c r="O34" s="74"/>
      <c r="P34" s="75"/>
      <c r="Q34" s="41"/>
      <c r="R34" s="39"/>
      <c r="S34" s="109">
        <f>SUMIF(I:I,"德国股票粉（1）组【张小强】",J:J)</f>
        <v>133280</v>
      </c>
      <c r="T34" s="26" t="s">
        <v>646</v>
      </c>
      <c r="U34" s="76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45874.0</v>
      </c>
      <c r="I35" s="68" t="s">
        <v>673</v>
      </c>
      <c r="J35" s="69">
        <v>22372.0</v>
      </c>
      <c r="K35" s="70" t="s">
        <v>675</v>
      </c>
      <c r="L35" s="71">
        <v>0.7986111111111112</v>
      </c>
      <c r="M35" s="72" t="s">
        <v>339</v>
      </c>
      <c r="N35" s="90">
        <v>70.9</v>
      </c>
      <c r="O35" s="74" t="s">
        <v>676</v>
      </c>
      <c r="P35" s="94" t="s">
        <v>677</v>
      </c>
      <c r="R35" s="39"/>
      <c r="S35" s="109">
        <f>SUMIF(I:I,"印度15期",J:J)</f>
        <v>39144</v>
      </c>
      <c r="T35" s="26" t="s">
        <v>673</v>
      </c>
      <c r="U35" s="76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45875.0</v>
      </c>
      <c r="I36" s="68" t="s">
        <v>646</v>
      </c>
      <c r="J36" s="69">
        <v>800.0</v>
      </c>
      <c r="K36" s="70" t="s">
        <v>678</v>
      </c>
      <c r="L36" s="71">
        <v>0.5652777777777778</v>
      </c>
      <c r="M36" s="72" t="s">
        <v>452</v>
      </c>
      <c r="N36" s="90">
        <v>110.0</v>
      </c>
      <c r="O36" s="96" t="s">
        <v>679</v>
      </c>
      <c r="P36" s="140" t="s">
        <v>680</v>
      </c>
      <c r="Q36" s="100"/>
      <c r="R36" s="39"/>
      <c r="S36" s="109">
        <f>SUMIF(I:I,"印度25期",J:J)</f>
        <v>1928</v>
      </c>
      <c r="T36" s="26" t="s">
        <v>681</v>
      </c>
      <c r="U36" s="76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45875.0</v>
      </c>
      <c r="I37" s="68"/>
      <c r="J37" s="69"/>
      <c r="K37" s="85"/>
      <c r="L37" s="86"/>
      <c r="M37" s="72" t="s">
        <v>452</v>
      </c>
      <c r="N37" s="90">
        <v>211.8</v>
      </c>
      <c r="O37" s="96" t="s">
        <v>682</v>
      </c>
      <c r="P37" s="99">
        <v>0.7673611111111112</v>
      </c>
      <c r="Q37" s="100"/>
      <c r="R37" s="39"/>
      <c r="S37" s="109">
        <f>SUMIF(I:I,"波贝6期",J:J)</f>
        <v>36232</v>
      </c>
      <c r="T37" s="26" t="s">
        <v>683</v>
      </c>
      <c r="U37" s="76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45875.0</v>
      </c>
      <c r="I38" s="68"/>
      <c r="J38" s="69"/>
      <c r="K38" s="85"/>
      <c r="L38" s="86"/>
      <c r="M38" s="72" t="s">
        <v>20</v>
      </c>
      <c r="N38" s="90">
        <v>243.62</v>
      </c>
      <c r="O38" s="96" t="s">
        <v>684</v>
      </c>
      <c r="P38" s="99">
        <v>0.7694444444444445</v>
      </c>
      <c r="R38" s="39"/>
      <c r="S38" s="109">
        <f>SUMIF(I:I,"B1印度",J:J)</f>
        <v>50000</v>
      </c>
      <c r="T38" s="26" t="s">
        <v>670</v>
      </c>
      <c r="U38" s="11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45875.0</v>
      </c>
      <c r="I39" s="68"/>
      <c r="J39" s="69"/>
      <c r="K39" s="70"/>
      <c r="L39" s="71"/>
      <c r="M39" s="72" t="s">
        <v>469</v>
      </c>
      <c r="N39" s="90">
        <v>570.65</v>
      </c>
      <c r="O39" s="96" t="s">
        <v>685</v>
      </c>
      <c r="P39" s="99">
        <v>0.9180555555555555</v>
      </c>
      <c r="Q39" s="100"/>
      <c r="R39" s="39"/>
      <c r="S39" s="109">
        <f>SUMIF(I:I,"意大利第5梯队610",J:J)</f>
        <v>7620</v>
      </c>
      <c r="T39" s="26" t="s">
        <v>686</v>
      </c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45875.0</v>
      </c>
      <c r="I40" s="68"/>
      <c r="J40" s="69"/>
      <c r="K40" s="70"/>
      <c r="L40" s="88"/>
      <c r="M40" s="72" t="s">
        <v>671</v>
      </c>
      <c r="N40" s="90">
        <v>483.0</v>
      </c>
      <c r="O40" s="96"/>
      <c r="P40" s="140" t="s">
        <v>687</v>
      </c>
      <c r="Q40" s="100"/>
      <c r="R40" s="39"/>
      <c r="S40" s="109">
        <f>SUMIF(I:I,"印度16期",J:J)</f>
        <v>30408</v>
      </c>
      <c r="T40" s="26" t="s">
        <v>688</v>
      </c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45875.0</v>
      </c>
      <c r="I41" s="68" t="s">
        <v>681</v>
      </c>
      <c r="J41" s="69">
        <v>1928.0</v>
      </c>
      <c r="K41" s="70"/>
      <c r="L41" s="88" t="s">
        <v>689</v>
      </c>
      <c r="M41" s="72"/>
      <c r="N41" s="19"/>
      <c r="O41" s="96"/>
      <c r="P41" s="99"/>
      <c r="Q41" s="100"/>
      <c r="R41" s="39"/>
      <c r="S41" s="109">
        <f>SUMIF(I:I,"渠道BF 德国F",J:J)</f>
        <v>8000</v>
      </c>
      <c r="T41" s="26" t="s">
        <v>168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45876.0</v>
      </c>
      <c r="I42" s="68" t="s">
        <v>690</v>
      </c>
      <c r="J42" s="69">
        <v>35.437</v>
      </c>
      <c r="K42" s="70"/>
      <c r="L42" s="71"/>
      <c r="M42" s="72"/>
      <c r="N42" s="19"/>
      <c r="O42" s="96"/>
      <c r="P42" s="99"/>
      <c r="Q42" s="100"/>
      <c r="R42" s="39"/>
      <c r="S42" s="109">
        <f>SUMIF(I:I,"渠道L 英文L 马来",J:J)</f>
        <v>18000</v>
      </c>
      <c r="T42" s="26" t="s">
        <v>464</v>
      </c>
      <c r="U42" s="76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45876.0</v>
      </c>
      <c r="I43" s="68"/>
      <c r="J43" s="69"/>
      <c r="K43" s="87"/>
      <c r="L43" s="71"/>
      <c r="M43" s="72" t="s">
        <v>47</v>
      </c>
      <c r="N43" s="90">
        <v>5352.58</v>
      </c>
      <c r="O43" s="96" t="s">
        <v>691</v>
      </c>
      <c r="P43" s="99">
        <v>0.5638888888888889</v>
      </c>
      <c r="Q43" s="100"/>
      <c r="R43" s="39"/>
      <c r="S43" s="109">
        <f>SUMIF(I:I,"印度23期",J:J)</f>
        <v>50000</v>
      </c>
      <c r="T43" s="26" t="s">
        <v>669</v>
      </c>
      <c r="U43" s="76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45876.0</v>
      </c>
      <c r="I44" s="68"/>
      <c r="J44" s="69"/>
      <c r="K44" s="85"/>
      <c r="L44" s="71"/>
      <c r="M44" s="72" t="s">
        <v>20</v>
      </c>
      <c r="N44" s="90">
        <v>225.0</v>
      </c>
      <c r="O44" s="96" t="s">
        <v>45</v>
      </c>
      <c r="P44" s="140" t="s">
        <v>692</v>
      </c>
      <c r="R44" s="39"/>
      <c r="S44" s="109">
        <f>SUMIF(I:I,"拉总（印度）",J:J)</f>
        <v>3816</v>
      </c>
      <c r="T44" s="26" t="s">
        <v>491</v>
      </c>
      <c r="U44" s="76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45876.0</v>
      </c>
      <c r="I45" s="68"/>
      <c r="J45" s="69"/>
      <c r="K45" s="85"/>
      <c r="L45" s="71"/>
      <c r="M45" s="72" t="s">
        <v>30</v>
      </c>
      <c r="N45" s="90">
        <v>105.0</v>
      </c>
      <c r="O45" s="96" t="s">
        <v>693</v>
      </c>
      <c r="P45" s="140" t="s">
        <v>694</v>
      </c>
      <c r="R45" s="39"/>
      <c r="S45" s="109">
        <f>SUMIF(I:I,"印度17期",J:J)</f>
        <v>30000</v>
      </c>
      <c r="T45" s="26" t="s">
        <v>695</v>
      </c>
      <c r="U45" s="76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45876.0</v>
      </c>
      <c r="I46" s="68" t="s">
        <v>683</v>
      </c>
      <c r="J46" s="69">
        <v>30000.0</v>
      </c>
      <c r="K46" s="85"/>
      <c r="L46" s="88" t="s">
        <v>696</v>
      </c>
      <c r="M46" s="72" t="s">
        <v>496</v>
      </c>
      <c r="N46" s="90">
        <v>6500.0</v>
      </c>
      <c r="O46" s="74"/>
      <c r="P46" s="75">
        <v>0.6777777777777778</v>
      </c>
      <c r="R46" s="39"/>
      <c r="S46" s="109">
        <f>SUMIF(I:I,"西班牙大区1组资源-张小强",J:J)</f>
        <v>220</v>
      </c>
      <c r="T46" s="26" t="s">
        <v>476</v>
      </c>
      <c r="V46" s="40"/>
      <c r="W46" s="76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45876.0</v>
      </c>
      <c r="I47" s="68"/>
      <c r="J47" s="69"/>
      <c r="K47" s="70"/>
      <c r="L47" s="71"/>
      <c r="M47" s="72" t="s">
        <v>656</v>
      </c>
      <c r="N47" s="90">
        <v>1150.0</v>
      </c>
      <c r="O47" s="74" t="s">
        <v>593</v>
      </c>
      <c r="P47" s="94" t="s">
        <v>697</v>
      </c>
      <c r="R47" s="39"/>
      <c r="S47" s="109">
        <f>SUMIF(I:I,"深圳芳林子",J:J)</f>
        <v>19982.64</v>
      </c>
      <c r="T47" s="26" t="s">
        <v>469</v>
      </c>
      <c r="U47" s="76" t="s">
        <v>155</v>
      </c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45876.0</v>
      </c>
      <c r="I48" s="68"/>
      <c r="J48" s="69"/>
      <c r="K48" s="70"/>
      <c r="L48" s="71"/>
      <c r="M48" s="72" t="s">
        <v>452</v>
      </c>
      <c r="N48" s="90">
        <v>530.0</v>
      </c>
      <c r="O48" s="74" t="s">
        <v>228</v>
      </c>
      <c r="P48" s="75">
        <v>0.5361111111111111</v>
      </c>
      <c r="R48" s="39"/>
      <c r="S48" s="109">
        <f>SUMIF(I:I,"海总新渠道",J:J)</f>
        <v>1080</v>
      </c>
      <c r="T48" s="101" t="s">
        <v>50</v>
      </c>
      <c r="U48" s="76" t="s">
        <v>155</v>
      </c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45877.0</v>
      </c>
      <c r="I49" s="68" t="s">
        <v>646</v>
      </c>
      <c r="J49" s="69">
        <v>8480.0</v>
      </c>
      <c r="K49" s="70" t="s">
        <v>698</v>
      </c>
      <c r="L49" s="71">
        <v>0.6208333333333333</v>
      </c>
      <c r="M49" s="147" t="s">
        <v>653</v>
      </c>
      <c r="N49" s="19">
        <v>1131.2</v>
      </c>
      <c r="O49" s="126" t="s">
        <v>665</v>
      </c>
      <c r="P49" s="75">
        <v>0.6236111111111111</v>
      </c>
      <c r="R49" s="39"/>
      <c r="S49" s="109">
        <f>SUMIF(I:I,"德国德语-阿稳",J:J)</f>
        <v>1820</v>
      </c>
      <c r="T49" s="26" t="s">
        <v>666</v>
      </c>
      <c r="U49" s="76" t="s">
        <v>155</v>
      </c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45877.0</v>
      </c>
      <c r="I50" s="68"/>
      <c r="J50" s="69"/>
      <c r="K50" s="85"/>
      <c r="L50" s="71"/>
      <c r="M50" s="72" t="s">
        <v>30</v>
      </c>
      <c r="N50" s="90">
        <v>550.0</v>
      </c>
      <c r="O50" s="74" t="s">
        <v>699</v>
      </c>
      <c r="P50" s="75">
        <v>0.6319444444444444</v>
      </c>
      <c r="R50" s="39"/>
      <c r="S50" s="109">
        <f>SUMIF(I:I,"海总-德国；意大利",J:J)</f>
        <v>7670</v>
      </c>
      <c r="T50" s="26" t="s">
        <v>496</v>
      </c>
      <c r="U50" s="76" t="s">
        <v>155</v>
      </c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45877.0</v>
      </c>
      <c r="I51" s="68"/>
      <c r="J51" s="69"/>
      <c r="K51" s="87"/>
      <c r="L51" s="71"/>
      <c r="M51" s="72" t="s">
        <v>671</v>
      </c>
      <c r="N51" s="90">
        <v>28244.0</v>
      </c>
      <c r="O51" s="74"/>
      <c r="P51" s="75">
        <v>0.6458333333333334</v>
      </c>
      <c r="R51" s="39"/>
      <c r="S51" s="109">
        <f>SUMIF(I:I,"凤凰渠道-泰华",J:J)</f>
        <v>16135.85</v>
      </c>
      <c r="T51" s="26" t="s">
        <v>75</v>
      </c>
      <c r="U51" s="76" t="s">
        <v>155</v>
      </c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45877.0</v>
      </c>
      <c r="I52" s="68" t="s">
        <v>670</v>
      </c>
      <c r="J52" s="69">
        <v>50000.0</v>
      </c>
      <c r="K52" s="87"/>
      <c r="L52" s="71">
        <v>0.7006944444444444</v>
      </c>
      <c r="M52" s="72"/>
      <c r="N52" s="90"/>
      <c r="O52" s="74"/>
      <c r="P52" s="75"/>
      <c r="Q52" s="41"/>
      <c r="R52" s="39"/>
      <c r="S52" s="109">
        <f>SUMIF(I:I,"海总-小日子，意大利🇮🇹",J:J)</f>
        <v>2150</v>
      </c>
      <c r="T52" s="26" t="s">
        <v>667</v>
      </c>
      <c r="U52" s="76" t="s">
        <v>155</v>
      </c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45877.0</v>
      </c>
      <c r="I53" s="68" t="s">
        <v>700</v>
      </c>
      <c r="J53" s="69">
        <v>39337.47</v>
      </c>
      <c r="K53" s="70"/>
      <c r="L53" s="71">
        <v>0.7055555555555556</v>
      </c>
      <c r="M53" s="72" t="s">
        <v>452</v>
      </c>
      <c r="N53" s="90">
        <v>530.0</v>
      </c>
      <c r="O53" s="74" t="s">
        <v>228</v>
      </c>
      <c r="P53" s="94" t="s">
        <v>701</v>
      </c>
      <c r="R53" s="39"/>
      <c r="S53" s="109">
        <f>SUMIF(I:I,"济宁韦宁&amp;香港有意思 二不限 3%",J:J)</f>
        <v>1411.75</v>
      </c>
      <c r="T53" s="101" t="s">
        <v>702</v>
      </c>
      <c r="U53" s="76" t="s">
        <v>155</v>
      </c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45877.0</v>
      </c>
      <c r="I54" s="68" t="s">
        <v>339</v>
      </c>
      <c r="J54" s="69">
        <v>9409.0</v>
      </c>
      <c r="K54" s="70"/>
      <c r="L54" s="71">
        <v>0.7354166666666667</v>
      </c>
      <c r="M54" s="72" t="s">
        <v>452</v>
      </c>
      <c r="N54" s="90">
        <v>812.4</v>
      </c>
      <c r="O54" s="74" t="s">
        <v>703</v>
      </c>
      <c r="P54" s="94" t="s">
        <v>704</v>
      </c>
      <c r="R54" s="39"/>
      <c r="S54" s="109">
        <f>SUMIF(I:I,"海总-MC开户对接群",J:J)</f>
        <v>2522</v>
      </c>
      <c r="T54" s="101" t="s">
        <v>705</v>
      </c>
      <c r="U54" s="76" t="s">
        <v>155</v>
      </c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45877.0</v>
      </c>
      <c r="I55" s="68"/>
      <c r="J55" s="69"/>
      <c r="K55" s="70"/>
      <c r="L55" s="71"/>
      <c r="M55" s="72" t="s">
        <v>496</v>
      </c>
      <c r="N55" s="90">
        <v>9620.0</v>
      </c>
      <c r="O55" s="74"/>
      <c r="P55" s="75">
        <v>0.8256944444444444</v>
      </c>
      <c r="R55" s="39"/>
      <c r="S55" s="109">
        <f>SUMIF(I:I,"Vcc-102524 服务费1（泰华）",J:J)</f>
        <v>192.95</v>
      </c>
      <c r="T55" s="26" t="s">
        <v>264</v>
      </c>
      <c r="U55" s="76" t="s">
        <v>155</v>
      </c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45877.0</v>
      </c>
      <c r="I56" s="68" t="s">
        <v>656</v>
      </c>
      <c r="J56" s="69">
        <v>1150.0</v>
      </c>
      <c r="K56" s="87"/>
      <c r="L56" s="71">
        <v>0.9444444444444444</v>
      </c>
      <c r="M56" s="72"/>
      <c r="N56" s="90"/>
      <c r="O56" s="74"/>
      <c r="P56" s="75"/>
      <c r="R56" s="39"/>
      <c r="S56" s="109">
        <f>SUMIF(I:I,"路人互动-海总（50-7）山",J:J)</f>
        <v>1116.98</v>
      </c>
      <c r="T56" s="101" t="s">
        <v>706</v>
      </c>
      <c r="U56" s="76" t="s">
        <v>155</v>
      </c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45878.0</v>
      </c>
      <c r="I57" s="68" t="s">
        <v>686</v>
      </c>
      <c r="J57" s="69">
        <v>960.0</v>
      </c>
      <c r="K57" s="70"/>
      <c r="L57" s="71">
        <v>0.20555555555555555</v>
      </c>
      <c r="M57" s="72" t="s">
        <v>20</v>
      </c>
      <c r="N57" s="90">
        <v>29.0</v>
      </c>
      <c r="O57" s="74" t="s">
        <v>267</v>
      </c>
      <c r="P57" s="75">
        <v>0.5375</v>
      </c>
      <c r="R57" s="39"/>
      <c r="S57" s="109">
        <f>SUMIF(I:I,"海总新渠道 10+1",J:J)</f>
        <v>39337.47</v>
      </c>
      <c r="T57" s="101" t="s">
        <v>700</v>
      </c>
      <c r="U57" s="76" t="s">
        <v>155</v>
      </c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45878.0</v>
      </c>
      <c r="I58" s="68" t="s">
        <v>646</v>
      </c>
      <c r="J58" s="69">
        <v>11200.0</v>
      </c>
      <c r="K58" s="70" t="s">
        <v>707</v>
      </c>
      <c r="L58" s="71">
        <v>0.6055555555555555</v>
      </c>
      <c r="M58" s="147" t="s">
        <v>452</v>
      </c>
      <c r="N58" s="90">
        <v>1060.0</v>
      </c>
      <c r="O58" s="74" t="s">
        <v>708</v>
      </c>
      <c r="P58" s="75">
        <v>0.7340277777777777</v>
      </c>
      <c r="R58" s="39"/>
      <c r="S58" s="109">
        <f>SUMIF(I:I,"印尼企业户",J:J)</f>
        <v>1150</v>
      </c>
      <c r="T58" s="101" t="s">
        <v>656</v>
      </c>
      <c r="U58" s="76" t="s">
        <v>155</v>
      </c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45878.0</v>
      </c>
      <c r="I59" s="68"/>
      <c r="J59" s="69"/>
      <c r="K59" s="70"/>
      <c r="L59" s="71"/>
      <c r="M59" s="72" t="s">
        <v>671</v>
      </c>
      <c r="N59" s="90">
        <v>4991.0</v>
      </c>
      <c r="O59" s="126"/>
      <c r="P59" s="75">
        <v>0.8381944444444445</v>
      </c>
      <c r="R59" s="39"/>
      <c r="S59" s="109">
        <f>SUMIF(I:I,"印度企业户 欧洲美金户",J:J)</f>
        <v>12092.82</v>
      </c>
      <c r="T59" s="101" t="s">
        <v>339</v>
      </c>
      <c r="U59" s="76" t="s">
        <v>155</v>
      </c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45878.0</v>
      </c>
      <c r="I60" s="68"/>
      <c r="J60" s="69"/>
      <c r="K60" s="85"/>
      <c r="L60" s="71"/>
      <c r="M60" s="147" t="s">
        <v>452</v>
      </c>
      <c r="N60" s="90">
        <v>1060.0</v>
      </c>
      <c r="O60" s="74" t="s">
        <v>708</v>
      </c>
      <c r="P60" s="75">
        <v>0.9430555555555555</v>
      </c>
      <c r="R60" s="39"/>
      <c r="S60" s="109">
        <f>SUMIF(I:I,"阿水 印度mom 11+1",J:J)</f>
        <v>4222.37</v>
      </c>
      <c r="T60" s="101" t="s">
        <v>672</v>
      </c>
      <c r="U60" s="76" t="s">
        <v>155</v>
      </c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45878.0</v>
      </c>
      <c r="I61" s="68"/>
      <c r="J61" s="69"/>
      <c r="K61" s="70"/>
      <c r="L61" s="71"/>
      <c r="M61" s="72" t="s">
        <v>30</v>
      </c>
      <c r="N61" s="90">
        <v>550.0</v>
      </c>
      <c r="O61" s="74" t="s">
        <v>699</v>
      </c>
      <c r="P61" s="75">
        <v>0.9493055555555555</v>
      </c>
      <c r="Q61" s="125"/>
      <c r="R61" s="39"/>
      <c r="S61" s="109">
        <f>SUMIF(I:I,"钱包差值",J:J)</f>
        <v>35.437</v>
      </c>
      <c r="T61" s="101" t="s">
        <v>690</v>
      </c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45878.0</v>
      </c>
      <c r="I62" s="68"/>
      <c r="J62" s="69"/>
      <c r="K62" s="87"/>
      <c r="L62" s="71"/>
      <c r="M62" s="72" t="s">
        <v>452</v>
      </c>
      <c r="N62" s="90">
        <v>2120.0</v>
      </c>
      <c r="O62" s="74" t="s">
        <v>709</v>
      </c>
      <c r="P62" s="75">
        <v>0.9527777777777777</v>
      </c>
      <c r="R62" s="39"/>
      <c r="S62" s="117">
        <f>J7</f>
        <v>368534.2709</v>
      </c>
      <c r="T62" s="26" t="s">
        <v>644</v>
      </c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45879.0</v>
      </c>
      <c r="I63" s="68"/>
      <c r="J63" s="69"/>
      <c r="K63" s="87"/>
      <c r="L63" s="71"/>
      <c r="M63" s="72" t="s">
        <v>452</v>
      </c>
      <c r="N63" s="90">
        <v>1731.2</v>
      </c>
      <c r="O63" s="74" t="s">
        <v>710</v>
      </c>
      <c r="P63" s="75">
        <v>0.5888888888888889</v>
      </c>
      <c r="R63" s="39"/>
      <c r="S63" s="40">
        <f>SUM(S34:S62)</f>
        <v>888102.5379</v>
      </c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45879.0</v>
      </c>
      <c r="I64" s="68" t="s">
        <v>646</v>
      </c>
      <c r="J64" s="69">
        <v>2880.0</v>
      </c>
      <c r="K64" s="70" t="s">
        <v>711</v>
      </c>
      <c r="L64" s="71">
        <v>0.6743055555555556</v>
      </c>
      <c r="M64" s="72" t="s">
        <v>339</v>
      </c>
      <c r="N64" s="90">
        <v>550.0</v>
      </c>
      <c r="O64" s="74" t="s">
        <v>712</v>
      </c>
      <c r="P64" s="94" t="s">
        <v>713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45879.0</v>
      </c>
      <c r="I65" s="68"/>
      <c r="J65" s="69"/>
      <c r="K65" s="70"/>
      <c r="L65" s="71"/>
      <c r="M65" s="72" t="s">
        <v>496</v>
      </c>
      <c r="N65" s="90">
        <v>9230.0</v>
      </c>
      <c r="O65" s="74"/>
      <c r="P65" s="75">
        <v>0.8743055555555556</v>
      </c>
      <c r="R65" s="39"/>
      <c r="S65" s="76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45879.0</v>
      </c>
      <c r="I66" s="68"/>
      <c r="J66" s="69"/>
      <c r="K66" s="70"/>
      <c r="L66" s="71"/>
      <c r="M66" s="72" t="s">
        <v>452</v>
      </c>
      <c r="N66" s="90">
        <v>872.0</v>
      </c>
      <c r="O66" s="74" t="s">
        <v>714</v>
      </c>
      <c r="P66" s="75">
        <v>0.93125</v>
      </c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45880.0</v>
      </c>
      <c r="I67" s="68" t="s">
        <v>646</v>
      </c>
      <c r="J67" s="69">
        <v>9920.0</v>
      </c>
      <c r="K67" s="70" t="s">
        <v>715</v>
      </c>
      <c r="L67" s="71">
        <v>0.5027777777777778</v>
      </c>
      <c r="M67" s="72" t="s">
        <v>20</v>
      </c>
      <c r="N67" s="90">
        <v>58.0</v>
      </c>
      <c r="O67" s="74" t="s">
        <v>266</v>
      </c>
      <c r="P67" s="75">
        <v>0.5590277777777778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45880.0</v>
      </c>
      <c r="I68" s="68" t="s">
        <v>686</v>
      </c>
      <c r="J68" s="69">
        <v>960.0</v>
      </c>
      <c r="K68" s="70" t="s">
        <v>716</v>
      </c>
      <c r="L68" s="71"/>
      <c r="M68" s="147" t="s">
        <v>452</v>
      </c>
      <c r="N68" s="19">
        <v>1060.0</v>
      </c>
      <c r="O68" s="126" t="s">
        <v>708</v>
      </c>
      <c r="P68" s="75">
        <v>0.6902777777777778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45880.0</v>
      </c>
      <c r="I69" s="68"/>
      <c r="J69" s="69"/>
      <c r="K69" s="85"/>
      <c r="L69" s="71"/>
      <c r="M69" s="72" t="s">
        <v>20</v>
      </c>
      <c r="N69" s="90">
        <v>29.0</v>
      </c>
      <c r="O69" s="74" t="s">
        <v>717</v>
      </c>
      <c r="P69" s="75">
        <v>0.7541666666666667</v>
      </c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45880.0</v>
      </c>
      <c r="I70" s="68"/>
      <c r="J70" s="69"/>
      <c r="K70" s="70"/>
      <c r="L70" s="71"/>
      <c r="M70" s="72" t="s">
        <v>20</v>
      </c>
      <c r="N70" s="90">
        <v>754.0</v>
      </c>
      <c r="O70" s="74" t="s">
        <v>718</v>
      </c>
      <c r="P70" s="75">
        <v>0.7673611111111112</v>
      </c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45880.0</v>
      </c>
      <c r="I71" s="68"/>
      <c r="J71" s="69"/>
      <c r="K71" s="70"/>
      <c r="L71" s="71"/>
      <c r="M71" s="72" t="s">
        <v>496</v>
      </c>
      <c r="N71" s="90">
        <v>6500.0</v>
      </c>
      <c r="O71" s="74"/>
      <c r="P71" s="75">
        <v>0.7840277777777778</v>
      </c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45880.0</v>
      </c>
      <c r="I72" s="68"/>
      <c r="J72" s="69"/>
      <c r="K72" s="87"/>
      <c r="L72" s="71"/>
      <c r="M72" s="72" t="s">
        <v>339</v>
      </c>
      <c r="N72" s="90">
        <v>540.44</v>
      </c>
      <c r="O72" s="74" t="s">
        <v>719</v>
      </c>
      <c r="P72" s="75">
        <v>0.8923611111111112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45880.0</v>
      </c>
      <c r="I73" s="68" t="s">
        <v>683</v>
      </c>
      <c r="J73" s="69">
        <v>6232.0</v>
      </c>
      <c r="K73" s="70"/>
      <c r="L73" s="71">
        <v>0.9215277777777777</v>
      </c>
      <c r="M73" s="72"/>
      <c r="N73" s="90"/>
      <c r="O73" s="74"/>
      <c r="P73" s="75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45881.0</v>
      </c>
      <c r="I74" s="120"/>
      <c r="J74" s="121"/>
      <c r="K74" s="93"/>
      <c r="L74" s="71"/>
      <c r="M74" s="72" t="s">
        <v>452</v>
      </c>
      <c r="N74" s="90">
        <v>180.0</v>
      </c>
      <c r="O74" s="74" t="s">
        <v>720</v>
      </c>
      <c r="P74" s="75">
        <v>0.5819444444444445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45881.0</v>
      </c>
      <c r="I75" s="68"/>
      <c r="J75" s="69"/>
      <c r="K75" s="70"/>
      <c r="L75" s="71"/>
      <c r="M75" s="72" t="s">
        <v>496</v>
      </c>
      <c r="N75" s="90">
        <v>9100.0</v>
      </c>
      <c r="O75" s="74"/>
      <c r="P75" s="75">
        <v>0.5951388888888889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45881.0</v>
      </c>
      <c r="I76" s="68" t="s">
        <v>646</v>
      </c>
      <c r="J76" s="69">
        <v>14240.0</v>
      </c>
      <c r="K76" s="70" t="s">
        <v>721</v>
      </c>
      <c r="L76" s="71">
        <v>0.7347222222222223</v>
      </c>
      <c r="M76" s="72" t="s">
        <v>670</v>
      </c>
      <c r="N76" s="90">
        <v>24064.0</v>
      </c>
      <c r="O76" s="74" t="s">
        <v>155</v>
      </c>
      <c r="P76" s="75">
        <v>0.7097222222222223</v>
      </c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45881.0</v>
      </c>
      <c r="I77" s="68"/>
      <c r="J77" s="69"/>
      <c r="K77" s="70"/>
      <c r="L77" s="71"/>
      <c r="M77" s="147" t="s">
        <v>30</v>
      </c>
      <c r="N77" s="19">
        <v>550.0</v>
      </c>
      <c r="O77" s="126" t="s">
        <v>699</v>
      </c>
      <c r="P77" s="94" t="s">
        <v>722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45881.0</v>
      </c>
      <c r="I78" s="68"/>
      <c r="J78" s="69"/>
      <c r="K78" s="87"/>
      <c r="L78" s="71"/>
      <c r="M78" s="72" t="s">
        <v>339</v>
      </c>
      <c r="N78" s="19">
        <v>550.0</v>
      </c>
      <c r="O78" s="126" t="s">
        <v>699</v>
      </c>
      <c r="P78" s="75">
        <v>0.85</v>
      </c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45881.0</v>
      </c>
      <c r="I79" s="68" t="s">
        <v>706</v>
      </c>
      <c r="J79" s="69">
        <v>1116.98</v>
      </c>
      <c r="K79" s="70"/>
      <c r="L79" s="88" t="s">
        <v>723</v>
      </c>
      <c r="M79" s="72"/>
      <c r="N79" s="90"/>
      <c r="O79" s="74"/>
      <c r="P79" s="75"/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45882.0</v>
      </c>
      <c r="I80" s="68"/>
      <c r="J80" s="69"/>
      <c r="K80" s="92"/>
      <c r="L80" s="88"/>
      <c r="M80" s="72" t="s">
        <v>452</v>
      </c>
      <c r="N80" s="90">
        <v>120.0</v>
      </c>
      <c r="O80" s="74" t="s">
        <v>724</v>
      </c>
      <c r="P80" s="75">
        <v>0.5805555555555556</v>
      </c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45882.0</v>
      </c>
      <c r="I81" s="68"/>
      <c r="J81" s="69"/>
      <c r="K81" s="70"/>
      <c r="L81" s="88"/>
      <c r="M81" s="72" t="s">
        <v>496</v>
      </c>
      <c r="N81" s="90">
        <v>9200.0</v>
      </c>
      <c r="O81" s="74"/>
      <c r="P81" s="75">
        <v>0.6020833333333333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45882.0</v>
      </c>
      <c r="I82" s="68"/>
      <c r="J82" s="69"/>
      <c r="K82" s="70"/>
      <c r="L82" s="88"/>
      <c r="M82" s="72" t="s">
        <v>20</v>
      </c>
      <c r="N82" s="90">
        <v>58.0</v>
      </c>
      <c r="O82" s="74" t="s">
        <v>725</v>
      </c>
      <c r="P82" s="94" t="s">
        <v>726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45882.0</v>
      </c>
      <c r="I83" s="68" t="s">
        <v>646</v>
      </c>
      <c r="J83" s="69">
        <v>11520.0</v>
      </c>
      <c r="K83" s="70" t="s">
        <v>727</v>
      </c>
      <c r="L83" s="88" t="s">
        <v>309</v>
      </c>
      <c r="M83" s="147" t="s">
        <v>30</v>
      </c>
      <c r="N83" s="90">
        <v>1100.0</v>
      </c>
      <c r="O83" s="74" t="s">
        <v>728</v>
      </c>
      <c r="P83" s="94" t="s">
        <v>729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45882.0</v>
      </c>
      <c r="I84" s="68"/>
      <c r="J84" s="69"/>
      <c r="K84" s="87"/>
      <c r="L84" s="71"/>
      <c r="M84" s="72" t="s">
        <v>496</v>
      </c>
      <c r="N84" s="90">
        <v>6500.0</v>
      </c>
      <c r="O84" s="74"/>
      <c r="P84" s="75">
        <v>0.9097222222222222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45882.0</v>
      </c>
      <c r="I85" s="68"/>
      <c r="J85" s="69"/>
      <c r="K85" s="70"/>
      <c r="L85" s="88"/>
      <c r="M85" s="72" t="s">
        <v>339</v>
      </c>
      <c r="N85" s="90">
        <v>11.5</v>
      </c>
      <c r="O85" s="74" t="s">
        <v>730</v>
      </c>
      <c r="P85" s="94" t="s">
        <v>731</v>
      </c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45882.0</v>
      </c>
      <c r="I86" s="68"/>
      <c r="J86" s="69"/>
      <c r="K86" s="85"/>
      <c r="L86" s="71"/>
      <c r="M86" s="72" t="s">
        <v>339</v>
      </c>
      <c r="N86" s="90">
        <v>563.5</v>
      </c>
      <c r="O86" s="74" t="s">
        <v>732</v>
      </c>
      <c r="P86" s="94" t="s">
        <v>733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45883.0</v>
      </c>
      <c r="I87" s="68" t="s">
        <v>686</v>
      </c>
      <c r="J87" s="69">
        <v>600.0</v>
      </c>
      <c r="K87" s="70" t="s">
        <v>734</v>
      </c>
      <c r="L87" s="88" t="s">
        <v>735</v>
      </c>
      <c r="M87" s="72"/>
      <c r="N87" s="90"/>
      <c r="O87" s="74"/>
      <c r="P87" s="75"/>
      <c r="Q87" s="41"/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45883.0</v>
      </c>
      <c r="I88" s="68" t="s">
        <v>646</v>
      </c>
      <c r="J88" s="69">
        <v>17120.0</v>
      </c>
      <c r="K88" s="70" t="s">
        <v>736</v>
      </c>
      <c r="L88" s="71">
        <v>0.6</v>
      </c>
      <c r="M88" s="72" t="s">
        <v>496</v>
      </c>
      <c r="N88" s="90">
        <v>6630.0</v>
      </c>
      <c r="O88" s="74"/>
      <c r="P88" s="75">
        <v>0.6229166666666667</v>
      </c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45883.0</v>
      </c>
      <c r="I89" s="68"/>
      <c r="J89" s="69"/>
      <c r="K89" s="70"/>
      <c r="L89" s="71"/>
      <c r="M89" s="72" t="s">
        <v>20</v>
      </c>
      <c r="N89" s="90">
        <v>88.0</v>
      </c>
      <c r="O89" s="74" t="s">
        <v>737</v>
      </c>
      <c r="P89" s="75">
        <v>0.65625</v>
      </c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45883.0</v>
      </c>
      <c r="I90" s="68"/>
      <c r="J90" s="69"/>
      <c r="K90" s="70"/>
      <c r="L90" s="71"/>
      <c r="M90" s="72" t="s">
        <v>30</v>
      </c>
      <c r="N90" s="90">
        <v>1120.0</v>
      </c>
      <c r="O90" s="74" t="s">
        <v>738</v>
      </c>
      <c r="P90" s="94" t="s">
        <v>216</v>
      </c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45883.0</v>
      </c>
      <c r="I91" s="68"/>
      <c r="J91" s="69"/>
      <c r="K91" s="70"/>
      <c r="L91" s="71"/>
      <c r="M91" s="72" t="s">
        <v>30</v>
      </c>
      <c r="N91" s="90">
        <v>1100.0</v>
      </c>
      <c r="O91" s="74" t="s">
        <v>728</v>
      </c>
      <c r="P91" s="75">
        <v>0.7972222222222223</v>
      </c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45883.0</v>
      </c>
      <c r="I92" s="68"/>
      <c r="J92" s="69"/>
      <c r="K92" s="70"/>
      <c r="L92" s="71"/>
      <c r="M92" s="72" t="s">
        <v>339</v>
      </c>
      <c r="N92" s="90">
        <v>550.0</v>
      </c>
      <c r="O92" s="74" t="s">
        <v>712</v>
      </c>
      <c r="P92" s="75">
        <v>0.8027777777777778</v>
      </c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45883.0</v>
      </c>
      <c r="I93" s="68" t="s">
        <v>339</v>
      </c>
      <c r="J93" s="69">
        <v>2683.82</v>
      </c>
      <c r="K93" s="70" t="s">
        <v>155</v>
      </c>
      <c r="L93" s="71">
        <v>0.9111111111111111</v>
      </c>
      <c r="M93" s="72"/>
      <c r="N93" s="90"/>
      <c r="O93" s="74"/>
      <c r="P93" s="75"/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45884.0</v>
      </c>
      <c r="I94" s="68" t="s">
        <v>264</v>
      </c>
      <c r="J94" s="69">
        <v>192.95</v>
      </c>
      <c r="K94" s="70" t="s">
        <v>155</v>
      </c>
      <c r="L94" s="71">
        <v>0.48819444444444443</v>
      </c>
      <c r="M94" s="72" t="s">
        <v>496</v>
      </c>
      <c r="N94" s="90">
        <v>18590.0</v>
      </c>
      <c r="O94" s="74"/>
      <c r="P94" s="75">
        <v>0.6263888888888889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45884.0</v>
      </c>
      <c r="I95" s="68" t="s">
        <v>646</v>
      </c>
      <c r="J95" s="69">
        <v>15520.0</v>
      </c>
      <c r="K95" s="70" t="s">
        <v>739</v>
      </c>
      <c r="L95" s="88" t="s">
        <v>740</v>
      </c>
      <c r="M95" s="72" t="s">
        <v>339</v>
      </c>
      <c r="N95" s="90">
        <v>565.0</v>
      </c>
      <c r="O95" s="74" t="s">
        <v>741</v>
      </c>
      <c r="P95" s="94" t="s">
        <v>742</v>
      </c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45884.0</v>
      </c>
      <c r="I96" s="68"/>
      <c r="J96" s="69"/>
      <c r="K96" s="70"/>
      <c r="L96" s="71"/>
      <c r="M96" s="72" t="s">
        <v>452</v>
      </c>
      <c r="N96" s="90">
        <v>523.47</v>
      </c>
      <c r="O96" s="74" t="s">
        <v>743</v>
      </c>
      <c r="P96" s="94" t="s">
        <v>744</v>
      </c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45885.0</v>
      </c>
      <c r="I97" s="68" t="s">
        <v>686</v>
      </c>
      <c r="J97" s="69">
        <v>1560.0</v>
      </c>
      <c r="K97" s="70" t="s">
        <v>745</v>
      </c>
      <c r="L97" s="71">
        <v>0.24583333333333332</v>
      </c>
      <c r="M97" s="72" t="s">
        <v>484</v>
      </c>
      <c r="N97" s="90">
        <v>60.0</v>
      </c>
      <c r="O97" s="74" t="s">
        <v>746</v>
      </c>
      <c r="P97" s="75">
        <v>0.5152777777777777</v>
      </c>
      <c r="R97" s="39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45885.0</v>
      </c>
      <c r="I98" s="84"/>
      <c r="J98" s="17"/>
      <c r="K98" s="85"/>
      <c r="L98" s="86"/>
      <c r="M98" s="72" t="s">
        <v>20</v>
      </c>
      <c r="N98" s="90">
        <v>50.0</v>
      </c>
      <c r="O98" s="74" t="s">
        <v>747</v>
      </c>
      <c r="P98" s="75">
        <v>0.5152777777777777</v>
      </c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45885.0</v>
      </c>
      <c r="I99" s="84"/>
      <c r="J99" s="17"/>
      <c r="K99" s="85"/>
      <c r="L99" s="86"/>
      <c r="M99" s="72" t="s">
        <v>339</v>
      </c>
      <c r="N99" s="90">
        <v>575.0</v>
      </c>
      <c r="O99" s="74" t="s">
        <v>748</v>
      </c>
      <c r="P99" s="75">
        <v>0.6131944444444445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45885.0</v>
      </c>
      <c r="I100" s="68" t="s">
        <v>705</v>
      </c>
      <c r="J100" s="69">
        <v>2522.0</v>
      </c>
      <c r="K100" s="70" t="s">
        <v>155</v>
      </c>
      <c r="L100" s="71">
        <v>0.6222222222222222</v>
      </c>
      <c r="M100" s="72"/>
      <c r="N100" s="90"/>
      <c r="O100" s="74"/>
      <c r="P100" s="94"/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45885.0</v>
      </c>
      <c r="I101" s="68" t="s">
        <v>646</v>
      </c>
      <c r="J101" s="69">
        <v>13600.0</v>
      </c>
      <c r="K101" s="70" t="s">
        <v>749</v>
      </c>
      <c r="L101" s="71">
        <v>0.6763888888888889</v>
      </c>
      <c r="M101" s="72"/>
      <c r="N101" s="90"/>
      <c r="O101" s="74"/>
      <c r="P101" s="75"/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45885.0</v>
      </c>
      <c r="I102" s="68" t="s">
        <v>688</v>
      </c>
      <c r="J102" s="69">
        <v>30000.0</v>
      </c>
      <c r="K102" s="70" t="s">
        <v>155</v>
      </c>
      <c r="L102" s="88" t="s">
        <v>750</v>
      </c>
      <c r="M102" s="72"/>
      <c r="N102" s="90"/>
      <c r="O102" s="74"/>
      <c r="P102" s="94"/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45886.0</v>
      </c>
      <c r="I103" s="68"/>
      <c r="J103" s="69"/>
      <c r="K103" s="87"/>
      <c r="L103" s="88"/>
      <c r="M103" s="72" t="s">
        <v>339</v>
      </c>
      <c r="N103" s="90">
        <v>1060.0</v>
      </c>
      <c r="O103" s="74" t="s">
        <v>708</v>
      </c>
      <c r="P103" s="75">
        <v>0.6756944444444445</v>
      </c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45887.0</v>
      </c>
      <c r="I104" s="68"/>
      <c r="J104" s="69"/>
      <c r="K104" s="87"/>
      <c r="L104" s="71"/>
      <c r="M104" s="72" t="s">
        <v>39</v>
      </c>
      <c r="N104" s="90">
        <v>264.0</v>
      </c>
      <c r="O104" s="74" t="s">
        <v>751</v>
      </c>
      <c r="P104" s="75">
        <v>0.5694444444444444</v>
      </c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45887.0</v>
      </c>
      <c r="I105" s="68"/>
      <c r="J105" s="69"/>
      <c r="K105" s="70"/>
      <c r="L105" s="71"/>
      <c r="M105" s="72" t="s">
        <v>484</v>
      </c>
      <c r="N105" s="90">
        <v>109.0</v>
      </c>
      <c r="O105" s="74" t="s">
        <v>752</v>
      </c>
      <c r="P105" s="75">
        <v>0.6284722222222222</v>
      </c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45887.0</v>
      </c>
      <c r="I106" s="68"/>
      <c r="J106" s="69"/>
      <c r="K106" s="70"/>
      <c r="L106" s="71"/>
      <c r="M106" s="72" t="s">
        <v>20</v>
      </c>
      <c r="N106" s="90">
        <v>50.0</v>
      </c>
      <c r="O106" s="74" t="s">
        <v>752</v>
      </c>
      <c r="P106" s="75">
        <v>0.6284722222222222</v>
      </c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45887.0</v>
      </c>
      <c r="I107" s="68"/>
      <c r="J107" s="69"/>
      <c r="K107" s="70"/>
      <c r="L107" s="71"/>
      <c r="M107" s="72" t="s">
        <v>484</v>
      </c>
      <c r="N107" s="90">
        <v>240.0</v>
      </c>
      <c r="O107" s="74" t="s">
        <v>753</v>
      </c>
      <c r="P107" s="75">
        <v>0.6819444444444445</v>
      </c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45887.0</v>
      </c>
      <c r="I108" s="68"/>
      <c r="J108" s="69"/>
      <c r="K108" s="70"/>
      <c r="L108" s="71"/>
      <c r="M108" s="72" t="s">
        <v>671</v>
      </c>
      <c r="N108" s="90">
        <v>9591.0</v>
      </c>
      <c r="O108" s="74"/>
      <c r="P108" s="75">
        <v>0.6909722222222222</v>
      </c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45887.0</v>
      </c>
      <c r="I109" s="68"/>
      <c r="J109" s="69"/>
      <c r="K109" s="93"/>
      <c r="L109" s="88"/>
      <c r="M109" s="72" t="s">
        <v>339</v>
      </c>
      <c r="N109" s="90">
        <v>1115.0</v>
      </c>
      <c r="O109" s="74" t="s">
        <v>754</v>
      </c>
      <c r="P109" s="75">
        <v>0.7104166666666667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45887.0</v>
      </c>
      <c r="I110" s="68"/>
      <c r="J110" s="69"/>
      <c r="K110" s="85"/>
      <c r="L110" s="71"/>
      <c r="M110" s="72" t="s">
        <v>668</v>
      </c>
      <c r="N110" s="90">
        <v>7200.0</v>
      </c>
      <c r="O110" s="74"/>
      <c r="P110" s="75">
        <v>0.73125</v>
      </c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45887.0</v>
      </c>
      <c r="I111" s="68"/>
      <c r="J111" s="69"/>
      <c r="K111" s="70"/>
      <c r="L111" s="71"/>
      <c r="M111" s="72" t="s">
        <v>39</v>
      </c>
      <c r="N111" s="90">
        <v>691.4</v>
      </c>
      <c r="O111" s="74" t="s">
        <v>755</v>
      </c>
      <c r="P111" s="75">
        <v>0.7326388888888888</v>
      </c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45887.0</v>
      </c>
      <c r="I112" s="68"/>
      <c r="J112" s="69"/>
      <c r="K112" s="70"/>
      <c r="L112" s="71"/>
      <c r="M112" s="72" t="s">
        <v>20</v>
      </c>
      <c r="N112" s="90">
        <v>384.81</v>
      </c>
      <c r="O112" s="74" t="s">
        <v>756</v>
      </c>
      <c r="P112" s="75">
        <v>0.7680555555555556</v>
      </c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45887.0</v>
      </c>
      <c r="I113" s="68"/>
      <c r="J113" s="69"/>
      <c r="K113" s="70"/>
      <c r="L113" s="71"/>
      <c r="M113" s="72" t="s">
        <v>339</v>
      </c>
      <c r="N113" s="90">
        <v>565.0</v>
      </c>
      <c r="O113" s="74" t="s">
        <v>741</v>
      </c>
      <c r="P113" s="75">
        <v>0.7840277777777778</v>
      </c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45887.0</v>
      </c>
      <c r="I114" s="68"/>
      <c r="J114" s="69"/>
      <c r="K114" s="70"/>
      <c r="L114" s="71"/>
      <c r="M114" s="72" t="s">
        <v>20</v>
      </c>
      <c r="N114" s="90">
        <v>47.0</v>
      </c>
      <c r="O114" s="74" t="s">
        <v>757</v>
      </c>
      <c r="P114" s="75">
        <v>0.8402777777777778</v>
      </c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45887.0</v>
      </c>
      <c r="I115" s="68"/>
      <c r="J115" s="69"/>
      <c r="K115" s="70"/>
      <c r="L115" s="71"/>
      <c r="M115" s="72" t="s">
        <v>484</v>
      </c>
      <c r="N115" s="90">
        <v>1090.0</v>
      </c>
      <c r="O115" s="74" t="s">
        <v>511</v>
      </c>
      <c r="P115" s="75">
        <v>0.9916666666666667</v>
      </c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45888.0</v>
      </c>
      <c r="I116" s="68" t="s">
        <v>686</v>
      </c>
      <c r="J116" s="69">
        <v>1560.0</v>
      </c>
      <c r="K116" s="70" t="s">
        <v>758</v>
      </c>
      <c r="L116" s="88" t="s">
        <v>759</v>
      </c>
      <c r="M116" s="72" t="s">
        <v>20</v>
      </c>
      <c r="N116" s="90">
        <v>200.0</v>
      </c>
      <c r="O116" s="74" t="s">
        <v>45</v>
      </c>
      <c r="P116" s="75">
        <v>0.4673611111111111</v>
      </c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45888.0</v>
      </c>
      <c r="I117" s="68"/>
      <c r="J117" s="69"/>
      <c r="K117" s="70"/>
      <c r="L117" s="71"/>
      <c r="M117" s="72" t="s">
        <v>39</v>
      </c>
      <c r="N117" s="90">
        <v>1314.0</v>
      </c>
      <c r="O117" s="74" t="s">
        <v>760</v>
      </c>
      <c r="P117" s="75">
        <v>0.4979166666666667</v>
      </c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45888.0</v>
      </c>
      <c r="I118" s="68"/>
      <c r="J118" s="69"/>
      <c r="K118" s="92"/>
      <c r="L118" s="71"/>
      <c r="M118" s="72" t="s">
        <v>660</v>
      </c>
      <c r="N118" s="90">
        <v>60.0</v>
      </c>
      <c r="O118" s="74" t="s">
        <v>761</v>
      </c>
      <c r="P118" s="75">
        <v>0.5166666666666667</v>
      </c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45888.0</v>
      </c>
      <c r="I119" s="68"/>
      <c r="J119" s="69"/>
      <c r="K119" s="70"/>
      <c r="L119" s="71"/>
      <c r="M119" s="72" t="s">
        <v>20</v>
      </c>
      <c r="N119" s="90">
        <v>59.0</v>
      </c>
      <c r="O119" s="74" t="s">
        <v>762</v>
      </c>
      <c r="P119" s="75">
        <v>0.5368055555555555</v>
      </c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45888.0</v>
      </c>
      <c r="I120" s="68"/>
      <c r="J120" s="69"/>
      <c r="K120" s="70"/>
      <c r="L120" s="71"/>
      <c r="M120" s="72" t="s">
        <v>20</v>
      </c>
      <c r="N120" s="90">
        <v>38.0</v>
      </c>
      <c r="O120" s="74" t="s">
        <v>763</v>
      </c>
      <c r="P120" s="75">
        <v>0.6</v>
      </c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45888.0</v>
      </c>
      <c r="I121" s="68"/>
      <c r="J121" s="69"/>
      <c r="K121" s="70"/>
      <c r="L121" s="71"/>
      <c r="M121" s="72" t="s">
        <v>452</v>
      </c>
      <c r="N121" s="90">
        <v>633.31</v>
      </c>
      <c r="O121" s="74" t="s">
        <v>764</v>
      </c>
      <c r="P121" s="75">
        <v>0.6048611111111111</v>
      </c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45888.0</v>
      </c>
      <c r="I122" s="68" t="s">
        <v>646</v>
      </c>
      <c r="J122" s="69">
        <v>4960.0</v>
      </c>
      <c r="K122" s="70" t="s">
        <v>765</v>
      </c>
      <c r="L122" s="71">
        <v>0.6159722222222223</v>
      </c>
      <c r="M122" s="72" t="s">
        <v>496</v>
      </c>
      <c r="N122" s="90">
        <v>15290.0</v>
      </c>
      <c r="O122" s="74"/>
      <c r="P122" s="75">
        <v>0.6256944444444444</v>
      </c>
      <c r="Q122" s="41"/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45888.0</v>
      </c>
      <c r="I123" s="68"/>
      <c r="J123" s="69"/>
      <c r="K123" s="70"/>
      <c r="L123" s="71"/>
      <c r="M123" s="72" t="s">
        <v>39</v>
      </c>
      <c r="N123" s="90">
        <v>504.7</v>
      </c>
      <c r="O123" s="74" t="s">
        <v>766</v>
      </c>
      <c r="P123" s="75">
        <v>0.7041666666666667</v>
      </c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45888.0</v>
      </c>
      <c r="I124" s="68"/>
      <c r="J124" s="69"/>
      <c r="K124" s="70"/>
      <c r="L124" s="71"/>
      <c r="M124" s="147" t="s">
        <v>339</v>
      </c>
      <c r="N124" s="19">
        <v>565.0</v>
      </c>
      <c r="O124" s="126" t="s">
        <v>741</v>
      </c>
      <c r="P124" s="75">
        <v>0.7125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45888.0</v>
      </c>
      <c r="I125" s="68"/>
      <c r="J125" s="69"/>
      <c r="K125" s="70"/>
      <c r="L125" s="71"/>
      <c r="M125" s="72" t="s">
        <v>480</v>
      </c>
      <c r="N125" s="90">
        <v>555.0</v>
      </c>
      <c r="O125" s="74" t="s">
        <v>767</v>
      </c>
      <c r="P125" s="75">
        <v>0.7215277777777778</v>
      </c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45888.0</v>
      </c>
      <c r="I126" s="68"/>
      <c r="J126" s="69"/>
      <c r="K126" s="70"/>
      <c r="L126" s="71"/>
      <c r="M126" s="72" t="s">
        <v>484</v>
      </c>
      <c r="N126" s="90">
        <v>1090.0</v>
      </c>
      <c r="O126" s="74" t="s">
        <v>511</v>
      </c>
      <c r="P126" s="94" t="s">
        <v>677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45888.0</v>
      </c>
      <c r="I127" s="84"/>
      <c r="J127" s="17"/>
      <c r="K127" s="85"/>
      <c r="L127" s="86"/>
      <c r="M127" s="72" t="s">
        <v>39</v>
      </c>
      <c r="N127" s="90">
        <v>535.0</v>
      </c>
      <c r="O127" s="74" t="s">
        <v>387</v>
      </c>
      <c r="P127" s="75">
        <v>0.9034722222222222</v>
      </c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45889.0</v>
      </c>
      <c r="I128" s="68"/>
      <c r="J128" s="69"/>
      <c r="K128" s="70"/>
      <c r="L128" s="71"/>
      <c r="M128" s="72" t="s">
        <v>20</v>
      </c>
      <c r="N128" s="90">
        <v>100.0</v>
      </c>
      <c r="O128" s="74" t="s">
        <v>768</v>
      </c>
      <c r="P128" s="75">
        <v>0.5319444444444444</v>
      </c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45889.0</v>
      </c>
      <c r="I129" s="68"/>
      <c r="J129" s="69"/>
      <c r="K129" s="70"/>
      <c r="L129" s="71"/>
      <c r="M129" s="72" t="s">
        <v>484</v>
      </c>
      <c r="N129" s="90">
        <v>180.0</v>
      </c>
      <c r="O129" s="74" t="s">
        <v>769</v>
      </c>
      <c r="P129" s="75">
        <v>0.5763888888888888</v>
      </c>
      <c r="Q129" s="41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45889.0</v>
      </c>
      <c r="I130" s="68"/>
      <c r="J130" s="69"/>
      <c r="K130" s="70"/>
      <c r="L130" s="71"/>
      <c r="M130" s="72" t="s">
        <v>39</v>
      </c>
      <c r="N130" s="90">
        <v>535.0</v>
      </c>
      <c r="O130" s="74" t="s">
        <v>387</v>
      </c>
      <c r="P130" s="75">
        <v>0.6611111111111111</v>
      </c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45889.0</v>
      </c>
      <c r="I131" s="68" t="s">
        <v>646</v>
      </c>
      <c r="J131" s="69">
        <v>8320.0</v>
      </c>
      <c r="K131" s="70" t="s">
        <v>770</v>
      </c>
      <c r="L131" s="88" t="s">
        <v>771</v>
      </c>
      <c r="M131" s="72" t="s">
        <v>39</v>
      </c>
      <c r="N131" s="90">
        <v>762.1</v>
      </c>
      <c r="O131" s="74" t="s">
        <v>772</v>
      </c>
      <c r="P131" s="75">
        <v>0.6916666666666667</v>
      </c>
      <c r="Q131" s="41"/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45889.0</v>
      </c>
      <c r="I132" s="68"/>
      <c r="J132" s="69"/>
      <c r="K132" s="85"/>
      <c r="L132" s="71"/>
      <c r="M132" s="72" t="s">
        <v>452</v>
      </c>
      <c r="N132" s="90">
        <v>530.0</v>
      </c>
      <c r="O132" s="74" t="s">
        <v>228</v>
      </c>
      <c r="P132" s="75">
        <v>0.76875</v>
      </c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45889.0</v>
      </c>
      <c r="I133" s="68" t="s">
        <v>464</v>
      </c>
      <c r="J133" s="69">
        <v>4500.0</v>
      </c>
      <c r="K133" s="70" t="s">
        <v>773</v>
      </c>
      <c r="L133" s="88">
        <v>2150.0</v>
      </c>
      <c r="M133" s="72"/>
      <c r="N133" s="90"/>
      <c r="O133" s="74"/>
      <c r="P133" s="94"/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45890.0</v>
      </c>
      <c r="I134" s="68" t="s">
        <v>702</v>
      </c>
      <c r="J134" s="69">
        <v>1411.75</v>
      </c>
      <c r="K134" s="70" t="s">
        <v>155</v>
      </c>
      <c r="L134" s="71">
        <v>0.004861111111111111</v>
      </c>
      <c r="M134" s="72" t="s">
        <v>39</v>
      </c>
      <c r="N134" s="90">
        <v>535.0</v>
      </c>
      <c r="O134" s="74" t="s">
        <v>387</v>
      </c>
      <c r="P134" s="75">
        <v>0.48541666666666666</v>
      </c>
      <c r="Q134" s="125"/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45890.0</v>
      </c>
      <c r="I135" s="68"/>
      <c r="J135" s="69"/>
      <c r="K135" s="70"/>
      <c r="L135" s="71"/>
      <c r="M135" s="72" t="s">
        <v>667</v>
      </c>
      <c r="N135" s="90">
        <v>5000.0</v>
      </c>
      <c r="O135" s="74" t="s">
        <v>774</v>
      </c>
      <c r="P135" s="75">
        <v>0.6291666666666667</v>
      </c>
      <c r="Q135" s="125"/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45890.0</v>
      </c>
      <c r="I136" s="68" t="s">
        <v>168</v>
      </c>
      <c r="J136" s="69">
        <v>8000.0</v>
      </c>
      <c r="K136" s="70" t="s">
        <v>775</v>
      </c>
      <c r="L136" s="88" t="s">
        <v>311</v>
      </c>
      <c r="M136" s="72" t="s">
        <v>39</v>
      </c>
      <c r="N136" s="90">
        <v>220.0</v>
      </c>
      <c r="O136" s="74" t="s">
        <v>776</v>
      </c>
      <c r="P136" s="75">
        <v>0.6680555555555555</v>
      </c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45890.0</v>
      </c>
      <c r="I137" s="84"/>
      <c r="J137" s="17"/>
      <c r="K137" s="85"/>
      <c r="L137" s="86"/>
      <c r="M137" s="72" t="s">
        <v>39</v>
      </c>
      <c r="N137" s="90">
        <v>1085.0</v>
      </c>
      <c r="O137" s="74" t="s">
        <v>777</v>
      </c>
      <c r="P137" s="94" t="s">
        <v>778</v>
      </c>
      <c r="Q137" s="41"/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45890.0</v>
      </c>
      <c r="I138" s="68"/>
      <c r="J138" s="69"/>
      <c r="K138" s="70"/>
      <c r="L138" s="71"/>
      <c r="M138" s="72" t="s">
        <v>666</v>
      </c>
      <c r="N138" s="90">
        <v>2600.0</v>
      </c>
      <c r="O138" s="74"/>
      <c r="P138" s="75">
        <v>0.7222222222222222</v>
      </c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45890.0</v>
      </c>
      <c r="I139" s="68"/>
      <c r="J139" s="69"/>
      <c r="K139" s="70"/>
      <c r="L139" s="71"/>
      <c r="M139" s="72" t="s">
        <v>339</v>
      </c>
      <c r="N139" s="90">
        <v>239.22</v>
      </c>
      <c r="O139" s="74" t="s">
        <v>779</v>
      </c>
      <c r="P139" s="94" t="s">
        <v>780</v>
      </c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45890.0</v>
      </c>
      <c r="I140" s="68"/>
      <c r="J140" s="69"/>
      <c r="K140" s="70"/>
      <c r="L140" s="71"/>
      <c r="M140" s="72" t="s">
        <v>50</v>
      </c>
      <c r="N140" s="90">
        <v>1080.0</v>
      </c>
      <c r="O140" s="74" t="s">
        <v>781</v>
      </c>
      <c r="P140" s="94" t="s">
        <v>782</v>
      </c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45890.0</v>
      </c>
      <c r="I141" s="84"/>
      <c r="J141" s="17"/>
      <c r="K141" s="85"/>
      <c r="L141" s="86"/>
      <c r="M141" s="72" t="s">
        <v>39</v>
      </c>
      <c r="N141" s="90">
        <v>1620.0</v>
      </c>
      <c r="O141" s="74" t="s">
        <v>783</v>
      </c>
      <c r="P141" s="75">
        <v>0.8368055555555556</v>
      </c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45890.0</v>
      </c>
      <c r="I142" s="68"/>
      <c r="J142" s="69"/>
      <c r="K142" s="70"/>
      <c r="L142" s="71"/>
      <c r="M142" s="72" t="s">
        <v>456</v>
      </c>
      <c r="N142" s="90">
        <v>1950.0</v>
      </c>
      <c r="O142" s="74"/>
      <c r="P142" s="75">
        <v>0.9305555555555556</v>
      </c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45891.0</v>
      </c>
      <c r="I143" s="68"/>
      <c r="J143" s="69"/>
      <c r="K143" s="70"/>
      <c r="L143" s="71"/>
      <c r="M143" s="72" t="s">
        <v>47</v>
      </c>
      <c r="N143" s="90">
        <v>3922.91</v>
      </c>
      <c r="O143" s="74" t="s">
        <v>784</v>
      </c>
      <c r="P143" s="75">
        <v>0.5027777777777778</v>
      </c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45891.0</v>
      </c>
      <c r="I144" s="68"/>
      <c r="J144" s="69"/>
      <c r="K144" s="85"/>
      <c r="L144" s="71"/>
      <c r="M144" s="72" t="s">
        <v>668</v>
      </c>
      <c r="N144" s="90">
        <v>4800.0</v>
      </c>
      <c r="O144" s="74"/>
      <c r="P144" s="75">
        <v>0.5104166666666666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45891.0</v>
      </c>
      <c r="I145" s="68"/>
      <c r="J145" s="69"/>
      <c r="K145" s="70"/>
      <c r="L145" s="71"/>
      <c r="M145" s="72" t="s">
        <v>20</v>
      </c>
      <c r="N145" s="90">
        <v>500.0</v>
      </c>
      <c r="O145" s="74" t="s">
        <v>211</v>
      </c>
      <c r="P145" s="75">
        <v>0.5166666666666667</v>
      </c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45891.0</v>
      </c>
      <c r="I146" s="68"/>
      <c r="J146" s="69"/>
      <c r="K146" s="70"/>
      <c r="L146" s="71"/>
      <c r="M146" s="72" t="s">
        <v>480</v>
      </c>
      <c r="N146" s="90">
        <v>555.0</v>
      </c>
      <c r="O146" s="74" t="s">
        <v>767</v>
      </c>
      <c r="P146" s="94" t="s">
        <v>785</v>
      </c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45891.0</v>
      </c>
      <c r="I147" s="68" t="s">
        <v>669</v>
      </c>
      <c r="J147" s="69">
        <v>50000.0</v>
      </c>
      <c r="K147" s="85"/>
      <c r="L147" s="71">
        <v>0.6423611111111112</v>
      </c>
      <c r="M147" s="72" t="s">
        <v>20</v>
      </c>
      <c r="N147" s="90">
        <v>76.608</v>
      </c>
      <c r="O147" s="74" t="s">
        <v>786</v>
      </c>
      <c r="P147" s="75">
        <v>0.69375</v>
      </c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45891.0</v>
      </c>
      <c r="I148" s="68"/>
      <c r="J148" s="69"/>
      <c r="K148" s="85"/>
      <c r="L148" s="88"/>
      <c r="M148" s="72" t="s">
        <v>484</v>
      </c>
      <c r="N148" s="90">
        <v>120.0</v>
      </c>
      <c r="O148" s="74" t="s">
        <v>787</v>
      </c>
      <c r="P148" s="94" t="s">
        <v>788</v>
      </c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45892.0</v>
      </c>
      <c r="I149" s="68" t="s">
        <v>646</v>
      </c>
      <c r="J149" s="69">
        <v>320.0</v>
      </c>
      <c r="K149" s="70" t="s">
        <v>789</v>
      </c>
      <c r="L149" s="71">
        <v>0.002777777777777778</v>
      </c>
      <c r="M149" s="72" t="s">
        <v>456</v>
      </c>
      <c r="N149" s="90">
        <v>2015.0</v>
      </c>
      <c r="O149" s="74"/>
      <c r="P149" s="75">
        <v>0.9409722222222222</v>
      </c>
      <c r="Q149" s="41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45892.0</v>
      </c>
      <c r="I150" s="68" t="s">
        <v>464</v>
      </c>
      <c r="J150" s="69">
        <v>4500.0</v>
      </c>
      <c r="K150" s="70" t="s">
        <v>790</v>
      </c>
      <c r="L150" s="71">
        <v>0.05347222222222222</v>
      </c>
      <c r="M150" s="72"/>
      <c r="N150" s="90"/>
      <c r="O150" s="74"/>
      <c r="P150" s="75"/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45892.0</v>
      </c>
      <c r="I151" s="68" t="s">
        <v>686</v>
      </c>
      <c r="J151" s="69">
        <v>1980.0</v>
      </c>
      <c r="K151" s="70" t="s">
        <v>791</v>
      </c>
      <c r="L151" s="88" t="s">
        <v>792</v>
      </c>
      <c r="M151" s="151" t="s">
        <v>484</v>
      </c>
      <c r="N151" s="152">
        <v>120.0</v>
      </c>
      <c r="O151" s="74" t="s">
        <v>787</v>
      </c>
      <c r="P151" s="75">
        <v>0.5826388888888889</v>
      </c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45892.0</v>
      </c>
      <c r="I152" s="68" t="s">
        <v>667</v>
      </c>
      <c r="J152" s="69">
        <v>2150.0</v>
      </c>
      <c r="K152" s="87"/>
      <c r="L152" s="71">
        <v>0.6381944444444444</v>
      </c>
      <c r="M152" s="72"/>
      <c r="N152" s="90"/>
      <c r="O152" s="74"/>
      <c r="P152" s="75"/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45892.0</v>
      </c>
      <c r="I153" s="68" t="s">
        <v>491</v>
      </c>
      <c r="J153" s="69">
        <v>1176.0</v>
      </c>
      <c r="K153" s="70"/>
      <c r="L153" s="88" t="s">
        <v>793</v>
      </c>
      <c r="M153" s="72" t="s">
        <v>39</v>
      </c>
      <c r="N153" s="90">
        <v>2297.33</v>
      </c>
      <c r="O153" s="74" t="s">
        <v>794</v>
      </c>
      <c r="P153" s="75">
        <v>0.7694444444444445</v>
      </c>
      <c r="Q153" s="41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45892.0</v>
      </c>
      <c r="I154" s="68" t="s">
        <v>688</v>
      </c>
      <c r="J154" s="69">
        <v>408.0</v>
      </c>
      <c r="K154" s="85"/>
      <c r="L154" s="71">
        <v>0.7805555555555556</v>
      </c>
      <c r="M154" s="72" t="s">
        <v>668</v>
      </c>
      <c r="N154" s="90">
        <v>4800.0</v>
      </c>
      <c r="O154" s="74"/>
      <c r="P154" s="94" t="s">
        <v>795</v>
      </c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45893.0</v>
      </c>
      <c r="I155" s="68"/>
      <c r="J155" s="69"/>
      <c r="K155" s="70"/>
      <c r="L155" s="71"/>
      <c r="M155" s="72" t="s">
        <v>456</v>
      </c>
      <c r="N155" s="90">
        <v>2295.0</v>
      </c>
      <c r="O155" s="74"/>
      <c r="P155" s="75">
        <v>0.9159722222222222</v>
      </c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45894.0</v>
      </c>
      <c r="I156" s="68"/>
      <c r="J156" s="69"/>
      <c r="K156" s="70"/>
      <c r="L156" s="71"/>
      <c r="M156" s="72" t="s">
        <v>47</v>
      </c>
      <c r="N156" s="90">
        <v>11773.72</v>
      </c>
      <c r="O156" s="74" t="s">
        <v>796</v>
      </c>
      <c r="P156" s="75">
        <v>0.5013888888888889</v>
      </c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45894.0</v>
      </c>
      <c r="I157" s="68"/>
      <c r="J157" s="69"/>
      <c r="K157" s="87"/>
      <c r="L157" s="71"/>
      <c r="M157" s="72" t="s">
        <v>20</v>
      </c>
      <c r="N157" s="90">
        <v>76.833</v>
      </c>
      <c r="O157" s="74" t="s">
        <v>786</v>
      </c>
      <c r="P157" s="75">
        <v>0.5222222222222223</v>
      </c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45894.0</v>
      </c>
      <c r="I158" s="68"/>
      <c r="J158" s="69"/>
      <c r="K158" s="87"/>
      <c r="L158" s="71"/>
      <c r="M158" s="72" t="s">
        <v>36</v>
      </c>
      <c r="N158" s="90">
        <v>60.0</v>
      </c>
      <c r="O158" s="74" t="s">
        <v>761</v>
      </c>
      <c r="P158" s="75">
        <v>0.5493055555555556</v>
      </c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45894.0</v>
      </c>
      <c r="I159" s="68" t="s">
        <v>75</v>
      </c>
      <c r="J159" s="69">
        <v>16135.85</v>
      </c>
      <c r="K159" s="70" t="s">
        <v>155</v>
      </c>
      <c r="L159" s="88" t="s">
        <v>797</v>
      </c>
      <c r="M159" s="72" t="s">
        <v>339</v>
      </c>
      <c r="N159" s="90">
        <v>2347.0</v>
      </c>
      <c r="O159" s="74" t="s">
        <v>798</v>
      </c>
      <c r="P159" s="75">
        <v>0.7256944444444444</v>
      </c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45894.0</v>
      </c>
      <c r="I160" s="68" t="s">
        <v>496</v>
      </c>
      <c r="J160" s="69">
        <v>7670.0</v>
      </c>
      <c r="K160" s="70" t="s">
        <v>155</v>
      </c>
      <c r="L160" s="71">
        <v>0.7291666666666666</v>
      </c>
      <c r="M160" s="72" t="s">
        <v>484</v>
      </c>
      <c r="N160" s="90">
        <v>120.0</v>
      </c>
      <c r="O160" s="74" t="s">
        <v>787</v>
      </c>
      <c r="P160" s="75">
        <v>0.7375</v>
      </c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45894.0</v>
      </c>
      <c r="I161" s="68"/>
      <c r="J161" s="69"/>
      <c r="K161" s="93"/>
      <c r="L161" s="71"/>
      <c r="M161" s="72" t="s">
        <v>668</v>
      </c>
      <c r="N161" s="90">
        <v>480.0</v>
      </c>
      <c r="O161" s="74"/>
      <c r="P161" s="75">
        <v>0.7548611111111111</v>
      </c>
      <c r="Q161" s="41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45894.0</v>
      </c>
      <c r="I162" s="68"/>
      <c r="J162" s="69"/>
      <c r="K162" s="70"/>
      <c r="L162" s="71"/>
      <c r="M162" s="72" t="s">
        <v>456</v>
      </c>
      <c r="N162" s="90">
        <v>3150.0</v>
      </c>
      <c r="O162" s="74"/>
      <c r="P162" s="75">
        <v>0.96875</v>
      </c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45895.0</v>
      </c>
      <c r="I163" s="68"/>
      <c r="J163" s="69"/>
      <c r="K163" s="70"/>
      <c r="L163" s="71"/>
      <c r="M163" s="72" t="s">
        <v>20</v>
      </c>
      <c r="N163" s="90">
        <v>76.851</v>
      </c>
      <c r="O163" s="74" t="s">
        <v>786</v>
      </c>
      <c r="P163" s="75">
        <v>0.51875</v>
      </c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45895.0</v>
      </c>
      <c r="I164" s="68"/>
      <c r="J164" s="69"/>
      <c r="K164" s="87"/>
      <c r="L164" s="71"/>
      <c r="M164" s="72" t="s">
        <v>36</v>
      </c>
      <c r="N164" s="90">
        <v>218.0</v>
      </c>
      <c r="O164" s="74" t="s">
        <v>445</v>
      </c>
      <c r="P164" s="75">
        <v>0.5222222222222223</v>
      </c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45895.0</v>
      </c>
      <c r="I165" s="68"/>
      <c r="J165" s="69"/>
      <c r="K165" s="70"/>
      <c r="L165" s="71"/>
      <c r="M165" s="72" t="s">
        <v>669</v>
      </c>
      <c r="N165" s="90">
        <v>12060.0</v>
      </c>
      <c r="O165" s="74" t="s">
        <v>155</v>
      </c>
      <c r="P165" s="75">
        <v>0.6625</v>
      </c>
      <c r="R165" s="39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45895.0</v>
      </c>
      <c r="I166" s="68" t="s">
        <v>695</v>
      </c>
      <c r="J166" s="69">
        <v>30000.0</v>
      </c>
      <c r="K166" s="87"/>
      <c r="L166" s="71">
        <v>0.7125</v>
      </c>
      <c r="M166" s="72" t="s">
        <v>339</v>
      </c>
      <c r="N166" s="90">
        <v>677.0</v>
      </c>
      <c r="O166" s="74" t="s">
        <v>799</v>
      </c>
      <c r="P166" s="75">
        <v>0.7402777777777778</v>
      </c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45895.0</v>
      </c>
      <c r="I167" s="68" t="s">
        <v>464</v>
      </c>
      <c r="J167" s="69">
        <v>4500.0</v>
      </c>
      <c r="K167" s="70" t="s">
        <v>800</v>
      </c>
      <c r="L167" s="71">
        <v>0.8076388888888889</v>
      </c>
      <c r="M167" s="72" t="s">
        <v>456</v>
      </c>
      <c r="N167" s="90">
        <v>2030.0</v>
      </c>
      <c r="O167" s="74"/>
      <c r="P167" s="75">
        <v>0.9798611111111111</v>
      </c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45896.0</v>
      </c>
      <c r="I168" s="84"/>
      <c r="J168" s="17"/>
      <c r="K168" s="85"/>
      <c r="L168" s="86"/>
      <c r="M168" s="72" t="s">
        <v>47</v>
      </c>
      <c r="N168" s="90">
        <v>8520.25</v>
      </c>
      <c r="O168" s="74" t="s">
        <v>801</v>
      </c>
      <c r="P168" s="75">
        <v>0.50625</v>
      </c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45896.0</v>
      </c>
      <c r="I169" s="84"/>
      <c r="J169" s="17"/>
      <c r="K169" s="85"/>
      <c r="L169" s="86"/>
      <c r="M169" s="72" t="s">
        <v>496</v>
      </c>
      <c r="N169" s="90">
        <v>8775.0</v>
      </c>
      <c r="O169" s="74"/>
      <c r="P169" s="75">
        <v>0.6833333333333333</v>
      </c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45896.0</v>
      </c>
      <c r="I170" s="84"/>
      <c r="J170" s="17"/>
      <c r="K170" s="85"/>
      <c r="L170" s="86"/>
      <c r="M170" s="72" t="s">
        <v>20</v>
      </c>
      <c r="N170" s="90">
        <v>59.0</v>
      </c>
      <c r="O170" s="74" t="s">
        <v>802</v>
      </c>
      <c r="P170" s="75">
        <v>0.7104166666666667</v>
      </c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45896.0</v>
      </c>
      <c r="I171" s="68" t="s">
        <v>464</v>
      </c>
      <c r="J171" s="69">
        <v>4500.0</v>
      </c>
      <c r="K171" s="70" t="s">
        <v>803</v>
      </c>
      <c r="L171" s="71">
        <v>0.7180555555555556</v>
      </c>
      <c r="M171" s="72"/>
      <c r="N171" s="90"/>
      <c r="O171" s="74"/>
      <c r="P171" s="75"/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45896.0</v>
      </c>
      <c r="I172" s="68" t="s">
        <v>491</v>
      </c>
      <c r="J172" s="69">
        <v>1920.0</v>
      </c>
      <c r="K172" s="87"/>
      <c r="L172" s="71">
        <v>0.725</v>
      </c>
      <c r="M172" s="72" t="s">
        <v>480</v>
      </c>
      <c r="N172" s="90">
        <v>555.0</v>
      </c>
      <c r="O172" s="74" t="s">
        <v>767</v>
      </c>
      <c r="P172" s="94" t="s">
        <v>804</v>
      </c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45897.0</v>
      </c>
      <c r="I173" s="68"/>
      <c r="J173" s="69"/>
      <c r="K173" s="70"/>
      <c r="L173" s="71"/>
      <c r="M173" s="72" t="s">
        <v>39</v>
      </c>
      <c r="N173" s="90">
        <v>1347.42</v>
      </c>
      <c r="O173" s="74" t="s">
        <v>805</v>
      </c>
      <c r="P173" s="75">
        <v>0.5125</v>
      </c>
      <c r="R173" s="39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45897.0</v>
      </c>
      <c r="I174" s="68"/>
      <c r="J174" s="69"/>
      <c r="K174" s="70"/>
      <c r="L174" s="71"/>
      <c r="M174" s="72" t="s">
        <v>36</v>
      </c>
      <c r="N174" s="90">
        <v>60.0</v>
      </c>
      <c r="O174" s="74" t="s">
        <v>761</v>
      </c>
      <c r="P174" s="75">
        <v>0.5298611111111111</v>
      </c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45897.0</v>
      </c>
      <c r="I175" s="84"/>
      <c r="J175" s="69"/>
      <c r="K175" s="87"/>
      <c r="L175" s="71"/>
      <c r="M175" s="72" t="s">
        <v>20</v>
      </c>
      <c r="N175" s="90">
        <v>76.933</v>
      </c>
      <c r="O175" s="74" t="s">
        <v>786</v>
      </c>
      <c r="P175" s="75">
        <v>0.5770833333333333</v>
      </c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45897.0</v>
      </c>
      <c r="I176" s="68" t="s">
        <v>646</v>
      </c>
      <c r="J176" s="69">
        <v>3840.0</v>
      </c>
      <c r="K176" s="70" t="s">
        <v>806</v>
      </c>
      <c r="L176" s="71">
        <v>0.7506944444444444</v>
      </c>
      <c r="M176" s="72" t="s">
        <v>14</v>
      </c>
      <c r="N176" s="90">
        <v>10000.0</v>
      </c>
      <c r="O176" s="74" t="s">
        <v>120</v>
      </c>
      <c r="P176" s="75">
        <v>0.85625</v>
      </c>
      <c r="Q176" s="41"/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>
        <v>45898.0</v>
      </c>
      <c r="I177" s="68" t="s">
        <v>666</v>
      </c>
      <c r="J177" s="69">
        <v>1820.0</v>
      </c>
      <c r="K177" s="70" t="s">
        <v>155</v>
      </c>
      <c r="L177" s="71">
        <v>0.20833333333333334</v>
      </c>
      <c r="M177" s="72" t="s">
        <v>20</v>
      </c>
      <c r="N177" s="90">
        <v>1464.22</v>
      </c>
      <c r="O177" s="74" t="s">
        <v>807</v>
      </c>
      <c r="P177" s="75">
        <v>0.5625</v>
      </c>
      <c r="Q177" s="41"/>
      <c r="R177" s="39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>
        <v>45898.0</v>
      </c>
      <c r="I178" s="68"/>
      <c r="J178" s="69"/>
      <c r="K178" s="70"/>
      <c r="L178" s="71"/>
      <c r="M178" s="72" t="s">
        <v>20</v>
      </c>
      <c r="N178" s="90">
        <v>47.0</v>
      </c>
      <c r="O178" s="74" t="s">
        <v>808</v>
      </c>
      <c r="P178" s="75">
        <v>0.6305555555555555</v>
      </c>
      <c r="Q178" s="41"/>
      <c r="R178" s="39"/>
      <c r="S178" s="76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>
        <v>45898.0</v>
      </c>
      <c r="I179" s="68" t="s">
        <v>491</v>
      </c>
      <c r="J179" s="69">
        <v>720.0</v>
      </c>
      <c r="K179" s="87"/>
      <c r="L179" s="71">
        <v>0.64375</v>
      </c>
      <c r="M179" s="72"/>
      <c r="N179" s="90"/>
      <c r="O179" s="74"/>
      <c r="P179" s="75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>
        <v>45898.0</v>
      </c>
      <c r="I180" s="68" t="s">
        <v>50</v>
      </c>
      <c r="J180" s="69">
        <v>1080.0</v>
      </c>
      <c r="K180" s="85"/>
      <c r="L180" s="71">
        <v>0.6472222222222223</v>
      </c>
      <c r="M180" s="72"/>
      <c r="N180" s="90"/>
      <c r="O180" s="74"/>
      <c r="P180" s="75"/>
      <c r="R180" s="39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>
        <v>45898.0</v>
      </c>
      <c r="I181" s="68" t="s">
        <v>469</v>
      </c>
      <c r="J181" s="69">
        <v>18009.84</v>
      </c>
      <c r="K181" s="85"/>
      <c r="L181" s="71">
        <v>0.6680555555555555</v>
      </c>
      <c r="M181" s="72" t="s">
        <v>20</v>
      </c>
      <c r="N181" s="90">
        <v>73.0</v>
      </c>
      <c r="O181" s="74" t="s">
        <v>809</v>
      </c>
      <c r="P181" s="75">
        <v>0.7041666666666667</v>
      </c>
      <c r="Q181" s="125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>
        <v>45898.0</v>
      </c>
      <c r="I182" s="68" t="s">
        <v>469</v>
      </c>
      <c r="J182" s="69">
        <v>1972.8</v>
      </c>
      <c r="K182" s="85"/>
      <c r="L182" s="71">
        <v>0.7423611111111111</v>
      </c>
      <c r="M182" s="72" t="s">
        <v>20</v>
      </c>
      <c r="N182" s="90">
        <v>500.0</v>
      </c>
      <c r="O182" s="74" t="s">
        <v>810</v>
      </c>
      <c r="P182" s="75">
        <v>0.7493055555555556</v>
      </c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>
        <v>45898.0</v>
      </c>
      <c r="I183" s="68"/>
      <c r="J183" s="69"/>
      <c r="K183" s="87"/>
      <c r="L183" s="71"/>
      <c r="M183" s="72" t="s">
        <v>14</v>
      </c>
      <c r="N183" s="90">
        <v>118189.42</v>
      </c>
      <c r="O183" s="74" t="s">
        <v>811</v>
      </c>
      <c r="P183" s="75">
        <v>0.8340277777777778</v>
      </c>
      <c r="Q183" s="41"/>
      <c r="R183" s="39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>
        <v>45899.0</v>
      </c>
      <c r="I184" s="68" t="s">
        <v>476</v>
      </c>
      <c r="J184" s="69">
        <v>220.0</v>
      </c>
      <c r="K184" s="87"/>
      <c r="L184" s="88" t="s">
        <v>812</v>
      </c>
      <c r="M184" s="72"/>
      <c r="N184" s="90"/>
      <c r="O184" s="128"/>
      <c r="P184" s="75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>
        <v>45900.0</v>
      </c>
      <c r="I185" s="68"/>
      <c r="J185" s="69"/>
      <c r="K185" s="87"/>
      <c r="L185" s="71"/>
      <c r="M185" s="72" t="s">
        <v>452</v>
      </c>
      <c r="N185" s="90">
        <v>1203.33</v>
      </c>
      <c r="O185" s="128"/>
      <c r="P185" s="75">
        <v>0.8791666666666667</v>
      </c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>
        <v>45900.0</v>
      </c>
      <c r="I186" s="68"/>
      <c r="J186" s="69"/>
      <c r="K186" s="87"/>
      <c r="L186" s="71"/>
      <c r="M186" s="72" t="s">
        <v>36</v>
      </c>
      <c r="N186" s="90">
        <v>441.89</v>
      </c>
      <c r="O186" s="74" t="s">
        <v>813</v>
      </c>
      <c r="P186" s="75">
        <v>0.88125</v>
      </c>
      <c r="Q186" s="41"/>
      <c r="R186" s="39"/>
      <c r="S186" s="125" t="s">
        <v>136</v>
      </c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143"/>
      <c r="T187" s="143"/>
      <c r="U187" s="143"/>
      <c r="V187" s="143"/>
      <c r="W187" s="143"/>
      <c r="X187" s="144"/>
      <c r="Y187" s="145"/>
      <c r="Z187" s="145"/>
      <c r="AA187" s="145"/>
      <c r="AB187" s="145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2:AB32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0.38"/>
    <col customWidth="1" min="22" max="28" width="6.88"/>
  </cols>
  <sheetData>
    <row r="1" ht="48.75" customHeight="1">
      <c r="A1" s="9"/>
      <c r="B1" s="2"/>
      <c r="C1" s="3" t="s">
        <v>814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815</v>
      </c>
      <c r="D4" s="21"/>
      <c r="E4" s="20"/>
      <c r="F4" s="21"/>
      <c r="G4" s="23" t="s">
        <v>816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3174.84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176614.6747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817</v>
      </c>
      <c r="D7" s="54" t="s">
        <v>16</v>
      </c>
      <c r="E7" s="29"/>
      <c r="F7" s="30"/>
      <c r="G7" s="55">
        <v>1.0</v>
      </c>
      <c r="H7" s="56">
        <v>45839.0</v>
      </c>
      <c r="I7" s="57" t="s">
        <v>818</v>
      </c>
      <c r="J7" s="58">
        <f>'2025年6月收支财务报表'!C25</f>
        <v>138682.4676</v>
      </c>
      <c r="K7" s="59"/>
      <c r="L7" s="60"/>
      <c r="M7" s="61"/>
      <c r="N7" s="62"/>
      <c r="O7" s="63"/>
      <c r="P7" s="64"/>
      <c r="Q7" s="41"/>
      <c r="R7" s="39"/>
      <c r="S7" s="25">
        <f>SUMIF(M:M,"深圳芳林子",N:N)</f>
        <v>339022.42</v>
      </c>
      <c r="T7" s="101" t="s">
        <v>469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45839.0</v>
      </c>
      <c r="I8" s="68" t="s">
        <v>819</v>
      </c>
      <c r="J8" s="69">
        <v>4656.0</v>
      </c>
      <c r="K8" s="70"/>
      <c r="L8" s="71">
        <v>0.022222222222222223</v>
      </c>
      <c r="M8" s="80" t="s">
        <v>469</v>
      </c>
      <c r="N8" s="90">
        <v>16915.53</v>
      </c>
      <c r="O8" s="74" t="s">
        <v>820</v>
      </c>
      <c r="P8" s="75">
        <v>0.6048611111111111</v>
      </c>
      <c r="R8" s="39"/>
      <c r="S8" s="25">
        <f>SUMIF(M:M,"印度企业户 欧洲美金户",N:N)</f>
        <v>40671.09</v>
      </c>
      <c r="T8" s="101" t="s">
        <v>339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1512556.208</v>
      </c>
      <c r="D9" s="30"/>
      <c r="E9" s="29"/>
      <c r="F9" s="30"/>
      <c r="G9" s="66">
        <v>3.0</v>
      </c>
      <c r="H9" s="67">
        <v>45839.0</v>
      </c>
      <c r="I9" s="68" t="s">
        <v>821</v>
      </c>
      <c r="J9" s="69">
        <v>2185.6</v>
      </c>
      <c r="K9" s="70" t="s">
        <v>822</v>
      </c>
      <c r="L9" s="71">
        <v>0.6645833333333333</v>
      </c>
      <c r="M9" s="72"/>
      <c r="N9" s="90"/>
      <c r="O9" s="74"/>
      <c r="P9" s="75"/>
      <c r="Q9" s="41"/>
      <c r="R9" s="39"/>
      <c r="S9" s="25">
        <f>SUMIF(M:M,"Nancy-印度户15➕1",N:N)</f>
        <v>9511.52</v>
      </c>
      <c r="T9" s="101" t="s">
        <v>823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45839.0</v>
      </c>
      <c r="I10" s="68" t="s">
        <v>824</v>
      </c>
      <c r="J10" s="69">
        <v>50000.0</v>
      </c>
      <c r="K10" s="70"/>
      <c r="L10" s="71">
        <v>0.6652777777777777</v>
      </c>
      <c r="M10" s="80" t="s">
        <v>469</v>
      </c>
      <c r="N10" s="90">
        <v>1394.76</v>
      </c>
      <c r="O10" s="74" t="s">
        <v>825</v>
      </c>
      <c r="P10" s="75">
        <v>0.7458333333333333</v>
      </c>
      <c r="R10" s="39"/>
      <c r="S10" s="25">
        <f>SUMIF(M:M,"海总新渠道 10+1",N:N)</f>
        <v>175152.61</v>
      </c>
      <c r="T10" s="101" t="s">
        <v>700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1144021.937</v>
      </c>
      <c r="D11" s="30"/>
      <c r="E11" s="29"/>
      <c r="F11" s="30"/>
      <c r="G11" s="66">
        <v>5.0</v>
      </c>
      <c r="H11" s="67">
        <v>45839.0</v>
      </c>
      <c r="I11" s="84"/>
      <c r="J11" s="17"/>
      <c r="K11" s="85"/>
      <c r="L11" s="86"/>
      <c r="M11" s="72" t="s">
        <v>339</v>
      </c>
      <c r="N11" s="90">
        <v>594.18</v>
      </c>
      <c r="O11" s="74" t="s">
        <v>826</v>
      </c>
      <c r="P11" s="75">
        <v>0.7548611111111111</v>
      </c>
      <c r="R11" s="39"/>
      <c r="S11" s="25">
        <f>SUMIF(M:M,"启航广告费",N:N)</f>
        <v>18417.42</v>
      </c>
      <c r="T11" s="101" t="s">
        <v>827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45839.0</v>
      </c>
      <c r="I12" s="68" t="s">
        <v>828</v>
      </c>
      <c r="J12" s="69">
        <v>28000.0</v>
      </c>
      <c r="K12" s="87"/>
      <c r="L12" s="71">
        <v>0.8701388888888889</v>
      </c>
      <c r="M12" s="72"/>
      <c r="N12" s="90"/>
      <c r="O12" s="74"/>
      <c r="P12" s="75"/>
      <c r="Q12" s="41"/>
      <c r="R12" s="39"/>
      <c r="S12" s="25">
        <f>SUMIF(M:M,"十月二不限——（泰华）",N:N)</f>
        <v>3034</v>
      </c>
      <c r="T12" s="101" t="s">
        <v>69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368534.2709</v>
      </c>
      <c r="D13" s="30"/>
      <c r="E13" s="29"/>
      <c r="F13" s="30"/>
      <c r="G13" s="66">
        <v>7.0</v>
      </c>
      <c r="H13" s="67">
        <v>45839.0</v>
      </c>
      <c r="I13" s="68" t="s">
        <v>819</v>
      </c>
      <c r="J13" s="69">
        <v>6240.0</v>
      </c>
      <c r="K13" s="70"/>
      <c r="L13" s="71">
        <v>0.9916666666666667</v>
      </c>
      <c r="M13" s="72"/>
      <c r="N13" s="90"/>
      <c r="O13" s="74"/>
      <c r="P13" s="75"/>
      <c r="R13" s="39"/>
      <c r="S13" s="25">
        <f>SUMIF(M:M,"凤凰渠道-泰华",N:N)</f>
        <v>168932.692</v>
      </c>
      <c r="T13" s="101" t="s">
        <v>75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45840.0</v>
      </c>
      <c r="I14" s="84"/>
      <c r="J14" s="17"/>
      <c r="K14" s="85"/>
      <c r="L14" s="86"/>
      <c r="M14" s="80" t="s">
        <v>469</v>
      </c>
      <c r="N14" s="90">
        <v>2789.52</v>
      </c>
      <c r="O14" s="74" t="s">
        <v>829</v>
      </c>
      <c r="P14" s="75">
        <v>0.49722222222222223</v>
      </c>
      <c r="R14" s="39"/>
      <c r="S14" s="25">
        <f>SUMIF(M:M,"济宁韦宁&amp;香港有意思 二不限 3%",N:N)</f>
        <v>28902.08</v>
      </c>
      <c r="T14" s="101" t="s">
        <v>702</v>
      </c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45840.0</v>
      </c>
      <c r="I15" s="68" t="s">
        <v>830</v>
      </c>
      <c r="J15" s="69">
        <v>50000.0</v>
      </c>
      <c r="K15" s="87"/>
      <c r="L15" s="71">
        <v>0.5694444444444444</v>
      </c>
      <c r="M15" s="72" t="s">
        <v>339</v>
      </c>
      <c r="N15" s="90">
        <v>1740.0</v>
      </c>
      <c r="O15" s="74" t="s">
        <v>831</v>
      </c>
      <c r="P15" s="75">
        <v>0.5784722222222223</v>
      </c>
      <c r="Q15" s="41"/>
      <c r="R15" s="39"/>
      <c r="S15" s="25">
        <f>SUMIF(M:M,"海总/户合作mom",N:N)</f>
        <v>5750</v>
      </c>
      <c r="T15" s="101" t="s">
        <v>832</v>
      </c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45840.0</v>
      </c>
      <c r="I16" s="68"/>
      <c r="J16" s="69"/>
      <c r="K16" s="70"/>
      <c r="L16" s="71"/>
      <c r="M16" s="80" t="s">
        <v>469</v>
      </c>
      <c r="N16" s="90">
        <v>47672.0</v>
      </c>
      <c r="O16" s="74" t="s">
        <v>833</v>
      </c>
      <c r="P16" s="75">
        <v>0.5805555555555556</v>
      </c>
      <c r="Q16" s="41"/>
      <c r="R16" s="39"/>
      <c r="S16" s="25">
        <f>SUMIF(M:M,"路人互动-海总（50-7）山",N:N)</f>
        <v>5600</v>
      </c>
      <c r="T16" s="101" t="s">
        <v>706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45840.0</v>
      </c>
      <c r="I17" s="68"/>
      <c r="J17" s="69"/>
      <c r="K17" s="92"/>
      <c r="L17" s="88"/>
      <c r="M17" s="72" t="s">
        <v>823</v>
      </c>
      <c r="N17" s="90">
        <v>9511.52</v>
      </c>
      <c r="O17" s="74" t="s">
        <v>834</v>
      </c>
      <c r="P17" s="75">
        <v>0.5840277777777778</v>
      </c>
      <c r="Q17" s="41"/>
      <c r="R17" s="39"/>
      <c r="S17" s="25">
        <f>SUMIF(M:M,"印度户印尼企业户",N:N)</f>
        <v>62567.59</v>
      </c>
      <c r="T17" s="101" t="s">
        <v>47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45840.0</v>
      </c>
      <c r="I18" s="68"/>
      <c r="J18" s="69"/>
      <c r="K18" s="70"/>
      <c r="L18" s="71"/>
      <c r="M18" s="72" t="s">
        <v>14</v>
      </c>
      <c r="N18" s="90">
        <v>62407.1115</v>
      </c>
      <c r="O18" s="74" t="s">
        <v>835</v>
      </c>
      <c r="P18" s="75">
        <v>0.5861111111111111</v>
      </c>
      <c r="Q18" s="41"/>
      <c r="R18" s="39"/>
      <c r="S18" s="25">
        <f>SUMIF(M:M,"Y-5208 FB欧/美户",N:N)</f>
        <v>1645</v>
      </c>
      <c r="T18" s="101" t="s">
        <v>30</v>
      </c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45840.0</v>
      </c>
      <c r="I19" s="68" t="s">
        <v>836</v>
      </c>
      <c r="J19" s="69">
        <v>480.0</v>
      </c>
      <c r="K19" s="70" t="s">
        <v>837</v>
      </c>
      <c r="L19" s="88" t="s">
        <v>838</v>
      </c>
      <c r="M19" s="72" t="s">
        <v>339</v>
      </c>
      <c r="N19" s="90">
        <v>3480.0</v>
      </c>
      <c r="O19" s="74" t="s">
        <v>839</v>
      </c>
      <c r="P19" s="75">
        <v>0.7791666666666667</v>
      </c>
      <c r="Q19" s="41"/>
      <c r="R19" s="39"/>
      <c r="S19" s="25">
        <f>SUMIF(M:M,"阿水 印度mom 11+1",N:N)</f>
        <v>5600</v>
      </c>
      <c r="T19" s="101" t="s">
        <v>672</v>
      </c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45840.0</v>
      </c>
      <c r="I20" s="68" t="s">
        <v>828</v>
      </c>
      <c r="J20" s="69">
        <v>28000.0</v>
      </c>
      <c r="K20" s="70"/>
      <c r="L20" s="71">
        <v>0.8951388888888889</v>
      </c>
      <c r="M20" s="72"/>
      <c r="N20" s="90"/>
      <c r="O20" s="74"/>
      <c r="P20" s="75"/>
      <c r="Q20" s="41"/>
      <c r="R20" s="39"/>
      <c r="S20" s="25">
        <f>SUMIF(M:M,"波贝5期",N:N)</f>
        <v>6116</v>
      </c>
      <c r="T20" s="101" t="s">
        <v>840</v>
      </c>
      <c r="U20" s="76"/>
      <c r="V20" s="40"/>
      <c r="W20" s="76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1512556.208</v>
      </c>
      <c r="D21" s="30"/>
      <c r="E21" s="29"/>
      <c r="F21" s="30"/>
      <c r="G21" s="66">
        <v>15.0</v>
      </c>
      <c r="H21" s="67">
        <v>45841.0</v>
      </c>
      <c r="I21" s="68"/>
      <c r="J21" s="69"/>
      <c r="K21" s="70"/>
      <c r="L21" s="71"/>
      <c r="M21" s="80" t="s">
        <v>469</v>
      </c>
      <c r="N21" s="90">
        <v>35422.58</v>
      </c>
      <c r="O21" s="74" t="s">
        <v>841</v>
      </c>
      <c r="P21" s="75">
        <v>0.5798611111111112</v>
      </c>
      <c r="Q21" s="41"/>
      <c r="R21" s="39"/>
      <c r="S21" s="25">
        <f>SUMIF(M:M,"波贝4期",N:N)</f>
        <v>9328</v>
      </c>
      <c r="T21" s="101" t="s">
        <v>842</v>
      </c>
      <c r="U21" s="76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45841.0</v>
      </c>
      <c r="I22" s="68" t="s">
        <v>819</v>
      </c>
      <c r="J22" s="69">
        <v>1560.0</v>
      </c>
      <c r="K22" s="93"/>
      <c r="L22" s="71">
        <v>0.6145833333333334</v>
      </c>
      <c r="M22" s="72"/>
      <c r="N22" s="90"/>
      <c r="O22" s="74"/>
      <c r="P22" s="75"/>
      <c r="Q22" s="41"/>
      <c r="R22" s="39"/>
      <c r="S22" s="25">
        <f>SUMIF(M:M,"预支",N:N)</f>
        <v>50000</v>
      </c>
      <c r="T22" s="101" t="s">
        <v>843</v>
      </c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1144021.937</v>
      </c>
      <c r="D23" s="30"/>
      <c r="E23" s="29"/>
      <c r="F23" s="30"/>
      <c r="G23" s="66">
        <v>17.0</v>
      </c>
      <c r="H23" s="67">
        <v>45841.0</v>
      </c>
      <c r="I23" s="68" t="s">
        <v>824</v>
      </c>
      <c r="J23" s="69">
        <v>50000.0</v>
      </c>
      <c r="K23" s="70"/>
      <c r="L23" s="71">
        <v>0.6354166666666666</v>
      </c>
      <c r="M23" s="72" t="s">
        <v>339</v>
      </c>
      <c r="N23" s="90">
        <v>11141.72</v>
      </c>
      <c r="O23" s="74" t="s">
        <v>844</v>
      </c>
      <c r="P23" s="75">
        <v>0.6375</v>
      </c>
      <c r="R23" s="39"/>
      <c r="S23" s="25">
        <f>SUMIF(M:M,"印度20期",N:N)</f>
        <v>15540</v>
      </c>
      <c r="T23" s="101" t="s">
        <v>298</v>
      </c>
      <c r="U23" s="76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45841.0</v>
      </c>
      <c r="I24" s="68"/>
      <c r="J24" s="69"/>
      <c r="K24" s="85"/>
      <c r="L24" s="86"/>
      <c r="M24" s="80" t="s">
        <v>469</v>
      </c>
      <c r="N24" s="90">
        <v>11918.0</v>
      </c>
      <c r="O24" s="74" t="s">
        <v>845</v>
      </c>
      <c r="P24" s="75">
        <v>0.6451388888888889</v>
      </c>
      <c r="R24" s="39"/>
      <c r="S24" s="25">
        <f>SUMIF(M:M,"渠道BF 德国B",N:N)</f>
        <v>4290</v>
      </c>
      <c r="T24" s="101" t="s">
        <v>846</v>
      </c>
      <c r="U24" s="76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368534.2709</v>
      </c>
      <c r="D25" s="30"/>
      <c r="E25" s="29"/>
      <c r="F25" s="30"/>
      <c r="G25" s="66">
        <v>19.0</v>
      </c>
      <c r="H25" s="67">
        <v>45841.0</v>
      </c>
      <c r="I25" s="68" t="s">
        <v>821</v>
      </c>
      <c r="J25" s="69">
        <v>2025.6</v>
      </c>
      <c r="K25" s="70" t="s">
        <v>847</v>
      </c>
      <c r="L25" s="71">
        <v>0.6486111111111111</v>
      </c>
      <c r="M25" s="72"/>
      <c r="N25" s="19"/>
      <c r="O25" s="74"/>
      <c r="P25" s="75"/>
      <c r="Q25" s="41"/>
      <c r="R25" s="39"/>
      <c r="S25" s="25">
        <f>SUMIF(M:M,"波贝3期",N:N)</f>
        <v>14152</v>
      </c>
      <c r="T25" s="101" t="s">
        <v>830</v>
      </c>
      <c r="U25" s="76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45841.0</v>
      </c>
      <c r="I26" s="68" t="s">
        <v>828</v>
      </c>
      <c r="J26" s="69">
        <v>42000.0</v>
      </c>
      <c r="K26" s="70"/>
      <c r="L26" s="71">
        <v>0.8895833333333333</v>
      </c>
      <c r="M26" s="72"/>
      <c r="N26" s="19"/>
      <c r="O26" s="74"/>
      <c r="P26" s="75"/>
      <c r="R26" s="39"/>
      <c r="S26" s="103">
        <f>SUM(S4:S25)</f>
        <v>1144021.937</v>
      </c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45842.0</v>
      </c>
      <c r="I27" s="68" t="s">
        <v>819</v>
      </c>
      <c r="J27" s="69">
        <v>4800.0</v>
      </c>
      <c r="K27" s="70"/>
      <c r="L27" s="71">
        <v>0.006944444444444444</v>
      </c>
      <c r="M27" s="72" t="s">
        <v>339</v>
      </c>
      <c r="N27" s="90">
        <v>8050.0</v>
      </c>
      <c r="O27" s="74" t="s">
        <v>848</v>
      </c>
      <c r="P27" s="75">
        <v>0.5756944444444444</v>
      </c>
      <c r="Q27" s="41"/>
      <c r="R27" s="39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45842.0</v>
      </c>
      <c r="I28" s="68"/>
      <c r="J28" s="69"/>
      <c r="K28" s="70"/>
      <c r="L28" s="71"/>
      <c r="M28" s="80" t="s">
        <v>469</v>
      </c>
      <c r="N28" s="90">
        <v>7251.8</v>
      </c>
      <c r="O28" s="74" t="s">
        <v>849</v>
      </c>
      <c r="P28" s="75">
        <v>0.5861111111111111</v>
      </c>
      <c r="Q28" s="41"/>
      <c r="R28" s="39"/>
      <c r="S28" s="106" t="s">
        <v>97</v>
      </c>
      <c r="T28" s="107"/>
      <c r="U28" s="107"/>
      <c r="V28" s="107"/>
      <c r="W28" s="107"/>
      <c r="X28" s="107"/>
      <c r="Y28" s="107"/>
      <c r="Z28" s="107"/>
      <c r="AA28" s="107"/>
      <c r="AB28" s="108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45842.0</v>
      </c>
      <c r="I29" s="68"/>
      <c r="J29" s="69"/>
      <c r="K29" s="85"/>
      <c r="L29" s="86"/>
      <c r="M29" s="72" t="s">
        <v>339</v>
      </c>
      <c r="N29" s="90">
        <v>1150.0</v>
      </c>
      <c r="O29" s="74" t="s">
        <v>850</v>
      </c>
      <c r="P29" s="75">
        <v>0.6319444444444444</v>
      </c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45842.0</v>
      </c>
      <c r="I30" s="68"/>
      <c r="J30" s="69"/>
      <c r="K30" s="85"/>
      <c r="L30" s="86"/>
      <c r="M30" s="72" t="s">
        <v>700</v>
      </c>
      <c r="N30" s="90">
        <v>2260.0</v>
      </c>
      <c r="O30" s="74" t="s">
        <v>851</v>
      </c>
      <c r="P30" s="75">
        <v>0.6680555555555555</v>
      </c>
      <c r="R30" s="39"/>
      <c r="S30" s="109">
        <f>SUMIF(I:I,"拉总（印度）24",J:J)</f>
        <v>41040</v>
      </c>
      <c r="T30" s="26" t="s">
        <v>819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45842.0</v>
      </c>
      <c r="I31" s="68" t="s">
        <v>823</v>
      </c>
      <c r="J31" s="69">
        <v>11323.12</v>
      </c>
      <c r="K31" s="70"/>
      <c r="L31" s="71">
        <v>0.68125</v>
      </c>
      <c r="M31" s="72" t="s">
        <v>827</v>
      </c>
      <c r="N31" s="90">
        <v>2087.72</v>
      </c>
      <c r="O31" s="74" t="s">
        <v>852</v>
      </c>
      <c r="P31" s="75">
        <v>0.7375</v>
      </c>
      <c r="R31" s="39"/>
      <c r="S31" s="109">
        <f>SUMIF(I:I,"德国股票粉（2）组【张小强】",J:J)</f>
        <v>4371.2</v>
      </c>
      <c r="T31" s="26" t="s">
        <v>821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45842.0</v>
      </c>
      <c r="I32" s="84"/>
      <c r="J32" s="17"/>
      <c r="K32" s="85"/>
      <c r="L32" s="86"/>
      <c r="M32" s="72" t="s">
        <v>700</v>
      </c>
      <c r="N32" s="90">
        <v>1130.0</v>
      </c>
      <c r="O32" s="74" t="s">
        <v>853</v>
      </c>
      <c r="P32" s="75">
        <v>0.7840277777777778</v>
      </c>
      <c r="R32" s="39"/>
      <c r="S32" s="109">
        <f>SUMIF(I:I,"德国股票粉（3）组【张小强】",J:J)</f>
        <v>68904</v>
      </c>
      <c r="T32" s="26" t="s">
        <v>854</v>
      </c>
      <c r="U32" s="76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45842.0</v>
      </c>
      <c r="I33" s="68" t="s">
        <v>830</v>
      </c>
      <c r="J33" s="69">
        <v>50000.0</v>
      </c>
      <c r="K33" s="70"/>
      <c r="L33" s="71">
        <v>0.8201388888888889</v>
      </c>
      <c r="M33" s="72"/>
      <c r="N33" s="19"/>
      <c r="O33" s="74"/>
      <c r="P33" s="75"/>
      <c r="R33" s="39"/>
      <c r="S33" s="109">
        <f>SUMIF(I:I,"印度12期",J:J)</f>
        <v>100000</v>
      </c>
      <c r="T33" s="26" t="s">
        <v>824</v>
      </c>
      <c r="U33" s="76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45842.0</v>
      </c>
      <c r="I34" s="68" t="s">
        <v>828</v>
      </c>
      <c r="J34" s="69">
        <v>12488.0</v>
      </c>
      <c r="K34" s="87"/>
      <c r="L34" s="71">
        <v>0.9534722222222223</v>
      </c>
      <c r="M34" s="72"/>
      <c r="N34" s="19"/>
      <c r="O34" s="74"/>
      <c r="P34" s="75"/>
      <c r="Q34" s="41"/>
      <c r="R34" s="39"/>
      <c r="S34" s="109">
        <f>SUMIF(I:I,"印度13期",J:J)</f>
        <v>50000</v>
      </c>
      <c r="T34" s="26" t="s">
        <v>855</v>
      </c>
      <c r="U34" s="76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45842.0</v>
      </c>
      <c r="I35" s="68" t="s">
        <v>819</v>
      </c>
      <c r="J35" s="69">
        <v>8184.0</v>
      </c>
      <c r="K35" s="85"/>
      <c r="L35" s="71">
        <v>0.9854166666666667</v>
      </c>
      <c r="M35" s="72"/>
      <c r="N35" s="19"/>
      <c r="O35" s="74"/>
      <c r="P35" s="75"/>
      <c r="R35" s="39"/>
      <c r="S35" s="109">
        <f>SUMIF(I:I,"印度14期",J:J)</f>
        <v>50000</v>
      </c>
      <c r="T35" s="26" t="s">
        <v>856</v>
      </c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45843.0</v>
      </c>
      <c r="I36" s="84"/>
      <c r="J36" s="17"/>
      <c r="K36" s="85"/>
      <c r="L36" s="86"/>
      <c r="M36" s="72" t="s">
        <v>14</v>
      </c>
      <c r="N36" s="136">
        <v>8147.005492957746</v>
      </c>
      <c r="O36" s="74" t="s">
        <v>117</v>
      </c>
      <c r="P36" s="75">
        <v>0.6270833333333333</v>
      </c>
      <c r="Q36" s="41"/>
      <c r="R36" s="39"/>
      <c r="S36" s="109">
        <f>SUMIF(I:I,"印度15期",J:J)</f>
        <v>129228</v>
      </c>
      <c r="T36" s="26" t="s">
        <v>673</v>
      </c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45843.0</v>
      </c>
      <c r="I37" s="68"/>
      <c r="J37" s="69"/>
      <c r="K37" s="85"/>
      <c r="L37" s="86"/>
      <c r="M37" s="72" t="s">
        <v>14</v>
      </c>
      <c r="N37" s="136">
        <v>7389.327183098591</v>
      </c>
      <c r="O37" s="74" t="s">
        <v>117</v>
      </c>
      <c r="P37" s="75">
        <v>0.6284722222222222</v>
      </c>
      <c r="Q37" s="41"/>
      <c r="R37" s="39"/>
      <c r="S37" s="109">
        <f>SUMIF(I:I,"印度汤总",J:J)</f>
        <v>110488</v>
      </c>
      <c r="T37" s="26" t="s">
        <v>828</v>
      </c>
      <c r="U37" s="76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45843.0</v>
      </c>
      <c r="I38" s="68"/>
      <c r="J38" s="69"/>
      <c r="K38" s="85"/>
      <c r="L38" s="86"/>
      <c r="M38" s="72" t="s">
        <v>14</v>
      </c>
      <c r="N38" s="136">
        <v>6170.572816901409</v>
      </c>
      <c r="O38" s="74" t="s">
        <v>117</v>
      </c>
      <c r="P38" s="75">
        <v>0.6298611111111111</v>
      </c>
      <c r="Q38" s="41"/>
      <c r="R38" s="39"/>
      <c r="S38" s="109">
        <f>SUMIF(I:I,"波贝3期",J:J)</f>
        <v>100000</v>
      </c>
      <c r="T38" s="26" t="s">
        <v>830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45843.0</v>
      </c>
      <c r="I39" s="68"/>
      <c r="J39" s="69"/>
      <c r="K39" s="70"/>
      <c r="L39" s="71"/>
      <c r="M39" s="72" t="s">
        <v>14</v>
      </c>
      <c r="N39" s="136">
        <v>675.3802816901409</v>
      </c>
      <c r="O39" s="74" t="s">
        <v>117</v>
      </c>
      <c r="P39" s="75">
        <v>0.63125</v>
      </c>
      <c r="Q39" s="41"/>
      <c r="R39" s="39"/>
      <c r="S39" s="109">
        <f>SUMIF(I:I,"波贝4期",J:J)</f>
        <v>150000</v>
      </c>
      <c r="T39" s="26" t="s">
        <v>842</v>
      </c>
      <c r="U39" s="76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45843.0</v>
      </c>
      <c r="I40" s="68"/>
      <c r="J40" s="69"/>
      <c r="K40" s="70"/>
      <c r="L40" s="88"/>
      <c r="M40" s="72" t="s">
        <v>14</v>
      </c>
      <c r="N40" s="136">
        <v>2657.577464788733</v>
      </c>
      <c r="O40" s="74" t="s">
        <v>117</v>
      </c>
      <c r="P40" s="75">
        <v>0.6326388888888889</v>
      </c>
      <c r="Q40" s="41"/>
      <c r="R40" s="39"/>
      <c r="S40" s="109">
        <f>SUMIF(I:I,"德国蟑螂哥渠道",J:J)</f>
        <v>18400</v>
      </c>
      <c r="T40" s="26" t="s">
        <v>836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45843.0</v>
      </c>
      <c r="I41" s="68"/>
      <c r="J41" s="69"/>
      <c r="K41" s="70"/>
      <c r="L41" s="88"/>
      <c r="M41" s="72" t="s">
        <v>14</v>
      </c>
      <c r="N41" s="136">
        <v>816.9014084507043</v>
      </c>
      <c r="O41" s="74" t="s">
        <v>117</v>
      </c>
      <c r="P41" s="75">
        <v>0.6333333333333333</v>
      </c>
      <c r="Q41" s="41"/>
      <c r="R41" s="39"/>
      <c r="S41" s="109">
        <f>SUMIF(I:I,"印度20期",J:J)</f>
        <v>100800</v>
      </c>
      <c r="T41" s="26" t="s">
        <v>298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45843.0</v>
      </c>
      <c r="I42" s="68"/>
      <c r="J42" s="69"/>
      <c r="K42" s="70"/>
      <c r="L42" s="71"/>
      <c r="M42" s="72" t="s">
        <v>14</v>
      </c>
      <c r="N42" s="136">
        <v>4684.617464788733</v>
      </c>
      <c r="O42" s="74" t="s">
        <v>117</v>
      </c>
      <c r="P42" s="75">
        <v>0.6347222222222222</v>
      </c>
      <c r="Q42" s="41"/>
      <c r="R42" s="39"/>
      <c r="S42" s="109">
        <f>SUMIF(I:I,"印度21期",J:J)</f>
        <v>50000</v>
      </c>
      <c r="T42" s="26" t="s">
        <v>857</v>
      </c>
      <c r="U42" s="76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45843.0</v>
      </c>
      <c r="I43" s="68"/>
      <c r="J43" s="69"/>
      <c r="K43" s="87"/>
      <c r="L43" s="71"/>
      <c r="M43" s="72" t="s">
        <v>14</v>
      </c>
      <c r="N43" s="136">
        <v>870.350281690141</v>
      </c>
      <c r="O43" s="74" t="s">
        <v>117</v>
      </c>
      <c r="P43" s="75">
        <v>0.6354166666666666</v>
      </c>
      <c r="Q43" s="41"/>
      <c r="R43" s="39"/>
      <c r="S43" s="109">
        <f>SUMIF(I:I,"海总-西班牙测试",J:J)</f>
        <v>320</v>
      </c>
      <c r="T43" s="26" t="s">
        <v>858</v>
      </c>
      <c r="U43" s="76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45843.0</v>
      </c>
      <c r="I44" s="68"/>
      <c r="J44" s="69"/>
      <c r="K44" s="85"/>
      <c r="L44" s="71"/>
      <c r="M44" s="72" t="s">
        <v>14</v>
      </c>
      <c r="N44" s="136">
        <v>902.4920676056339</v>
      </c>
      <c r="O44" s="74" t="s">
        <v>117</v>
      </c>
      <c r="P44" s="75">
        <v>0.6368055555555555</v>
      </c>
      <c r="Q44" s="41"/>
      <c r="R44" s="39"/>
      <c r="S44" s="109">
        <f>SUMIF(I:I,"印度22期",J:J)</f>
        <v>51248</v>
      </c>
      <c r="T44" s="26" t="s">
        <v>859</v>
      </c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45843.0</v>
      </c>
      <c r="I45" s="68"/>
      <c r="J45" s="69"/>
      <c r="K45" s="85"/>
      <c r="L45" s="71"/>
      <c r="M45" s="72" t="s">
        <v>14</v>
      </c>
      <c r="N45" s="136">
        <v>563.3802816901409</v>
      </c>
      <c r="O45" s="74" t="s">
        <v>117</v>
      </c>
      <c r="P45" s="75">
        <v>0.6375</v>
      </c>
      <c r="Q45" s="41"/>
      <c r="R45" s="39"/>
      <c r="S45" s="109">
        <f>SUMIF(I:I,"印度24期",J:J)</f>
        <v>100000</v>
      </c>
      <c r="T45" s="26" t="s">
        <v>860</v>
      </c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45843.0</v>
      </c>
      <c r="I46" s="84"/>
      <c r="J46" s="17"/>
      <c r="K46" s="85"/>
      <c r="L46" s="86"/>
      <c r="M46" s="72" t="s">
        <v>14</v>
      </c>
      <c r="N46" s="19">
        <v>27.3</v>
      </c>
      <c r="O46" s="74" t="s">
        <v>117</v>
      </c>
      <c r="P46" s="75">
        <v>0.6395833333333333</v>
      </c>
      <c r="Q46" s="41"/>
      <c r="R46" s="39"/>
      <c r="S46" s="109">
        <f>SUMIF(I:I,"德国（海哥）",J:J)</f>
        <v>7080</v>
      </c>
      <c r="T46" s="26" t="s">
        <v>861</v>
      </c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45843.0</v>
      </c>
      <c r="I47" s="68"/>
      <c r="J47" s="69"/>
      <c r="K47" s="70"/>
      <c r="L47" s="71"/>
      <c r="M47" s="72" t="s">
        <v>14</v>
      </c>
      <c r="N47" s="19">
        <v>5000.0</v>
      </c>
      <c r="O47" s="74" t="s">
        <v>117</v>
      </c>
      <c r="P47" s="75">
        <v>0.6402777777777777</v>
      </c>
      <c r="Q47" s="41"/>
      <c r="R47" s="39"/>
      <c r="S47" s="109">
        <f>SUMIF(I:I,"印度25期",J:J)</f>
        <v>80000</v>
      </c>
      <c r="T47" s="26" t="s">
        <v>681</v>
      </c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45843.0</v>
      </c>
      <c r="I48" s="68"/>
      <c r="J48" s="69"/>
      <c r="K48" s="70"/>
      <c r="L48" s="71"/>
      <c r="M48" s="72" t="s">
        <v>14</v>
      </c>
      <c r="N48" s="90">
        <v>13868.247</v>
      </c>
      <c r="O48" s="74" t="s">
        <v>862</v>
      </c>
      <c r="P48" s="75">
        <v>0.6465277777777778</v>
      </c>
      <c r="Q48" s="41"/>
      <c r="R48" s="39"/>
      <c r="S48" s="109">
        <f>SUMIF(I:I,"德国股票粉（1）组【张小强】",J:J)</f>
        <v>9600</v>
      </c>
      <c r="T48" s="26" t="s">
        <v>646</v>
      </c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45843.0</v>
      </c>
      <c r="I49" s="68"/>
      <c r="J49" s="69"/>
      <c r="K49" s="85"/>
      <c r="L49" s="71"/>
      <c r="M49" s="72" t="s">
        <v>827</v>
      </c>
      <c r="N49" s="90">
        <v>2377.77</v>
      </c>
      <c r="O49" s="74" t="s">
        <v>863</v>
      </c>
      <c r="P49" s="75">
        <v>0.8861111111111111</v>
      </c>
      <c r="Q49" s="41"/>
      <c r="R49" s="39"/>
      <c r="S49" s="109">
        <f>SUMIF(I:I,"B1印度",J:J)</f>
        <v>50000</v>
      </c>
      <c r="T49" s="26" t="s">
        <v>670</v>
      </c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45844.0</v>
      </c>
      <c r="I50" s="68"/>
      <c r="J50" s="69"/>
      <c r="K50" s="85"/>
      <c r="L50" s="71"/>
      <c r="M50" s="72" t="s">
        <v>14</v>
      </c>
      <c r="N50" s="19">
        <v>27.3</v>
      </c>
      <c r="O50" s="74" t="s">
        <v>117</v>
      </c>
      <c r="P50" s="75">
        <v>0.5027777777777778</v>
      </c>
      <c r="Q50" s="41"/>
      <c r="R50" s="39"/>
      <c r="S50" s="109">
        <f>SUMIF(I:I,"意大利3期",J:J)</f>
        <v>80000</v>
      </c>
      <c r="T50" s="101" t="s">
        <v>485</v>
      </c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45844.0</v>
      </c>
      <c r="I51" s="68" t="s">
        <v>702</v>
      </c>
      <c r="J51" s="69">
        <v>209.79</v>
      </c>
      <c r="K51" s="87"/>
      <c r="L51" s="71">
        <v>0.6930555555555555</v>
      </c>
      <c r="M51" s="72"/>
      <c r="N51" s="90"/>
      <c r="O51" s="74"/>
      <c r="P51" s="75"/>
      <c r="Q51" s="41"/>
      <c r="R51" s="39"/>
      <c r="S51" s="109">
        <f>SUMIF(I:I,"老傅渠道",J:J)</f>
        <v>140</v>
      </c>
      <c r="T51" s="101" t="s">
        <v>864</v>
      </c>
      <c r="U51" s="76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45844.0</v>
      </c>
      <c r="I52" s="68" t="s">
        <v>854</v>
      </c>
      <c r="J52" s="69">
        <v>1280.0</v>
      </c>
      <c r="K52" s="87"/>
      <c r="L52" s="71">
        <v>0.70625</v>
      </c>
      <c r="M52" s="72"/>
      <c r="N52" s="90"/>
      <c r="O52" s="74"/>
      <c r="P52" s="75"/>
      <c r="Q52" s="41"/>
      <c r="R52" s="39"/>
      <c r="S52" s="109">
        <f>SUMIF(I:I,"开户美国三不限户",J:J)</f>
        <v>694.36</v>
      </c>
      <c r="T52" s="26" t="s">
        <v>865</v>
      </c>
      <c r="U52" s="76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45844.0</v>
      </c>
      <c r="I53" s="68" t="s">
        <v>821</v>
      </c>
      <c r="J53" s="69">
        <v>160.0</v>
      </c>
      <c r="K53" s="70"/>
      <c r="L53" s="71">
        <v>0.7083333333333334</v>
      </c>
      <c r="M53" s="72"/>
      <c r="N53" s="90"/>
      <c r="O53" s="74"/>
      <c r="P53" s="75"/>
      <c r="Q53" s="41"/>
      <c r="R53" s="39"/>
      <c r="S53" s="109">
        <f>SUMIF(I:I,"海总/户合作mom",J:J)</f>
        <v>5156</v>
      </c>
      <c r="T53" s="101" t="s">
        <v>832</v>
      </c>
      <c r="U53" s="76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45844.0</v>
      </c>
      <c r="I54" s="68"/>
      <c r="J54" s="69"/>
      <c r="K54" s="70"/>
      <c r="L54" s="71"/>
      <c r="M54" s="72" t="s">
        <v>830</v>
      </c>
      <c r="N54" s="90">
        <v>14152.0</v>
      </c>
      <c r="O54" s="74" t="s">
        <v>155</v>
      </c>
      <c r="P54" s="75">
        <v>0.9527777777777777</v>
      </c>
      <c r="Q54" s="41"/>
      <c r="R54" s="39"/>
      <c r="S54" s="109">
        <f>SUMIF(I:I,"泰华&amp;ME-FB海外户对接群",J:J)</f>
        <v>1933.22</v>
      </c>
      <c r="T54" s="26" t="s">
        <v>866</v>
      </c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45845.0</v>
      </c>
      <c r="I55" s="68"/>
      <c r="J55" s="69"/>
      <c r="K55" s="70"/>
      <c r="L55" s="71"/>
      <c r="M55" s="72" t="s">
        <v>846</v>
      </c>
      <c r="N55" s="90">
        <v>4290.0</v>
      </c>
      <c r="O55" s="74" t="s">
        <v>155</v>
      </c>
      <c r="P55" s="75">
        <v>0.4534722222222222</v>
      </c>
      <c r="R55" s="39"/>
      <c r="S55" s="109">
        <f>SUMIF(I:I,"黑泽-欧洲户对接",J:J)</f>
        <v>1120.8</v>
      </c>
      <c r="T55" s="101" t="s">
        <v>867</v>
      </c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45845.0</v>
      </c>
      <c r="I56" s="68"/>
      <c r="J56" s="69"/>
      <c r="K56" s="87"/>
      <c r="L56" s="71"/>
      <c r="M56" s="72" t="s">
        <v>339</v>
      </c>
      <c r="N56" s="90">
        <v>5037.26</v>
      </c>
      <c r="O56" s="74" t="s">
        <v>868</v>
      </c>
      <c r="P56" s="75">
        <v>0.6215277777777778</v>
      </c>
      <c r="Q56" s="125"/>
      <c r="R56" s="39"/>
      <c r="S56" s="109">
        <f>SUMIF(I:I,"济宁韦宁&amp;香港有意思 二不限 3%",J:J)</f>
        <v>209.79</v>
      </c>
      <c r="T56" s="101" t="s">
        <v>702</v>
      </c>
      <c r="U56" s="76"/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45845.0</v>
      </c>
      <c r="I57" s="68"/>
      <c r="J57" s="69"/>
      <c r="K57" s="70"/>
      <c r="L57" s="71"/>
      <c r="M57" s="72" t="s">
        <v>469</v>
      </c>
      <c r="N57" s="90">
        <v>15493.4</v>
      </c>
      <c r="O57" s="74" t="s">
        <v>869</v>
      </c>
      <c r="P57" s="75">
        <v>0.6236111111111111</v>
      </c>
      <c r="R57" s="39"/>
      <c r="S57" s="109">
        <f>SUMIF(I:I,"Nancy-印度户15➕1",J:J)</f>
        <v>11323.12</v>
      </c>
      <c r="T57" s="101" t="s">
        <v>823</v>
      </c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45845.0</v>
      </c>
      <c r="I58" s="68"/>
      <c r="J58" s="69"/>
      <c r="K58" s="70"/>
      <c r="L58" s="71"/>
      <c r="M58" s="72" t="s">
        <v>700</v>
      </c>
      <c r="N58" s="90">
        <v>3390.0</v>
      </c>
      <c r="O58" s="74" t="s">
        <v>870</v>
      </c>
      <c r="P58" s="75">
        <v>0.6298611111111111</v>
      </c>
      <c r="R58" s="39"/>
      <c r="S58" s="109">
        <f>SUMIF(I:I,"海总新渠道 10+1",J:J)</f>
        <v>1817.25</v>
      </c>
      <c r="T58" s="101" t="s">
        <v>700</v>
      </c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45845.0</v>
      </c>
      <c r="I59" s="68" t="s">
        <v>298</v>
      </c>
      <c r="J59" s="69">
        <v>50400.0</v>
      </c>
      <c r="K59" s="70"/>
      <c r="L59" s="71">
        <v>0.8534722222222222</v>
      </c>
      <c r="M59" s="72"/>
      <c r="N59" s="90"/>
      <c r="O59" s="74"/>
      <c r="P59" s="75"/>
      <c r="R59" s="39"/>
      <c r="S59" s="117">
        <f>J7</f>
        <v>138682.4676</v>
      </c>
      <c r="T59" s="26" t="s">
        <v>818</v>
      </c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45846.0</v>
      </c>
      <c r="I60" s="68" t="s">
        <v>819</v>
      </c>
      <c r="J60" s="69">
        <v>3144.0</v>
      </c>
      <c r="K60" s="85"/>
      <c r="L60" s="71">
        <v>0.03888888888888889</v>
      </c>
      <c r="M60" s="72" t="s">
        <v>14</v>
      </c>
      <c r="N60" s="90">
        <v>62407.1115</v>
      </c>
      <c r="O60" s="74" t="s">
        <v>871</v>
      </c>
      <c r="P60" s="75">
        <v>0.4326388888888889</v>
      </c>
      <c r="R60" s="39"/>
      <c r="S60" s="40">
        <f>SUM(S30:S59)</f>
        <v>1512556.208</v>
      </c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45846.0</v>
      </c>
      <c r="I61" s="68"/>
      <c r="J61" s="69"/>
      <c r="K61" s="70"/>
      <c r="L61" s="71"/>
      <c r="M61" s="72" t="s">
        <v>20</v>
      </c>
      <c r="N61" s="90">
        <v>100.0</v>
      </c>
      <c r="O61" s="74" t="s">
        <v>768</v>
      </c>
      <c r="P61" s="75">
        <v>0.47430555555555554</v>
      </c>
      <c r="Q61" s="125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45846.0</v>
      </c>
      <c r="I62" s="68"/>
      <c r="J62" s="69"/>
      <c r="K62" s="87"/>
      <c r="L62" s="71"/>
      <c r="M62" s="72" t="s">
        <v>20</v>
      </c>
      <c r="N62" s="90">
        <v>225.0</v>
      </c>
      <c r="O62" s="74" t="s">
        <v>45</v>
      </c>
      <c r="P62" s="75">
        <v>0.5486111111111112</v>
      </c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45846.0</v>
      </c>
      <c r="I63" s="68"/>
      <c r="J63" s="69"/>
      <c r="K63" s="87"/>
      <c r="L63" s="71"/>
      <c r="M63" s="72" t="s">
        <v>469</v>
      </c>
      <c r="N63" s="90">
        <v>9412.86</v>
      </c>
      <c r="O63" s="74" t="s">
        <v>872</v>
      </c>
      <c r="P63" s="75">
        <v>0.5805555555555556</v>
      </c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45846.0</v>
      </c>
      <c r="I64" s="68"/>
      <c r="J64" s="69"/>
      <c r="K64" s="87"/>
      <c r="L64" s="71"/>
      <c r="M64" s="72" t="s">
        <v>339</v>
      </c>
      <c r="N64" s="90">
        <v>3450.0</v>
      </c>
      <c r="O64" s="74" t="s">
        <v>873</v>
      </c>
      <c r="P64" s="75">
        <v>0.5819444444444445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45846.0</v>
      </c>
      <c r="I65" s="68"/>
      <c r="J65" s="69"/>
      <c r="K65" s="70"/>
      <c r="L65" s="71"/>
      <c r="M65" s="72" t="s">
        <v>700</v>
      </c>
      <c r="N65" s="90">
        <v>3390.0</v>
      </c>
      <c r="O65" s="74" t="s">
        <v>870</v>
      </c>
      <c r="P65" s="75">
        <v>0.5826388888888889</v>
      </c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45846.0</v>
      </c>
      <c r="I66" s="68" t="s">
        <v>854</v>
      </c>
      <c r="J66" s="69">
        <v>2772.8</v>
      </c>
      <c r="K66" s="70" t="s">
        <v>874</v>
      </c>
      <c r="L66" s="71">
        <v>0.6090277777777777</v>
      </c>
      <c r="M66" s="72"/>
      <c r="N66" s="90"/>
      <c r="O66" s="74"/>
      <c r="P66" s="75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45846.0</v>
      </c>
      <c r="I67" s="68" t="s">
        <v>867</v>
      </c>
      <c r="J67" s="69">
        <v>1120.8</v>
      </c>
      <c r="K67" s="70" t="s">
        <v>155</v>
      </c>
      <c r="L67" s="71">
        <v>0.7027777777777777</v>
      </c>
      <c r="M67" s="72" t="s">
        <v>827</v>
      </c>
      <c r="N67" s="90">
        <v>2222.23</v>
      </c>
      <c r="O67" s="74" t="s">
        <v>875</v>
      </c>
      <c r="P67" s="75">
        <v>0.8694444444444445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45846.0</v>
      </c>
      <c r="I68" s="68" t="s">
        <v>819</v>
      </c>
      <c r="J68" s="69">
        <v>6024.0</v>
      </c>
      <c r="K68" s="85"/>
      <c r="L68" s="71">
        <v>0.9243055555555556</v>
      </c>
      <c r="M68" s="72"/>
      <c r="N68" s="90"/>
      <c r="O68" s="74"/>
      <c r="P68" s="75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45847.0</v>
      </c>
      <c r="I69" s="68"/>
      <c r="J69" s="69"/>
      <c r="K69" s="85"/>
      <c r="L69" s="71"/>
      <c r="M69" s="72" t="s">
        <v>469</v>
      </c>
      <c r="N69" s="90">
        <v>21452.4</v>
      </c>
      <c r="O69" s="74" t="s">
        <v>876</v>
      </c>
      <c r="P69" s="75">
        <v>0.5805555555555556</v>
      </c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45847.0</v>
      </c>
      <c r="I70" s="68"/>
      <c r="J70" s="69"/>
      <c r="K70" s="70"/>
      <c r="L70" s="71"/>
      <c r="M70" s="72" t="s">
        <v>700</v>
      </c>
      <c r="N70" s="90">
        <v>14630.0</v>
      </c>
      <c r="O70" s="74" t="s">
        <v>877</v>
      </c>
      <c r="P70" s="75">
        <v>0.5819444444444445</v>
      </c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45847.0</v>
      </c>
      <c r="I71" s="68"/>
      <c r="J71" s="69"/>
      <c r="K71" s="70"/>
      <c r="L71" s="71"/>
      <c r="M71" s="72" t="s">
        <v>843</v>
      </c>
      <c r="N71" s="90">
        <v>50000.0</v>
      </c>
      <c r="O71" s="74" t="s">
        <v>878</v>
      </c>
      <c r="P71" s="75">
        <v>0.7722222222222223</v>
      </c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45848.0</v>
      </c>
      <c r="I72" s="68" t="s">
        <v>819</v>
      </c>
      <c r="J72" s="69">
        <v>3984.0</v>
      </c>
      <c r="K72" s="87"/>
      <c r="L72" s="71">
        <v>0.5333333333333333</v>
      </c>
      <c r="M72" s="72"/>
      <c r="N72" s="90"/>
      <c r="O72" s="74"/>
      <c r="P72" s="75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45848.0</v>
      </c>
      <c r="I73" s="68"/>
      <c r="J73" s="69"/>
      <c r="K73" s="70"/>
      <c r="L73" s="71"/>
      <c r="M73" s="72" t="s">
        <v>700</v>
      </c>
      <c r="N73" s="90">
        <v>7970.0</v>
      </c>
      <c r="O73" s="74" t="s">
        <v>879</v>
      </c>
      <c r="P73" s="75">
        <v>0.5756944444444444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45848.0</v>
      </c>
      <c r="I74" s="120"/>
      <c r="J74" s="121"/>
      <c r="K74" s="93"/>
      <c r="L74" s="71"/>
      <c r="M74" s="72" t="s">
        <v>469</v>
      </c>
      <c r="N74" s="90">
        <v>24524.35</v>
      </c>
      <c r="O74" s="74" t="s">
        <v>880</v>
      </c>
      <c r="P74" s="75">
        <v>0.5770833333333333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45848.0</v>
      </c>
      <c r="I75" s="68" t="s">
        <v>854</v>
      </c>
      <c r="J75" s="69">
        <v>1760.0</v>
      </c>
      <c r="K75" s="70" t="s">
        <v>881</v>
      </c>
      <c r="L75" s="71">
        <v>0.5881944444444445</v>
      </c>
      <c r="M75" s="72"/>
      <c r="N75" s="90"/>
      <c r="O75" s="74"/>
      <c r="P75" s="75"/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45848.0</v>
      </c>
      <c r="I76" s="68" t="s">
        <v>855</v>
      </c>
      <c r="J76" s="69">
        <v>50000.0</v>
      </c>
      <c r="K76" s="70"/>
      <c r="L76" s="71">
        <v>0.6791666666666667</v>
      </c>
      <c r="M76" s="72"/>
      <c r="N76" s="90"/>
      <c r="O76" s="74"/>
      <c r="P76" s="75"/>
      <c r="Q76" s="41"/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45848.0</v>
      </c>
      <c r="I77" s="68" t="s">
        <v>836</v>
      </c>
      <c r="J77" s="69">
        <v>3520.0</v>
      </c>
      <c r="K77" s="70" t="s">
        <v>882</v>
      </c>
      <c r="L77" s="71">
        <v>0.7013888888888888</v>
      </c>
      <c r="M77" s="72"/>
      <c r="N77" s="90"/>
      <c r="O77" s="74"/>
      <c r="P77" s="75"/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45848.0</v>
      </c>
      <c r="I78" s="68" t="s">
        <v>842</v>
      </c>
      <c r="J78" s="69">
        <v>50000.0</v>
      </c>
      <c r="K78" s="87"/>
      <c r="L78" s="71">
        <v>0.7263888888888889</v>
      </c>
      <c r="M78" s="72"/>
      <c r="N78" s="90"/>
      <c r="O78" s="74"/>
      <c r="P78" s="75"/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45848.0</v>
      </c>
      <c r="I79" s="68" t="s">
        <v>298</v>
      </c>
      <c r="J79" s="69">
        <v>50400.0</v>
      </c>
      <c r="K79" s="70"/>
      <c r="L79" s="71">
        <v>0.9263888888888889</v>
      </c>
      <c r="M79" s="72"/>
      <c r="N79" s="90"/>
      <c r="O79" s="74"/>
      <c r="P79" s="75"/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45849.0</v>
      </c>
      <c r="I80" s="68"/>
      <c r="J80" s="69"/>
      <c r="K80" s="92"/>
      <c r="L80" s="88"/>
      <c r="M80" s="72" t="s">
        <v>700</v>
      </c>
      <c r="N80" s="90">
        <v>4520.0</v>
      </c>
      <c r="O80" s="74" t="s">
        <v>883</v>
      </c>
      <c r="P80" s="75">
        <v>0.5277777777777778</v>
      </c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45849.0</v>
      </c>
      <c r="I81" s="68"/>
      <c r="J81" s="69"/>
      <c r="K81" s="87"/>
      <c r="L81" s="71"/>
      <c r="M81" s="72" t="s">
        <v>469</v>
      </c>
      <c r="N81" s="90">
        <v>36945.8</v>
      </c>
      <c r="O81" s="74" t="s">
        <v>884</v>
      </c>
      <c r="P81" s="75">
        <v>0.5986111111111111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45849.0</v>
      </c>
      <c r="I82" s="68" t="s">
        <v>836</v>
      </c>
      <c r="J82" s="69">
        <v>1440.0</v>
      </c>
      <c r="K82" s="70" t="s">
        <v>885</v>
      </c>
      <c r="L82" s="71">
        <v>0.6701388888888888</v>
      </c>
      <c r="M82" s="72" t="s">
        <v>469</v>
      </c>
      <c r="N82" s="90">
        <v>1161.5</v>
      </c>
      <c r="O82" s="74" t="s">
        <v>886</v>
      </c>
      <c r="P82" s="75">
        <v>0.8701388888888889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45849.0</v>
      </c>
      <c r="I83" s="68"/>
      <c r="J83" s="69"/>
      <c r="K83" s="87"/>
      <c r="L83" s="71"/>
      <c r="M83" s="72" t="s">
        <v>69</v>
      </c>
      <c r="N83" s="90">
        <v>1221.0</v>
      </c>
      <c r="O83" s="74" t="s">
        <v>887</v>
      </c>
      <c r="P83" s="75">
        <v>0.8986111111111111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45850.0</v>
      </c>
      <c r="I84" s="68"/>
      <c r="J84" s="69"/>
      <c r="K84" s="70"/>
      <c r="L84" s="88"/>
      <c r="M84" s="72" t="s">
        <v>700</v>
      </c>
      <c r="N84" s="90">
        <v>18080.0</v>
      </c>
      <c r="O84" s="74" t="s">
        <v>888</v>
      </c>
      <c r="P84" s="75">
        <v>0.5111111111111111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45850.0</v>
      </c>
      <c r="I85" s="68" t="s">
        <v>836</v>
      </c>
      <c r="J85" s="69">
        <v>1600.0</v>
      </c>
      <c r="K85" s="70" t="s">
        <v>889</v>
      </c>
      <c r="L85" s="88" t="s">
        <v>890</v>
      </c>
      <c r="M85" s="72" t="s">
        <v>469</v>
      </c>
      <c r="N85" s="90">
        <v>24421.8</v>
      </c>
      <c r="O85" s="74" t="s">
        <v>891</v>
      </c>
      <c r="P85" s="75">
        <v>0.5923611111111111</v>
      </c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45850.0</v>
      </c>
      <c r="I86" s="68" t="s">
        <v>842</v>
      </c>
      <c r="J86" s="69">
        <v>50000.0</v>
      </c>
      <c r="K86" s="85"/>
      <c r="L86" s="71">
        <v>0.7451388888888889</v>
      </c>
      <c r="M86" s="72" t="s">
        <v>339</v>
      </c>
      <c r="N86" s="90">
        <v>1130.0</v>
      </c>
      <c r="O86" s="74" t="s">
        <v>892</v>
      </c>
      <c r="P86" s="75">
        <v>0.7888888888888889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45851.0</v>
      </c>
      <c r="I87" s="68"/>
      <c r="J87" s="69"/>
      <c r="K87" s="70"/>
      <c r="L87" s="71"/>
      <c r="M87" s="72" t="s">
        <v>700</v>
      </c>
      <c r="N87" s="90">
        <v>11300.0</v>
      </c>
      <c r="O87" s="74" t="s">
        <v>893</v>
      </c>
      <c r="P87" s="75">
        <v>0.5701388888888889</v>
      </c>
      <c r="Q87" s="41"/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45851.0</v>
      </c>
      <c r="I88" s="68"/>
      <c r="J88" s="69"/>
      <c r="K88" s="70"/>
      <c r="L88" s="71"/>
      <c r="M88" s="72" t="s">
        <v>469</v>
      </c>
      <c r="N88" s="90">
        <v>11918.0</v>
      </c>
      <c r="O88" s="74" t="s">
        <v>845</v>
      </c>
      <c r="P88" s="75">
        <v>0.5902777777777778</v>
      </c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45851.0</v>
      </c>
      <c r="I89" s="68"/>
      <c r="J89" s="69"/>
      <c r="K89" s="70"/>
      <c r="L89" s="71"/>
      <c r="M89" s="72" t="s">
        <v>298</v>
      </c>
      <c r="N89" s="90">
        <v>15540.0</v>
      </c>
      <c r="O89" s="74" t="s">
        <v>155</v>
      </c>
      <c r="P89" s="75">
        <v>0.6354166666666666</v>
      </c>
      <c r="Q89" s="41"/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45851.0</v>
      </c>
      <c r="I90" s="68" t="s">
        <v>854</v>
      </c>
      <c r="J90" s="69">
        <v>5331.2</v>
      </c>
      <c r="K90" s="70" t="s">
        <v>894</v>
      </c>
      <c r="L90" s="71">
        <v>0.7027777777777777</v>
      </c>
      <c r="M90" s="72"/>
      <c r="N90" s="90"/>
      <c r="O90" s="74"/>
      <c r="P90" s="75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45851.0</v>
      </c>
      <c r="I91" s="68" t="s">
        <v>842</v>
      </c>
      <c r="J91" s="69">
        <v>50000.0</v>
      </c>
      <c r="K91" s="70"/>
      <c r="L91" s="71">
        <v>0.9027777777777778</v>
      </c>
      <c r="M91" s="72" t="s">
        <v>69</v>
      </c>
      <c r="N91" s="90">
        <v>1005.0</v>
      </c>
      <c r="O91" s="74" t="s">
        <v>895</v>
      </c>
      <c r="P91" s="75">
        <v>0.9472222222222222</v>
      </c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45852.0</v>
      </c>
      <c r="I92" s="68" t="s">
        <v>857</v>
      </c>
      <c r="J92" s="69">
        <v>50000.0</v>
      </c>
      <c r="K92" s="70"/>
      <c r="L92" s="71">
        <v>0.9520833333333333</v>
      </c>
      <c r="M92" s="72"/>
      <c r="N92" s="90"/>
      <c r="O92" s="74"/>
      <c r="P92" s="75"/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45852.0</v>
      </c>
      <c r="I93" s="68" t="s">
        <v>836</v>
      </c>
      <c r="J93" s="69">
        <v>640.0</v>
      </c>
      <c r="K93" s="70" t="s">
        <v>896</v>
      </c>
      <c r="L93" s="71">
        <v>0.17430555555555555</v>
      </c>
      <c r="M93" s="72" t="s">
        <v>700</v>
      </c>
      <c r="N93" s="90">
        <v>22600.0</v>
      </c>
      <c r="O93" s="74" t="s">
        <v>897</v>
      </c>
      <c r="P93" s="75">
        <v>0.5875</v>
      </c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45852.0</v>
      </c>
      <c r="I94" s="68"/>
      <c r="J94" s="69"/>
      <c r="K94" s="70"/>
      <c r="L94" s="71"/>
      <c r="M94" s="72" t="s">
        <v>469</v>
      </c>
      <c r="N94" s="90">
        <v>35754.0</v>
      </c>
      <c r="O94" s="74" t="s">
        <v>898</v>
      </c>
      <c r="P94" s="75">
        <v>0.5965277777777778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45852.0</v>
      </c>
      <c r="I95" s="68" t="s">
        <v>856</v>
      </c>
      <c r="J95" s="69">
        <v>50000.0</v>
      </c>
      <c r="K95" s="70"/>
      <c r="L95" s="71">
        <v>0.70625</v>
      </c>
      <c r="M95" s="72" t="s">
        <v>75</v>
      </c>
      <c r="N95" s="90">
        <v>3068.38</v>
      </c>
      <c r="O95" s="74" t="s">
        <v>899</v>
      </c>
      <c r="P95" s="75">
        <v>0.7152777777777778</v>
      </c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45852.0</v>
      </c>
      <c r="I96" s="68" t="s">
        <v>854</v>
      </c>
      <c r="J96" s="69">
        <v>4480.0</v>
      </c>
      <c r="K96" s="70" t="s">
        <v>900</v>
      </c>
      <c r="L96" s="71">
        <v>0.7701388888888889</v>
      </c>
      <c r="M96" s="72"/>
      <c r="N96" s="90"/>
      <c r="O96" s="74"/>
      <c r="P96" s="75"/>
      <c r="Q96" s="41"/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45852.0</v>
      </c>
      <c r="I97" s="68" t="s">
        <v>858</v>
      </c>
      <c r="J97" s="69">
        <v>320.0</v>
      </c>
      <c r="K97" s="70" t="s">
        <v>901</v>
      </c>
      <c r="L97" s="71">
        <v>0.7590277777777777</v>
      </c>
      <c r="M97" s="72" t="s">
        <v>69</v>
      </c>
      <c r="N97" s="90">
        <v>808.0</v>
      </c>
      <c r="O97" s="74" t="s">
        <v>902</v>
      </c>
      <c r="P97" s="75"/>
      <c r="R97" s="39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45853.0</v>
      </c>
      <c r="I98" s="84"/>
      <c r="J98" s="17"/>
      <c r="K98" s="85"/>
      <c r="L98" s="86"/>
      <c r="M98" s="72" t="s">
        <v>75</v>
      </c>
      <c r="N98" s="90">
        <v>4630.0</v>
      </c>
      <c r="O98" s="74" t="s">
        <v>903</v>
      </c>
      <c r="P98" s="94" t="s">
        <v>904</v>
      </c>
      <c r="Q98" s="41"/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45853.0</v>
      </c>
      <c r="I99" s="68"/>
      <c r="J99" s="69"/>
      <c r="K99" s="92"/>
      <c r="L99" s="71"/>
      <c r="M99" s="72" t="s">
        <v>702</v>
      </c>
      <c r="N99" s="90">
        <v>545.0</v>
      </c>
      <c r="O99" s="74" t="s">
        <v>515</v>
      </c>
      <c r="P99" s="94" t="s">
        <v>905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45853.0</v>
      </c>
      <c r="I100" s="68" t="s">
        <v>854</v>
      </c>
      <c r="J100" s="69">
        <v>9120.0</v>
      </c>
      <c r="K100" s="70" t="s">
        <v>906</v>
      </c>
      <c r="L100" s="71">
        <v>0.6680555555555555</v>
      </c>
      <c r="M100" s="72" t="s">
        <v>20</v>
      </c>
      <c r="N100" s="90">
        <v>108.0</v>
      </c>
      <c r="O100" s="74" t="s">
        <v>907</v>
      </c>
      <c r="P100" s="75">
        <v>0.6777777777777778</v>
      </c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45853.0</v>
      </c>
      <c r="I101" s="68"/>
      <c r="J101" s="69"/>
      <c r="K101" s="70"/>
      <c r="L101" s="88"/>
      <c r="M101" s="72" t="s">
        <v>700</v>
      </c>
      <c r="N101" s="90">
        <v>562.61</v>
      </c>
      <c r="O101" s="74" t="s">
        <v>908</v>
      </c>
      <c r="P101" s="94" t="s">
        <v>909</v>
      </c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45853.0</v>
      </c>
      <c r="I102" s="68"/>
      <c r="J102" s="69"/>
      <c r="K102" s="87"/>
      <c r="L102" s="88"/>
      <c r="M102" s="72" t="s">
        <v>75</v>
      </c>
      <c r="N102" s="90">
        <v>2360.0</v>
      </c>
      <c r="O102" s="74" t="s">
        <v>910</v>
      </c>
      <c r="P102" s="94" t="s">
        <v>911</v>
      </c>
      <c r="Q102" s="41"/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45854.0</v>
      </c>
      <c r="I103" s="68"/>
      <c r="J103" s="69"/>
      <c r="K103" s="87"/>
      <c r="L103" s="71"/>
      <c r="M103" s="72" t="s">
        <v>702</v>
      </c>
      <c r="N103" s="90">
        <v>1090.0</v>
      </c>
      <c r="O103" s="74" t="s">
        <v>511</v>
      </c>
      <c r="P103" s="75">
        <v>0.4875</v>
      </c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45854.0</v>
      </c>
      <c r="I104" s="68" t="s">
        <v>836</v>
      </c>
      <c r="J104" s="69">
        <v>3840.0</v>
      </c>
      <c r="K104" s="70" t="s">
        <v>912</v>
      </c>
      <c r="L104" s="88" t="s">
        <v>913</v>
      </c>
      <c r="M104" s="72" t="s">
        <v>75</v>
      </c>
      <c r="N104" s="90">
        <v>4025.0</v>
      </c>
      <c r="O104" s="74" t="s">
        <v>914</v>
      </c>
      <c r="P104" s="75">
        <v>0.6069444444444444</v>
      </c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45854.0</v>
      </c>
      <c r="I105" s="68"/>
      <c r="J105" s="69"/>
      <c r="K105" s="70"/>
      <c r="L105" s="71"/>
      <c r="M105" s="72" t="s">
        <v>832</v>
      </c>
      <c r="N105" s="90">
        <v>5750.0</v>
      </c>
      <c r="O105" s="74" t="s">
        <v>915</v>
      </c>
      <c r="P105" s="75">
        <v>0.6625</v>
      </c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45854.0</v>
      </c>
      <c r="I106" s="68" t="s">
        <v>854</v>
      </c>
      <c r="J106" s="69">
        <v>13600.0</v>
      </c>
      <c r="K106" s="70" t="s">
        <v>916</v>
      </c>
      <c r="L106" s="71">
        <v>0.68125</v>
      </c>
      <c r="M106" s="72" t="s">
        <v>702</v>
      </c>
      <c r="N106" s="90">
        <v>1635.0</v>
      </c>
      <c r="O106" s="74" t="s">
        <v>917</v>
      </c>
      <c r="P106" s="75">
        <v>0.7041666666666667</v>
      </c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45854.0</v>
      </c>
      <c r="I107" s="68"/>
      <c r="J107" s="69"/>
      <c r="K107" s="93"/>
      <c r="L107" s="88"/>
      <c r="M107" s="72" t="s">
        <v>702</v>
      </c>
      <c r="N107" s="90">
        <v>1635.0</v>
      </c>
      <c r="O107" s="74" t="s">
        <v>917</v>
      </c>
      <c r="P107" s="75">
        <v>0.7506944444444444</v>
      </c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45854.0</v>
      </c>
      <c r="I108" s="68"/>
      <c r="J108" s="69"/>
      <c r="K108" s="85"/>
      <c r="L108" s="71"/>
      <c r="M108" s="72" t="s">
        <v>702</v>
      </c>
      <c r="N108" s="90">
        <v>2725.0</v>
      </c>
      <c r="O108" s="74" t="s">
        <v>540</v>
      </c>
      <c r="P108" s="75">
        <v>0.9659722222222222</v>
      </c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45855.0</v>
      </c>
      <c r="I109" s="68"/>
      <c r="J109" s="69"/>
      <c r="K109" s="70"/>
      <c r="L109" s="71"/>
      <c r="M109" s="72" t="s">
        <v>75</v>
      </c>
      <c r="N109" s="90">
        <v>5235.0</v>
      </c>
      <c r="O109" s="74" t="s">
        <v>918</v>
      </c>
      <c r="P109" s="75">
        <v>0.5895833333333333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45855.0</v>
      </c>
      <c r="I110" s="68"/>
      <c r="J110" s="69"/>
      <c r="K110" s="70"/>
      <c r="L110" s="71"/>
      <c r="M110" s="72" t="s">
        <v>702</v>
      </c>
      <c r="N110" s="90">
        <v>1090.0</v>
      </c>
      <c r="O110" s="74" t="s">
        <v>511</v>
      </c>
      <c r="P110" s="75">
        <v>0.6548611111111111</v>
      </c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45855.0</v>
      </c>
      <c r="I111" s="68" t="s">
        <v>836</v>
      </c>
      <c r="J111" s="69">
        <v>480.0</v>
      </c>
      <c r="K111" s="70" t="s">
        <v>919</v>
      </c>
      <c r="L111" s="71">
        <v>0.6555555555555556</v>
      </c>
      <c r="M111" s="72"/>
      <c r="N111" s="90"/>
      <c r="O111" s="74"/>
      <c r="P111" s="75"/>
      <c r="Q111" s="41"/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45855.0</v>
      </c>
      <c r="I112" s="68" t="s">
        <v>854</v>
      </c>
      <c r="J112" s="69">
        <v>11200.0</v>
      </c>
      <c r="K112" s="70" t="s">
        <v>920</v>
      </c>
      <c r="L112" s="71">
        <v>0.6680555555555555</v>
      </c>
      <c r="M112" s="72" t="s">
        <v>842</v>
      </c>
      <c r="N112" s="90">
        <v>9328.0</v>
      </c>
      <c r="O112" s="74" t="s">
        <v>155</v>
      </c>
      <c r="P112" s="75">
        <v>0.6722222222222223</v>
      </c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45855.0</v>
      </c>
      <c r="I113" s="68"/>
      <c r="J113" s="69"/>
      <c r="K113" s="70"/>
      <c r="L113" s="71"/>
      <c r="M113" s="72" t="s">
        <v>20</v>
      </c>
      <c r="N113" s="90">
        <v>853.0</v>
      </c>
      <c r="O113" s="74" t="s">
        <v>921</v>
      </c>
      <c r="P113" s="75">
        <v>0.6979166666666666</v>
      </c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45855.0</v>
      </c>
      <c r="I114" s="68" t="s">
        <v>859</v>
      </c>
      <c r="J114" s="69">
        <v>30000.0</v>
      </c>
      <c r="K114" s="93"/>
      <c r="L114" s="71">
        <v>0.7222222222222222</v>
      </c>
      <c r="M114" s="72" t="s">
        <v>702</v>
      </c>
      <c r="N114" s="90">
        <v>1635.0</v>
      </c>
      <c r="O114" s="74" t="s">
        <v>917</v>
      </c>
      <c r="P114" s="75">
        <v>0.7666666666666667</v>
      </c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45855.0</v>
      </c>
      <c r="I115" s="68"/>
      <c r="J115" s="69"/>
      <c r="K115" s="70"/>
      <c r="L115" s="71"/>
      <c r="M115" s="72" t="s">
        <v>702</v>
      </c>
      <c r="N115" s="90">
        <v>2180.0</v>
      </c>
      <c r="O115" s="74" t="s">
        <v>922</v>
      </c>
      <c r="P115" s="75">
        <v>0.8215277777777777</v>
      </c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45855.0</v>
      </c>
      <c r="I116" s="68"/>
      <c r="J116" s="69"/>
      <c r="K116" s="92"/>
      <c r="L116" s="71"/>
      <c r="M116" s="72" t="s">
        <v>702</v>
      </c>
      <c r="N116" s="90">
        <v>4360.0</v>
      </c>
      <c r="O116" s="74" t="s">
        <v>923</v>
      </c>
      <c r="P116" s="94" t="s">
        <v>355</v>
      </c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45855.0</v>
      </c>
      <c r="I117" s="68"/>
      <c r="J117" s="69"/>
      <c r="K117" s="70"/>
      <c r="L117" s="71"/>
      <c r="M117" s="72" t="s">
        <v>706</v>
      </c>
      <c r="N117" s="90">
        <v>50.0</v>
      </c>
      <c r="O117" s="74" t="s">
        <v>427</v>
      </c>
      <c r="P117" s="75">
        <v>0.9534722222222223</v>
      </c>
      <c r="Q117" s="41"/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45855.0</v>
      </c>
      <c r="I118" s="68"/>
      <c r="J118" s="69"/>
      <c r="K118" s="70"/>
      <c r="L118" s="71"/>
      <c r="M118" s="72" t="s">
        <v>702</v>
      </c>
      <c r="N118" s="90">
        <v>4905.0</v>
      </c>
      <c r="O118" s="74" t="s">
        <v>534</v>
      </c>
      <c r="P118" s="75">
        <v>0.9638888888888889</v>
      </c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45856.0</v>
      </c>
      <c r="I119" s="68" t="s">
        <v>836</v>
      </c>
      <c r="J119" s="69">
        <v>640.0</v>
      </c>
      <c r="K119" s="70" t="s">
        <v>924</v>
      </c>
      <c r="L119" s="71">
        <v>0.20972222222222223</v>
      </c>
      <c r="M119" s="72" t="s">
        <v>75</v>
      </c>
      <c r="N119" s="90">
        <v>4085.0</v>
      </c>
      <c r="O119" s="74" t="s">
        <v>925</v>
      </c>
      <c r="P119" s="75">
        <v>0.5159722222222223</v>
      </c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45856.0</v>
      </c>
      <c r="I120" s="68"/>
      <c r="J120" s="69"/>
      <c r="K120" s="87"/>
      <c r="L120" s="71"/>
      <c r="M120" s="72" t="s">
        <v>700</v>
      </c>
      <c r="N120" s="90">
        <v>9040.0</v>
      </c>
      <c r="O120" s="74" t="s">
        <v>926</v>
      </c>
      <c r="P120" s="75">
        <v>0.6201388888888889</v>
      </c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45856.0</v>
      </c>
      <c r="I121" s="68"/>
      <c r="J121" s="69"/>
      <c r="K121" s="70"/>
      <c r="L121" s="71"/>
      <c r="M121" s="72" t="s">
        <v>339</v>
      </c>
      <c r="N121" s="90">
        <v>4897.93</v>
      </c>
      <c r="O121" s="74" t="s">
        <v>927</v>
      </c>
      <c r="P121" s="75">
        <v>0.6520833333333333</v>
      </c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45856.0</v>
      </c>
      <c r="I122" s="68" t="s">
        <v>866</v>
      </c>
      <c r="J122" s="69">
        <v>1933.22</v>
      </c>
      <c r="K122" s="70" t="s">
        <v>155</v>
      </c>
      <c r="L122" s="71">
        <v>0.6875</v>
      </c>
      <c r="M122" s="72"/>
      <c r="N122" s="90"/>
      <c r="O122" s="74"/>
      <c r="P122" s="94"/>
      <c r="Q122" s="41"/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45856.0</v>
      </c>
      <c r="I123" s="68" t="s">
        <v>854</v>
      </c>
      <c r="J123" s="69">
        <v>9280.0</v>
      </c>
      <c r="K123" s="70" t="s">
        <v>928</v>
      </c>
      <c r="L123" s="71">
        <v>0.6944444444444444</v>
      </c>
      <c r="M123" s="72" t="s">
        <v>702</v>
      </c>
      <c r="N123" s="90">
        <v>3270.0</v>
      </c>
      <c r="O123" s="74" t="s">
        <v>929</v>
      </c>
      <c r="P123" s="94" t="s">
        <v>930</v>
      </c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45856.0</v>
      </c>
      <c r="I124" s="68"/>
      <c r="J124" s="69"/>
      <c r="K124" s="70"/>
      <c r="L124" s="71"/>
      <c r="M124" s="72" t="s">
        <v>75</v>
      </c>
      <c r="N124" s="90">
        <v>4111.09</v>
      </c>
      <c r="O124" s="74" t="s">
        <v>931</v>
      </c>
      <c r="P124" s="75">
        <v>0.7923611111111111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45856.0</v>
      </c>
      <c r="I125" s="68"/>
      <c r="J125" s="69"/>
      <c r="K125" s="70"/>
      <c r="L125" s="71"/>
      <c r="M125" s="72" t="s">
        <v>702</v>
      </c>
      <c r="N125" s="90">
        <v>2197.08</v>
      </c>
      <c r="O125" s="74" t="s">
        <v>932</v>
      </c>
      <c r="P125" s="75">
        <v>0.8902777777777777</v>
      </c>
      <c r="Q125" s="41"/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45856.0</v>
      </c>
      <c r="I126" s="68"/>
      <c r="J126" s="69"/>
      <c r="K126" s="70"/>
      <c r="L126" s="71"/>
      <c r="M126" s="72" t="s">
        <v>700</v>
      </c>
      <c r="N126" s="90">
        <v>12430.0</v>
      </c>
      <c r="O126" s="74" t="s">
        <v>933</v>
      </c>
      <c r="P126" s="94" t="s">
        <v>281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45857.0</v>
      </c>
      <c r="I127" s="84"/>
      <c r="J127" s="17"/>
      <c r="K127" s="85"/>
      <c r="L127" s="86"/>
      <c r="M127" s="72" t="s">
        <v>75</v>
      </c>
      <c r="N127" s="90">
        <v>6960.0</v>
      </c>
      <c r="O127" s="74" t="s">
        <v>934</v>
      </c>
      <c r="P127" s="75">
        <v>0.9006944444444445</v>
      </c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45857.0</v>
      </c>
      <c r="I128" s="68" t="s">
        <v>836</v>
      </c>
      <c r="J128" s="69">
        <v>2400.0</v>
      </c>
      <c r="K128" s="70" t="s">
        <v>935</v>
      </c>
      <c r="L128" s="71">
        <v>0.32430555555555557</v>
      </c>
      <c r="M128" s="72" t="s">
        <v>20</v>
      </c>
      <c r="N128" s="90">
        <v>500.0</v>
      </c>
      <c r="O128" s="74" t="s">
        <v>936</v>
      </c>
      <c r="P128" s="75">
        <v>0.90625</v>
      </c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45858.0</v>
      </c>
      <c r="I129" s="68"/>
      <c r="J129" s="69"/>
      <c r="K129" s="70"/>
      <c r="L129" s="71"/>
      <c r="M129" s="72" t="s">
        <v>700</v>
      </c>
      <c r="N129" s="90">
        <v>11300.0</v>
      </c>
      <c r="O129" s="74" t="s">
        <v>893</v>
      </c>
      <c r="P129" s="75">
        <v>0.5520833333333334</v>
      </c>
      <c r="Q129" s="41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45858.0</v>
      </c>
      <c r="I130" s="68" t="s">
        <v>854</v>
      </c>
      <c r="J130" s="69">
        <v>1760.0</v>
      </c>
      <c r="K130" s="70" t="s">
        <v>937</v>
      </c>
      <c r="L130" s="71">
        <v>0.6048611111111111</v>
      </c>
      <c r="M130" s="72"/>
      <c r="N130" s="90"/>
      <c r="O130" s="74"/>
      <c r="P130" s="94"/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45858.0</v>
      </c>
      <c r="I131" s="68" t="s">
        <v>859</v>
      </c>
      <c r="J131" s="69">
        <v>3044.0</v>
      </c>
      <c r="K131" s="70"/>
      <c r="L131" s="71">
        <v>0.7340277777777777</v>
      </c>
      <c r="M131" s="72"/>
      <c r="N131" s="90"/>
      <c r="O131" s="74"/>
      <c r="P131" s="75"/>
      <c r="Q131" s="41"/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45858.0</v>
      </c>
      <c r="I132" s="68" t="s">
        <v>859</v>
      </c>
      <c r="J132" s="69">
        <v>18204.0</v>
      </c>
      <c r="K132" s="85"/>
      <c r="L132" s="71">
        <v>0.7444444444444445</v>
      </c>
      <c r="M132" s="72" t="s">
        <v>75</v>
      </c>
      <c r="N132" s="90">
        <v>6900.0</v>
      </c>
      <c r="O132" s="74" t="s">
        <v>938</v>
      </c>
      <c r="P132" s="75">
        <v>0.8569444444444444</v>
      </c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45858.0</v>
      </c>
      <c r="I133" s="68"/>
      <c r="J133" s="69"/>
      <c r="K133" s="70"/>
      <c r="L133" s="71"/>
      <c r="M133" s="72" t="s">
        <v>75</v>
      </c>
      <c r="N133" s="90">
        <v>3660.0</v>
      </c>
      <c r="O133" s="74" t="s">
        <v>939</v>
      </c>
      <c r="P133" s="94" t="s">
        <v>940</v>
      </c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45859.0</v>
      </c>
      <c r="I134" s="68"/>
      <c r="J134" s="69"/>
      <c r="K134" s="70"/>
      <c r="L134" s="88"/>
      <c r="M134" s="72" t="s">
        <v>20</v>
      </c>
      <c r="N134" s="90">
        <v>200.0</v>
      </c>
      <c r="O134" s="74" t="s">
        <v>45</v>
      </c>
      <c r="P134" s="75">
        <v>0.5048611111111111</v>
      </c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45859.0</v>
      </c>
      <c r="I135" s="68"/>
      <c r="J135" s="69"/>
      <c r="K135" s="85"/>
      <c r="L135" s="71"/>
      <c r="M135" s="72" t="s">
        <v>700</v>
      </c>
      <c r="N135" s="90">
        <v>19210.0</v>
      </c>
      <c r="O135" s="74" t="s">
        <v>941</v>
      </c>
      <c r="P135" s="94" t="s">
        <v>942</v>
      </c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45859.0</v>
      </c>
      <c r="I136" s="68" t="s">
        <v>860</v>
      </c>
      <c r="J136" s="69">
        <v>50000.0</v>
      </c>
      <c r="K136" s="70"/>
      <c r="L136" s="71">
        <v>0.625</v>
      </c>
      <c r="M136" s="72" t="s">
        <v>20</v>
      </c>
      <c r="N136" s="90">
        <v>185.0</v>
      </c>
      <c r="O136" s="74" t="s">
        <v>943</v>
      </c>
      <c r="P136" s="75">
        <v>0.7256944444444444</v>
      </c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45859.0</v>
      </c>
      <c r="I137" s="84"/>
      <c r="J137" s="17"/>
      <c r="K137" s="85"/>
      <c r="L137" s="86"/>
      <c r="M137" s="72" t="s">
        <v>827</v>
      </c>
      <c r="N137" s="90">
        <v>1244.14</v>
      </c>
      <c r="O137" s="74" t="s">
        <v>944</v>
      </c>
      <c r="P137" s="75">
        <v>0.75</v>
      </c>
      <c r="Q137" s="41"/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45859.0</v>
      </c>
      <c r="I138" s="68"/>
      <c r="J138" s="69"/>
      <c r="K138" s="70"/>
      <c r="L138" s="71"/>
      <c r="M138" s="72" t="s">
        <v>75</v>
      </c>
      <c r="N138" s="90">
        <v>10320.0</v>
      </c>
      <c r="O138" s="74" t="s">
        <v>945</v>
      </c>
      <c r="P138" s="75">
        <v>0.7583333333333333</v>
      </c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45859.0</v>
      </c>
      <c r="I139" s="68"/>
      <c r="J139" s="69"/>
      <c r="K139" s="70"/>
      <c r="L139" s="71"/>
      <c r="M139" s="72" t="s">
        <v>702</v>
      </c>
      <c r="N139" s="90">
        <v>545.0</v>
      </c>
      <c r="O139" s="74" t="s">
        <v>515</v>
      </c>
      <c r="P139" s="75">
        <v>0.9277777777777778</v>
      </c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45860.0</v>
      </c>
      <c r="I140" s="68" t="s">
        <v>836</v>
      </c>
      <c r="J140" s="69">
        <v>3360.0</v>
      </c>
      <c r="K140" s="70" t="s">
        <v>946</v>
      </c>
      <c r="L140" s="71">
        <v>0.2625</v>
      </c>
      <c r="M140" s="72" t="s">
        <v>700</v>
      </c>
      <c r="N140" s="90">
        <v>1130.0</v>
      </c>
      <c r="O140" s="74" t="s">
        <v>853</v>
      </c>
      <c r="P140" s="75">
        <v>0.5729166666666666</v>
      </c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45860.0</v>
      </c>
      <c r="I141" s="84"/>
      <c r="J141" s="17"/>
      <c r="K141" s="85"/>
      <c r="L141" s="86"/>
      <c r="M141" s="72" t="s">
        <v>20</v>
      </c>
      <c r="N141" s="90">
        <v>52.0</v>
      </c>
      <c r="O141" s="74" t="s">
        <v>947</v>
      </c>
      <c r="P141" s="75">
        <v>0.6652777777777777</v>
      </c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45860.0</v>
      </c>
      <c r="I142" s="68" t="s">
        <v>854</v>
      </c>
      <c r="J142" s="69">
        <v>3360.0</v>
      </c>
      <c r="K142" s="70" t="s">
        <v>948</v>
      </c>
      <c r="L142" s="71">
        <v>0.6958333333333333</v>
      </c>
      <c r="M142" s="72" t="s">
        <v>702</v>
      </c>
      <c r="N142" s="90">
        <v>1090.0</v>
      </c>
      <c r="O142" s="74" t="s">
        <v>511</v>
      </c>
      <c r="P142" s="75">
        <v>0.6777777777777778</v>
      </c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45860.0</v>
      </c>
      <c r="I143" s="68" t="s">
        <v>832</v>
      </c>
      <c r="J143" s="69">
        <v>5156.0</v>
      </c>
      <c r="K143" s="70" t="s">
        <v>155</v>
      </c>
      <c r="L143" s="71">
        <v>0.8354166666666667</v>
      </c>
      <c r="M143" s="72" t="s">
        <v>75</v>
      </c>
      <c r="N143" s="90">
        <v>4600.0</v>
      </c>
      <c r="O143" s="74" t="s">
        <v>654</v>
      </c>
      <c r="P143" s="75">
        <v>0.9444444444444444</v>
      </c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45861.0</v>
      </c>
      <c r="I144" s="68"/>
      <c r="J144" s="69"/>
      <c r="K144" s="85"/>
      <c r="L144" s="71"/>
      <c r="M144" s="72" t="s">
        <v>47</v>
      </c>
      <c r="N144" s="90">
        <v>591.69</v>
      </c>
      <c r="O144" s="74" t="s">
        <v>949</v>
      </c>
      <c r="P144" s="75">
        <v>0.5361111111111111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45861.0</v>
      </c>
      <c r="I145" s="68"/>
      <c r="J145" s="69"/>
      <c r="K145" s="70"/>
      <c r="L145" s="71"/>
      <c r="M145" s="72" t="s">
        <v>700</v>
      </c>
      <c r="N145" s="90">
        <v>18080.0</v>
      </c>
      <c r="O145" s="74" t="s">
        <v>888</v>
      </c>
      <c r="P145" s="75">
        <v>0.5784722222222223</v>
      </c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45861.0</v>
      </c>
      <c r="I146" s="68" t="s">
        <v>854</v>
      </c>
      <c r="J146" s="69">
        <v>4960.0</v>
      </c>
      <c r="K146" s="70" t="s">
        <v>950</v>
      </c>
      <c r="L146" s="71">
        <v>0.5847222222222223</v>
      </c>
      <c r="M146" s="72" t="s">
        <v>75</v>
      </c>
      <c r="N146" s="90">
        <v>5177.3</v>
      </c>
      <c r="O146" s="74" t="s">
        <v>951</v>
      </c>
      <c r="P146" s="94" t="s">
        <v>952</v>
      </c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45861.0</v>
      </c>
      <c r="I147" s="84"/>
      <c r="J147" s="17"/>
      <c r="K147" s="85"/>
      <c r="L147" s="86"/>
      <c r="M147" s="72" t="s">
        <v>75</v>
      </c>
      <c r="N147" s="90">
        <v>4600.0</v>
      </c>
      <c r="O147" s="74" t="s">
        <v>654</v>
      </c>
      <c r="P147" s="94" t="s">
        <v>953</v>
      </c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45862.0</v>
      </c>
      <c r="I148" s="68" t="s">
        <v>860</v>
      </c>
      <c r="J148" s="69">
        <v>50000.0</v>
      </c>
      <c r="K148" s="85"/>
      <c r="L148" s="88" t="s">
        <v>954</v>
      </c>
      <c r="M148" s="72"/>
      <c r="N148" s="90"/>
      <c r="O148" s="74"/>
      <c r="P148" s="75"/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45862.0</v>
      </c>
      <c r="I149" s="68"/>
      <c r="J149" s="69"/>
      <c r="K149" s="85"/>
      <c r="L149" s="71"/>
      <c r="M149" s="72" t="s">
        <v>47</v>
      </c>
      <c r="N149" s="90">
        <v>6426.63</v>
      </c>
      <c r="O149" s="74" t="s">
        <v>955</v>
      </c>
      <c r="P149" s="75">
        <v>0.5020833333333333</v>
      </c>
      <c r="Q149" s="41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45862.0</v>
      </c>
      <c r="I150" s="84"/>
      <c r="J150" s="17"/>
      <c r="K150" s="85"/>
      <c r="L150" s="86"/>
      <c r="M150" s="72" t="s">
        <v>700</v>
      </c>
      <c r="N150" s="90">
        <v>13560.0</v>
      </c>
      <c r="O150" s="74" t="s">
        <v>956</v>
      </c>
      <c r="P150" s="75">
        <v>0.5791666666666667</v>
      </c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45862.0</v>
      </c>
      <c r="I151" s="68"/>
      <c r="J151" s="69"/>
      <c r="K151" s="70"/>
      <c r="L151" s="88"/>
      <c r="M151" s="72" t="s">
        <v>75</v>
      </c>
      <c r="N151" s="90">
        <v>8050.0</v>
      </c>
      <c r="O151" s="74" t="s">
        <v>957</v>
      </c>
      <c r="P151" s="94" t="s">
        <v>958</v>
      </c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45862.0</v>
      </c>
      <c r="I152" s="68" t="s">
        <v>673</v>
      </c>
      <c r="J152" s="69">
        <v>50000.0</v>
      </c>
      <c r="K152" s="87"/>
      <c r="L152" s="88" t="s">
        <v>652</v>
      </c>
      <c r="M152" s="72" t="s">
        <v>75</v>
      </c>
      <c r="N152" s="90">
        <v>4600.0</v>
      </c>
      <c r="O152" s="74" t="s">
        <v>654</v>
      </c>
      <c r="P152" s="75">
        <v>0.7534722222222222</v>
      </c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45862.0</v>
      </c>
      <c r="I153" s="68" t="s">
        <v>861</v>
      </c>
      <c r="J153" s="69">
        <v>4800.0</v>
      </c>
      <c r="K153" s="70" t="s">
        <v>959</v>
      </c>
      <c r="L153" s="71">
        <v>0.4840277777777778</v>
      </c>
      <c r="M153" s="72"/>
      <c r="N153" s="90"/>
      <c r="O153" s="74"/>
      <c r="P153" s="75"/>
      <c r="Q153" s="41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45863.0</v>
      </c>
      <c r="I154" s="84"/>
      <c r="J154" s="17"/>
      <c r="K154" s="85"/>
      <c r="L154" s="86"/>
      <c r="M154" s="72" t="s">
        <v>47</v>
      </c>
      <c r="N154" s="90">
        <v>9594.08</v>
      </c>
      <c r="O154" s="74" t="s">
        <v>960</v>
      </c>
      <c r="P154" s="94" t="s">
        <v>961</v>
      </c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45863.0</v>
      </c>
      <c r="I155" s="68"/>
      <c r="J155" s="69"/>
      <c r="K155" s="70"/>
      <c r="L155" s="71"/>
      <c r="M155" s="72" t="s">
        <v>75</v>
      </c>
      <c r="N155" s="90">
        <v>7985.93</v>
      </c>
      <c r="O155" s="74" t="s">
        <v>962</v>
      </c>
      <c r="P155" s="94" t="s">
        <v>963</v>
      </c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45863.0</v>
      </c>
      <c r="I156" s="68" t="s">
        <v>700</v>
      </c>
      <c r="J156" s="69">
        <v>1817.25</v>
      </c>
      <c r="K156" s="70" t="s">
        <v>155</v>
      </c>
      <c r="L156" s="71">
        <v>0.7513888888888889</v>
      </c>
      <c r="M156" s="72" t="s">
        <v>30</v>
      </c>
      <c r="N156" s="90">
        <v>1645.0</v>
      </c>
      <c r="O156" s="74" t="s">
        <v>964</v>
      </c>
      <c r="P156" s="75">
        <v>0.7625</v>
      </c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45863.0</v>
      </c>
      <c r="I157" s="68"/>
      <c r="J157" s="69"/>
      <c r="K157" s="87"/>
      <c r="L157" s="71"/>
      <c r="M157" s="72" t="s">
        <v>20</v>
      </c>
      <c r="N157" s="90">
        <v>450.0</v>
      </c>
      <c r="O157" s="74" t="s">
        <v>965</v>
      </c>
      <c r="P157" s="75">
        <v>0.83125</v>
      </c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45863.0</v>
      </c>
      <c r="I158" s="68"/>
      <c r="J158" s="69"/>
      <c r="K158" s="87"/>
      <c r="L158" s="71"/>
      <c r="M158" s="72" t="s">
        <v>75</v>
      </c>
      <c r="N158" s="90">
        <v>4720.0</v>
      </c>
      <c r="O158" s="74" t="s">
        <v>966</v>
      </c>
      <c r="P158" s="75">
        <v>0.8388888888888889</v>
      </c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45863.0</v>
      </c>
      <c r="I159" s="68"/>
      <c r="J159" s="69"/>
      <c r="K159" s="85"/>
      <c r="L159" s="71"/>
      <c r="M159" s="72" t="s">
        <v>827</v>
      </c>
      <c r="N159" s="90">
        <v>2328.88</v>
      </c>
      <c r="O159" s="74" t="s">
        <v>967</v>
      </c>
      <c r="P159" s="75">
        <v>0.9493055555555555</v>
      </c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45863.0</v>
      </c>
      <c r="I160" s="154"/>
      <c r="J160" s="17"/>
      <c r="K160" s="93"/>
      <c r="L160" s="155"/>
      <c r="M160" s="72" t="s">
        <v>840</v>
      </c>
      <c r="N160" s="90">
        <v>6116.0</v>
      </c>
      <c r="O160" s="74" t="s">
        <v>155</v>
      </c>
      <c r="P160" s="75">
        <v>0.9881944444444445</v>
      </c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45864.0</v>
      </c>
      <c r="I161" s="68" t="s">
        <v>819</v>
      </c>
      <c r="J161" s="69">
        <v>2448.0</v>
      </c>
      <c r="K161" s="93"/>
      <c r="L161" s="71">
        <v>0.002777777777777778</v>
      </c>
      <c r="M161" s="72"/>
      <c r="N161" s="90"/>
      <c r="O161" s="74"/>
      <c r="P161" s="75"/>
      <c r="Q161" s="41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45864.0</v>
      </c>
      <c r="I162" s="68" t="s">
        <v>861</v>
      </c>
      <c r="J162" s="69">
        <v>2280.0</v>
      </c>
      <c r="K162" s="70" t="s">
        <v>968</v>
      </c>
      <c r="L162" s="71">
        <v>0.03263888888888889</v>
      </c>
      <c r="M162" s="72"/>
      <c r="N162" s="90"/>
      <c r="O162" s="74"/>
      <c r="P162" s="75"/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45864.0</v>
      </c>
      <c r="I163" s="68"/>
      <c r="J163" s="69"/>
      <c r="K163" s="70"/>
      <c r="L163" s="71"/>
      <c r="M163" s="72" t="s">
        <v>47</v>
      </c>
      <c r="N163" s="90">
        <v>7457.46</v>
      </c>
      <c r="O163" s="74" t="s">
        <v>969</v>
      </c>
      <c r="P163" s="75">
        <v>0.5041666666666667</v>
      </c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45864.0</v>
      </c>
      <c r="I164" s="68"/>
      <c r="J164" s="69"/>
      <c r="K164" s="87"/>
      <c r="L164" s="71"/>
      <c r="M164" s="72" t="s">
        <v>75</v>
      </c>
      <c r="N164" s="90">
        <v>8050.0</v>
      </c>
      <c r="O164" s="74" t="s">
        <v>957</v>
      </c>
      <c r="P164" s="75">
        <v>0.6284722222222222</v>
      </c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45864.0</v>
      </c>
      <c r="I165" s="68"/>
      <c r="J165" s="69"/>
      <c r="K165" s="70"/>
      <c r="L165" s="71"/>
      <c r="M165" s="72" t="s">
        <v>706</v>
      </c>
      <c r="N165" s="90">
        <v>600.0</v>
      </c>
      <c r="O165" s="74" t="s">
        <v>970</v>
      </c>
      <c r="P165" s="94" t="s">
        <v>971</v>
      </c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45864.0</v>
      </c>
      <c r="I166" s="68" t="s">
        <v>673</v>
      </c>
      <c r="J166" s="69">
        <v>50000.0</v>
      </c>
      <c r="K166" s="87"/>
      <c r="L166" s="88" t="s">
        <v>972</v>
      </c>
      <c r="M166" s="147"/>
      <c r="N166" s="90"/>
      <c r="O166" s="126"/>
      <c r="P166" s="75"/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45865.0</v>
      </c>
      <c r="I167" s="68"/>
      <c r="J167" s="69"/>
      <c r="K167" s="70"/>
      <c r="L167" s="71"/>
      <c r="M167" s="72" t="s">
        <v>47</v>
      </c>
      <c r="N167" s="90">
        <v>17111.04</v>
      </c>
      <c r="O167" s="74" t="s">
        <v>973</v>
      </c>
      <c r="P167" s="75">
        <v>0.5027777777777778</v>
      </c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45865.0</v>
      </c>
      <c r="I168" s="84"/>
      <c r="J168" s="17"/>
      <c r="K168" s="85"/>
      <c r="L168" s="86"/>
      <c r="M168" s="72" t="s">
        <v>75</v>
      </c>
      <c r="N168" s="90">
        <v>5160.0</v>
      </c>
      <c r="O168" s="74" t="s">
        <v>974</v>
      </c>
      <c r="P168" s="75">
        <v>0.7631944444444444</v>
      </c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45865.0</v>
      </c>
      <c r="I169" s="84"/>
      <c r="J169" s="17"/>
      <c r="K169" s="85"/>
      <c r="L169" s="86"/>
      <c r="M169" s="72" t="s">
        <v>706</v>
      </c>
      <c r="N169" s="90">
        <v>550.0</v>
      </c>
      <c r="O169" s="74" t="s">
        <v>91</v>
      </c>
      <c r="P169" s="75">
        <v>0.8638888888888889</v>
      </c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45866.0</v>
      </c>
      <c r="I170" s="84"/>
      <c r="J170" s="17"/>
      <c r="K170" s="85"/>
      <c r="L170" s="86"/>
      <c r="M170" s="72" t="s">
        <v>47</v>
      </c>
      <c r="N170" s="90">
        <v>10713.33</v>
      </c>
      <c r="O170" s="74" t="s">
        <v>975</v>
      </c>
      <c r="P170" s="75">
        <v>0.5048611111111111</v>
      </c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45866.0</v>
      </c>
      <c r="I171" s="84"/>
      <c r="J171" s="17"/>
      <c r="K171" s="85"/>
      <c r="L171" s="86"/>
      <c r="M171" s="72" t="s">
        <v>469</v>
      </c>
      <c r="N171" s="90">
        <v>9951.14</v>
      </c>
      <c r="O171" s="74" t="s">
        <v>976</v>
      </c>
      <c r="P171" s="75">
        <v>0.5659722222222222</v>
      </c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45866.0</v>
      </c>
      <c r="I172" s="68" t="s">
        <v>485</v>
      </c>
      <c r="J172" s="69">
        <v>30000.0</v>
      </c>
      <c r="K172" s="87"/>
      <c r="L172" s="71">
        <v>0.5979166666666667</v>
      </c>
      <c r="M172" s="72" t="s">
        <v>20</v>
      </c>
      <c r="N172" s="90">
        <v>292.84</v>
      </c>
      <c r="O172" s="74" t="s">
        <v>977</v>
      </c>
      <c r="P172" s="75">
        <v>0.7215277777777778</v>
      </c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45866.0</v>
      </c>
      <c r="I173" s="68"/>
      <c r="J173" s="69"/>
      <c r="K173" s="70"/>
      <c r="L173" s="71"/>
      <c r="M173" s="72" t="s">
        <v>75</v>
      </c>
      <c r="N173" s="90">
        <v>3525.0</v>
      </c>
      <c r="O173" s="74" t="s">
        <v>978</v>
      </c>
      <c r="P173" s="75">
        <v>0.7243055555555555</v>
      </c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45867.0</v>
      </c>
      <c r="I174" s="68"/>
      <c r="J174" s="69"/>
      <c r="K174" s="70"/>
      <c r="L174" s="71"/>
      <c r="M174" s="72" t="s">
        <v>469</v>
      </c>
      <c r="N174" s="90">
        <v>22279.78</v>
      </c>
      <c r="O174" s="74" t="s">
        <v>979</v>
      </c>
      <c r="P174" s="75">
        <v>0.5854166666666667</v>
      </c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45867.0</v>
      </c>
      <c r="I175" s="84"/>
      <c r="J175" s="69"/>
      <c r="K175" s="87"/>
      <c r="L175" s="71"/>
      <c r="M175" s="72" t="s">
        <v>706</v>
      </c>
      <c r="N175" s="90">
        <v>550.0</v>
      </c>
      <c r="O175" s="74" t="s">
        <v>91</v>
      </c>
      <c r="P175" s="75">
        <v>0.5861111111111111</v>
      </c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45867.0</v>
      </c>
      <c r="I176" s="68" t="s">
        <v>681</v>
      </c>
      <c r="J176" s="69">
        <v>50000.0</v>
      </c>
      <c r="K176" s="85"/>
      <c r="L176" s="71">
        <v>0.6111111111111112</v>
      </c>
      <c r="M176" s="72"/>
      <c r="N176" s="90"/>
      <c r="O176" s="74"/>
      <c r="P176" s="75"/>
      <c r="Q176" s="41"/>
      <c r="R176" s="39"/>
      <c r="S176" s="125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>
        <v>45867.0</v>
      </c>
      <c r="I177" s="68" t="s">
        <v>865</v>
      </c>
      <c r="J177" s="69">
        <v>694.36</v>
      </c>
      <c r="K177" s="70" t="s">
        <v>155</v>
      </c>
      <c r="L177" s="71">
        <v>0.6138888888888889</v>
      </c>
      <c r="M177" s="72" t="s">
        <v>75</v>
      </c>
      <c r="N177" s="90">
        <v>5481.23</v>
      </c>
      <c r="O177" s="74" t="s">
        <v>980</v>
      </c>
      <c r="P177" s="75">
        <v>0.6444444444444445</v>
      </c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>
        <v>45867.0</v>
      </c>
      <c r="I178" s="68" t="s">
        <v>673</v>
      </c>
      <c r="J178" s="69">
        <v>29228.0</v>
      </c>
      <c r="K178" s="70" t="s">
        <v>981</v>
      </c>
      <c r="L178" s="71">
        <v>0.7194444444444444</v>
      </c>
      <c r="M178" s="72" t="s">
        <v>706</v>
      </c>
      <c r="N178" s="90">
        <v>550.0</v>
      </c>
      <c r="O178" s="74" t="s">
        <v>91</v>
      </c>
      <c r="P178" s="75">
        <v>0.7270833333333333</v>
      </c>
      <c r="Q178" s="41"/>
      <c r="R178" s="39"/>
      <c r="S178" s="76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>
        <v>45867.0</v>
      </c>
      <c r="I179" s="68"/>
      <c r="J179" s="69"/>
      <c r="K179" s="87"/>
      <c r="L179" s="71"/>
      <c r="M179" s="72" t="s">
        <v>75</v>
      </c>
      <c r="N179" s="90">
        <v>7475.0</v>
      </c>
      <c r="O179" s="74" t="s">
        <v>661</v>
      </c>
      <c r="P179" s="75">
        <v>0.9</v>
      </c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>
        <v>45867.0</v>
      </c>
      <c r="I180" s="84"/>
      <c r="J180" s="17"/>
      <c r="K180" s="85"/>
      <c r="L180" s="86"/>
      <c r="M180" s="72" t="s">
        <v>706</v>
      </c>
      <c r="N180" s="90">
        <v>2200.0</v>
      </c>
      <c r="O180" s="74" t="s">
        <v>982</v>
      </c>
      <c r="P180" s="75">
        <v>0.95</v>
      </c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>
        <v>45868.0</v>
      </c>
      <c r="I181" s="84"/>
      <c r="J181" s="17"/>
      <c r="K181" s="85"/>
      <c r="L181" s="86"/>
      <c r="M181" s="72" t="s">
        <v>827</v>
      </c>
      <c r="N181" s="90">
        <v>5845.38</v>
      </c>
      <c r="O181" s="74" t="s">
        <v>983</v>
      </c>
      <c r="P181" s="75">
        <v>0.49444444444444446</v>
      </c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>
        <v>45868.0</v>
      </c>
      <c r="I182" s="68" t="s">
        <v>864</v>
      </c>
      <c r="J182" s="69">
        <v>140.0</v>
      </c>
      <c r="K182" s="70" t="s">
        <v>155</v>
      </c>
      <c r="L182" s="71">
        <v>0.5451388888888888</v>
      </c>
      <c r="M182" s="72" t="s">
        <v>75</v>
      </c>
      <c r="N182" s="90">
        <v>5750.0</v>
      </c>
      <c r="O182" s="74" t="s">
        <v>984</v>
      </c>
      <c r="P182" s="75">
        <v>0.5486111111111112</v>
      </c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>
        <v>45868.0</v>
      </c>
      <c r="I183" s="68"/>
      <c r="J183" s="69"/>
      <c r="K183" s="87"/>
      <c r="L183" s="71"/>
      <c r="M183" s="72" t="s">
        <v>469</v>
      </c>
      <c r="N183" s="90">
        <v>2343.2</v>
      </c>
      <c r="O183" s="74" t="s">
        <v>985</v>
      </c>
      <c r="P183" s="75">
        <v>0.5743055555555555</v>
      </c>
      <c r="Q183" s="41"/>
      <c r="R183" s="39"/>
      <c r="S183" s="76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>
        <v>45868.0</v>
      </c>
      <c r="I184" s="68"/>
      <c r="J184" s="69"/>
      <c r="K184" s="87"/>
      <c r="L184" s="71"/>
      <c r="M184" s="72" t="s">
        <v>700</v>
      </c>
      <c r="N184" s="90">
        <v>570.0</v>
      </c>
      <c r="O184" s="74" t="s">
        <v>986</v>
      </c>
      <c r="P184" s="75">
        <v>0.6194444444444445</v>
      </c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>
        <v>45868.0</v>
      </c>
      <c r="I185" s="68"/>
      <c r="J185" s="69"/>
      <c r="K185" s="87"/>
      <c r="L185" s="71"/>
      <c r="M185" s="72" t="s">
        <v>75</v>
      </c>
      <c r="N185" s="90">
        <v>4178.962</v>
      </c>
      <c r="O185" s="74" t="s">
        <v>987</v>
      </c>
      <c r="P185" s="75">
        <v>0.7034722222222223</v>
      </c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>
        <v>45868.0</v>
      </c>
      <c r="I186" s="84"/>
      <c r="J186" s="17"/>
      <c r="K186" s="85"/>
      <c r="L186" s="86"/>
      <c r="M186" s="72" t="s">
        <v>672</v>
      </c>
      <c r="N186" s="90">
        <v>5600.0</v>
      </c>
      <c r="O186" s="74" t="s">
        <v>988</v>
      </c>
      <c r="P186" s="75">
        <v>0.7138888888888889</v>
      </c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>
        <v>45868.0</v>
      </c>
      <c r="I187" s="68" t="s">
        <v>670</v>
      </c>
      <c r="J187" s="69">
        <v>50000.0</v>
      </c>
      <c r="K187" s="85"/>
      <c r="L187" s="88" t="s">
        <v>989</v>
      </c>
      <c r="M187" s="72" t="s">
        <v>75</v>
      </c>
      <c r="N187" s="90">
        <v>8625.0</v>
      </c>
      <c r="O187" s="74" t="s">
        <v>990</v>
      </c>
      <c r="P187" s="75">
        <v>0.7784722222222222</v>
      </c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>
        <v>45868.0</v>
      </c>
      <c r="I188" s="84"/>
      <c r="J188" s="17"/>
      <c r="K188" s="85"/>
      <c r="L188" s="86"/>
      <c r="M188" s="72" t="s">
        <v>706</v>
      </c>
      <c r="N188" s="90">
        <v>1100.0</v>
      </c>
      <c r="O188" s="74" t="s">
        <v>991</v>
      </c>
      <c r="P188" s="75">
        <v>0.8319444444444445</v>
      </c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>
        <v>45868.0</v>
      </c>
      <c r="I189" s="84"/>
      <c r="J189" s="17"/>
      <c r="K189" s="85"/>
      <c r="L189" s="86"/>
      <c r="M189" s="72" t="s">
        <v>75</v>
      </c>
      <c r="N189" s="90">
        <v>4719.8</v>
      </c>
      <c r="O189" s="74" t="s">
        <v>992</v>
      </c>
      <c r="P189" s="75">
        <v>0.8340277777777778</v>
      </c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>
        <v>45869.0</v>
      </c>
      <c r="I190" s="84"/>
      <c r="J190" s="17"/>
      <c r="K190" s="85"/>
      <c r="L190" s="86"/>
      <c r="M190" s="72" t="s">
        <v>827</v>
      </c>
      <c r="N190" s="90">
        <v>2311.3</v>
      </c>
      <c r="O190" s="74" t="s">
        <v>993</v>
      </c>
      <c r="P190" s="75">
        <v>0.49444444444444446</v>
      </c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>
        <v>45869.0</v>
      </c>
      <c r="I191" s="68"/>
      <c r="J191" s="69"/>
      <c r="K191" s="87"/>
      <c r="L191" s="71"/>
      <c r="M191" s="72" t="s">
        <v>47</v>
      </c>
      <c r="N191" s="90">
        <v>10673.36</v>
      </c>
      <c r="O191" s="74" t="s">
        <v>994</v>
      </c>
      <c r="P191" s="75">
        <v>0.5430555555555555</v>
      </c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>
        <v>45869.0</v>
      </c>
      <c r="I192" s="68" t="s">
        <v>646</v>
      </c>
      <c r="J192" s="69">
        <v>9600.0</v>
      </c>
      <c r="K192" s="85"/>
      <c r="L192" s="71">
        <v>0.5916666666666667</v>
      </c>
      <c r="M192" s="72" t="s">
        <v>20</v>
      </c>
      <c r="N192" s="90">
        <v>209.0</v>
      </c>
      <c r="O192" s="74" t="s">
        <v>275</v>
      </c>
      <c r="P192" s="75">
        <v>0.6159722222222223</v>
      </c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>
        <v>45869.0</v>
      </c>
      <c r="I193" s="84"/>
      <c r="J193" s="17"/>
      <c r="K193" s="85"/>
      <c r="L193" s="86"/>
      <c r="M193" s="72" t="s">
        <v>75</v>
      </c>
      <c r="N193" s="90">
        <v>6900.0</v>
      </c>
      <c r="O193" s="74" t="s">
        <v>938</v>
      </c>
      <c r="P193" s="75">
        <v>0.6625</v>
      </c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>
        <v>45869.0</v>
      </c>
      <c r="I194" s="84"/>
      <c r="J194" s="17"/>
      <c r="K194" s="85"/>
      <c r="L194" s="86"/>
      <c r="M194" s="72" t="s">
        <v>75</v>
      </c>
      <c r="N194" s="90">
        <v>4205.0</v>
      </c>
      <c r="O194" s="74" t="s">
        <v>995</v>
      </c>
      <c r="P194" s="75">
        <v>0.7784722222222222</v>
      </c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>
        <v>45869.0</v>
      </c>
      <c r="I195" s="68" t="s">
        <v>485</v>
      </c>
      <c r="J195" s="69">
        <v>50000.0</v>
      </c>
      <c r="K195" s="85"/>
      <c r="L195" s="71">
        <v>0.7881944444444444</v>
      </c>
      <c r="M195" s="72" t="s">
        <v>75</v>
      </c>
      <c r="N195" s="90">
        <v>4025.0</v>
      </c>
      <c r="O195" s="74" t="s">
        <v>914</v>
      </c>
      <c r="P195" s="75">
        <v>0.8694444444444445</v>
      </c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>
        <v>45869.0</v>
      </c>
      <c r="I196" s="84" t="s">
        <v>681</v>
      </c>
      <c r="J196" s="69">
        <v>30000.0</v>
      </c>
      <c r="K196" s="85"/>
      <c r="L196" s="71">
        <v>0.94375</v>
      </c>
      <c r="M196" s="72" t="s">
        <v>75</v>
      </c>
      <c r="N196" s="90">
        <v>5750.0</v>
      </c>
      <c r="O196" s="74" t="s">
        <v>984</v>
      </c>
      <c r="P196" s="75">
        <v>0.9791666666666666</v>
      </c>
      <c r="Q196" s="125" t="s">
        <v>136</v>
      </c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56"/>
      <c r="I197" s="157"/>
      <c r="J197" s="158"/>
      <c r="K197" s="159"/>
      <c r="L197" s="160"/>
      <c r="M197" s="161"/>
      <c r="N197" s="162"/>
      <c r="O197" s="163"/>
      <c r="P197" s="164"/>
      <c r="Q197" s="41"/>
      <c r="R197" s="39"/>
      <c r="S197" s="165"/>
      <c r="T197" s="165"/>
      <c r="U197" s="165"/>
      <c r="V197" s="165"/>
      <c r="W197" s="165"/>
      <c r="X197" s="166"/>
      <c r="Y197" s="167"/>
      <c r="Z197" s="167"/>
      <c r="AA197" s="167"/>
      <c r="AB197" s="167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28:AB28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9"/>
      <c r="B1" s="2"/>
      <c r="C1" s="3" t="s">
        <v>996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997</v>
      </c>
      <c r="D4" s="21"/>
      <c r="E4" s="20"/>
      <c r="F4" s="21"/>
      <c r="G4" s="23" t="s">
        <v>998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2479.45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462600.0926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999</v>
      </c>
      <c r="D7" s="54" t="s">
        <v>16</v>
      </c>
      <c r="E7" s="29"/>
      <c r="F7" s="30"/>
      <c r="G7" s="55">
        <v>1.0</v>
      </c>
      <c r="H7" s="56">
        <v>45809.0</v>
      </c>
      <c r="I7" s="57" t="s">
        <v>1000</v>
      </c>
      <c r="J7" s="58">
        <f>'2025年5月收支财务报表'!C13</f>
        <v>396123.0002</v>
      </c>
      <c r="K7" s="59"/>
      <c r="L7" s="60"/>
      <c r="M7" s="61"/>
      <c r="N7" s="62"/>
      <c r="O7" s="63"/>
      <c r="P7" s="64"/>
      <c r="Q7" s="41"/>
      <c r="R7" s="39"/>
      <c r="S7" s="25">
        <f>SUMIF(M:M,"深圳芳林子",N:N)</f>
        <v>314138.57</v>
      </c>
      <c r="T7" s="101" t="s">
        <v>469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45809.0</v>
      </c>
      <c r="I8" s="68" t="s">
        <v>1001</v>
      </c>
      <c r="J8" s="69">
        <v>30800.0</v>
      </c>
      <c r="K8" s="70"/>
      <c r="L8" s="71">
        <v>0.6597222222222222</v>
      </c>
      <c r="M8" s="80"/>
      <c r="N8" s="90"/>
      <c r="O8" s="74"/>
      <c r="P8" s="75"/>
      <c r="Q8" s="41"/>
      <c r="R8" s="39"/>
      <c r="S8" s="25">
        <f>SUMIF(M:M,"海总-MC开户对接群（果果）",N:N)</f>
        <v>6711.28</v>
      </c>
      <c r="T8" s="101" t="s">
        <v>1002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965658.5002</v>
      </c>
      <c r="D9" s="30"/>
      <c r="E9" s="29"/>
      <c r="F9" s="30"/>
      <c r="G9" s="66">
        <v>3.0</v>
      </c>
      <c r="H9" s="67">
        <v>45809.0</v>
      </c>
      <c r="I9" s="68" t="s">
        <v>1003</v>
      </c>
      <c r="J9" s="69">
        <v>2295.0</v>
      </c>
      <c r="K9" s="70" t="s">
        <v>1004</v>
      </c>
      <c r="L9" s="71">
        <v>0.66875</v>
      </c>
      <c r="M9" s="72"/>
      <c r="N9" s="90"/>
      <c r="O9" s="74"/>
      <c r="P9" s="75"/>
      <c r="Q9" s="41"/>
      <c r="R9" s="39"/>
      <c r="S9" s="25">
        <f>SUMIF(M:M,"十月二不限——（泰华）",N:N)</f>
        <v>13192.75</v>
      </c>
      <c r="T9" s="101" t="s">
        <v>69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45809.0</v>
      </c>
      <c r="I10" s="68" t="s">
        <v>819</v>
      </c>
      <c r="J10" s="69">
        <v>5856.0</v>
      </c>
      <c r="K10" s="70"/>
      <c r="L10" s="71">
        <v>0.9423611111111111</v>
      </c>
      <c r="M10" s="72"/>
      <c r="N10" s="90"/>
      <c r="O10" s="74"/>
      <c r="P10" s="75"/>
      <c r="Q10" s="41"/>
      <c r="R10" s="39"/>
      <c r="S10" s="25">
        <f>SUMIF(M:M,"印度企业户 欧洲美金户",N:N)</f>
        <v>4743.13</v>
      </c>
      <c r="T10" s="101" t="s">
        <v>339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826976.0326</v>
      </c>
      <c r="D11" s="30"/>
      <c r="E11" s="29"/>
      <c r="F11" s="30"/>
      <c r="G11" s="66">
        <v>5.0</v>
      </c>
      <c r="H11" s="67">
        <v>45810.0</v>
      </c>
      <c r="I11" s="84"/>
      <c r="J11" s="17"/>
      <c r="K11" s="85"/>
      <c r="L11" s="86"/>
      <c r="M11" s="72" t="s">
        <v>14</v>
      </c>
      <c r="N11" s="90">
        <v>178255.35</v>
      </c>
      <c r="O11" s="74" t="s">
        <v>1005</v>
      </c>
      <c r="P11" s="75">
        <v>0.4215277777777778</v>
      </c>
      <c r="Q11" s="41"/>
      <c r="R11" s="39"/>
      <c r="S11" s="25">
        <f>SUMIF(M:M,"凤凰渠道-泰华",N:N)</f>
        <v>3896.76</v>
      </c>
      <c r="T11" s="101" t="s">
        <v>75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45810.0</v>
      </c>
      <c r="I12" s="68"/>
      <c r="J12" s="69"/>
      <c r="K12" s="87"/>
      <c r="L12" s="71"/>
      <c r="M12" s="72" t="s">
        <v>469</v>
      </c>
      <c r="N12" s="90">
        <v>3945.99</v>
      </c>
      <c r="O12" s="74" t="s">
        <v>1006</v>
      </c>
      <c r="P12" s="75">
        <v>0.4895833333333333</v>
      </c>
      <c r="Q12" s="41"/>
      <c r="R12" s="39"/>
      <c r="S12" s="25">
        <f>SUMIF(M:M,"泰华&amp;ME-FB海外户对接群",N:N)</f>
        <v>3603.2</v>
      </c>
      <c r="T12" s="26" t="s">
        <v>866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138682.4676</v>
      </c>
      <c r="D13" s="30"/>
      <c r="E13" s="29"/>
      <c r="F13" s="30"/>
      <c r="G13" s="66">
        <v>7.0</v>
      </c>
      <c r="H13" s="67">
        <v>45810.0</v>
      </c>
      <c r="I13" s="68" t="s">
        <v>1007</v>
      </c>
      <c r="J13" s="69">
        <v>50400.0</v>
      </c>
      <c r="K13" s="70"/>
      <c r="L13" s="71">
        <v>0.60625</v>
      </c>
      <c r="M13" s="72"/>
      <c r="N13" s="90"/>
      <c r="O13" s="74"/>
      <c r="P13" s="75"/>
      <c r="Q13" s="125"/>
      <c r="R13" s="39"/>
      <c r="S13" s="25">
        <f>SUMIF(M:M,"黑泽-欧洲户对接",N:N)</f>
        <v>2505.8</v>
      </c>
      <c r="T13" s="101" t="s">
        <v>867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45811.0</v>
      </c>
      <c r="I14" s="84"/>
      <c r="J14" s="17"/>
      <c r="K14" s="85"/>
      <c r="L14" s="86"/>
      <c r="M14" s="72" t="s">
        <v>20</v>
      </c>
      <c r="N14" s="90">
        <v>208.21</v>
      </c>
      <c r="O14" s="74" t="s">
        <v>275</v>
      </c>
      <c r="P14" s="75">
        <v>0.44583333333333336</v>
      </c>
      <c r="Q14" s="41"/>
      <c r="R14" s="39"/>
      <c r="S14" s="25">
        <f>SUMIF(M:M,"开户美国三不限户",N:N)</f>
        <v>1170</v>
      </c>
      <c r="T14" s="101" t="s">
        <v>865</v>
      </c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45811.0</v>
      </c>
      <c r="I15" s="68"/>
      <c r="J15" s="69"/>
      <c r="K15" s="87"/>
      <c r="L15" s="71"/>
      <c r="M15" s="72" t="s">
        <v>469</v>
      </c>
      <c r="N15" s="90">
        <v>16665.0</v>
      </c>
      <c r="O15" s="74" t="s">
        <v>1008</v>
      </c>
      <c r="P15" s="75">
        <v>0.4625</v>
      </c>
      <c r="Q15" s="41"/>
      <c r="R15" s="39"/>
      <c r="S15" s="25">
        <f>SUMIF(M:M,"济宁韦宁&amp;香港有意思 二不限 3%",N:N)</f>
        <v>520</v>
      </c>
      <c r="T15" s="101" t="s">
        <v>702</v>
      </c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45811.0</v>
      </c>
      <c r="I16" s="68" t="s">
        <v>1001</v>
      </c>
      <c r="J16" s="69">
        <v>31444.0</v>
      </c>
      <c r="K16" s="70" t="s">
        <v>981</v>
      </c>
      <c r="L16" s="71">
        <v>0.5951388888888889</v>
      </c>
      <c r="M16" s="72"/>
      <c r="N16" s="90"/>
      <c r="O16" s="74"/>
      <c r="P16" s="75"/>
      <c r="Q16" s="41"/>
      <c r="R16" s="39"/>
      <c r="S16" s="25">
        <f>SUMIF(M:M,"海总新渠道 10+1",N:N)</f>
        <v>1110</v>
      </c>
      <c r="T16" s="101" t="s">
        <v>700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45811.0</v>
      </c>
      <c r="I17" s="68" t="s">
        <v>819</v>
      </c>
      <c r="J17" s="69">
        <v>840.0</v>
      </c>
      <c r="K17" s="92"/>
      <c r="L17" s="88">
        <v>14.31</v>
      </c>
      <c r="M17" s="72"/>
      <c r="N17" s="90"/>
      <c r="O17" s="74"/>
      <c r="P17" s="75"/>
      <c r="Q17" s="41"/>
      <c r="R17" s="39"/>
      <c r="S17" s="25">
        <f>SUMIF(M:M,"ALEX&amp;西班牙",N:N)</f>
        <v>1275</v>
      </c>
      <c r="T17" s="101" t="s">
        <v>1009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45811.0</v>
      </c>
      <c r="I18" s="68" t="s">
        <v>1003</v>
      </c>
      <c r="J18" s="69">
        <v>405.0</v>
      </c>
      <c r="K18" s="70" t="s">
        <v>1010</v>
      </c>
      <c r="L18" s="71">
        <v>0.70625</v>
      </c>
      <c r="M18" s="72" t="s">
        <v>469</v>
      </c>
      <c r="N18" s="90">
        <v>11204.01</v>
      </c>
      <c r="O18" s="74" t="s">
        <v>1011</v>
      </c>
      <c r="P18" s="75">
        <v>0.70625</v>
      </c>
      <c r="Q18" s="41"/>
      <c r="R18" s="39"/>
      <c r="S18" s="25">
        <f>SUMIF(M:M,"老傅渠道",N:N)</f>
        <v>6630</v>
      </c>
      <c r="T18" s="101" t="s">
        <v>864</v>
      </c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45811.0</v>
      </c>
      <c r="I19" s="68" t="s">
        <v>846</v>
      </c>
      <c r="J19" s="69">
        <v>6500.0</v>
      </c>
      <c r="K19" s="93"/>
      <c r="L19" s="71">
        <v>0.9291666666666667</v>
      </c>
      <c r="M19" s="72"/>
      <c r="N19" s="90"/>
      <c r="O19" s="74"/>
      <c r="P19" s="75"/>
      <c r="Q19" s="41"/>
      <c r="R19" s="39"/>
      <c r="S19" s="25">
        <f>SUMIF(M:M,"印度006对接—henry",N:N)</f>
        <v>2400</v>
      </c>
      <c r="T19" s="168" t="s">
        <v>1012</v>
      </c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45812.0</v>
      </c>
      <c r="I20" s="68"/>
      <c r="J20" s="69"/>
      <c r="K20" s="70"/>
      <c r="L20" s="71"/>
      <c r="M20" s="72" t="s">
        <v>469</v>
      </c>
      <c r="N20" s="90">
        <v>16665.0</v>
      </c>
      <c r="O20" s="74" t="s">
        <v>1008</v>
      </c>
      <c r="P20" s="75">
        <v>0.45416666666666666</v>
      </c>
      <c r="Q20" s="41"/>
      <c r="R20" s="39"/>
      <c r="S20" s="103">
        <f>SUM(S4:S19)</f>
        <v>826976.0326</v>
      </c>
      <c r="T20" s="169"/>
      <c r="U20" s="76"/>
      <c r="V20" s="40"/>
      <c r="W20" s="76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965658.5002</v>
      </c>
      <c r="D21" s="30"/>
      <c r="E21" s="29"/>
      <c r="F21" s="30"/>
      <c r="G21" s="66">
        <v>15.0</v>
      </c>
      <c r="H21" s="67">
        <v>45812.0</v>
      </c>
      <c r="I21" s="68"/>
      <c r="J21" s="69"/>
      <c r="K21" s="70"/>
      <c r="L21" s="71"/>
      <c r="M21" s="72" t="s">
        <v>1002</v>
      </c>
      <c r="N21" s="90">
        <v>505.0</v>
      </c>
      <c r="O21" s="74" t="s">
        <v>127</v>
      </c>
      <c r="P21" s="94" t="s">
        <v>1013</v>
      </c>
      <c r="Q21" s="41"/>
      <c r="R21" s="39"/>
      <c r="S21" s="170"/>
      <c r="T21" s="171"/>
      <c r="U21" s="76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45812.0</v>
      </c>
      <c r="I22" s="68"/>
      <c r="J22" s="17"/>
      <c r="K22" s="93"/>
      <c r="L22" s="155"/>
      <c r="M22" s="72" t="s">
        <v>69</v>
      </c>
      <c r="N22" s="90">
        <v>838.89</v>
      </c>
      <c r="O22" s="74" t="s">
        <v>1014</v>
      </c>
      <c r="P22" s="75">
        <v>0.8881944444444444</v>
      </c>
      <c r="Q22" s="41"/>
      <c r="R22" s="39"/>
      <c r="S22" s="106" t="s">
        <v>97</v>
      </c>
      <c r="T22" s="107"/>
      <c r="U22" s="107"/>
      <c r="V22" s="107"/>
      <c r="W22" s="107"/>
      <c r="X22" s="107"/>
      <c r="Y22" s="107"/>
      <c r="Z22" s="107"/>
      <c r="AA22" s="107"/>
      <c r="AB22" s="108"/>
    </row>
    <row r="23" ht="27.75" customHeight="1">
      <c r="A23" s="29"/>
      <c r="B23" s="30"/>
      <c r="C23" s="79">
        <f>SUMIFS(N:N,H:H,"&gt;="&amp;$C$17,H:H,"&lt;="&amp;$C$19)</f>
        <v>826976.0326</v>
      </c>
      <c r="D23" s="30"/>
      <c r="E23" s="29"/>
      <c r="F23" s="30"/>
      <c r="G23" s="66">
        <v>17.0</v>
      </c>
      <c r="H23" s="67">
        <v>45813.0</v>
      </c>
      <c r="I23" s="68" t="s">
        <v>1015</v>
      </c>
      <c r="J23" s="69">
        <v>270.0</v>
      </c>
      <c r="K23" s="70"/>
      <c r="L23" s="71">
        <v>0.5569444444444445</v>
      </c>
      <c r="M23" s="72" t="s">
        <v>339</v>
      </c>
      <c r="N23" s="90">
        <v>560.0</v>
      </c>
      <c r="O23" s="74" t="s">
        <v>1016</v>
      </c>
      <c r="P23" s="75">
        <v>0.5895833333333333</v>
      </c>
      <c r="Q23" s="41"/>
      <c r="R23" s="39"/>
      <c r="S23" s="40"/>
      <c r="T23" s="40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45813.0</v>
      </c>
      <c r="I24" s="68"/>
      <c r="J24" s="69"/>
      <c r="K24" s="85"/>
      <c r="L24" s="86"/>
      <c r="M24" s="72" t="s">
        <v>14</v>
      </c>
      <c r="N24" s="19">
        <v>13932.31255440911</v>
      </c>
      <c r="O24" s="74" t="s">
        <v>117</v>
      </c>
      <c r="P24" s="75">
        <v>0.6076388888888888</v>
      </c>
      <c r="Q24" s="41"/>
      <c r="R24" s="39"/>
      <c r="S24" s="109">
        <f>SUMIF(I:I,"白马2期",J:J)</f>
        <v>97636</v>
      </c>
      <c r="T24" s="26" t="s">
        <v>1001</v>
      </c>
      <c r="U24" s="76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138682.4676</v>
      </c>
      <c r="D25" s="30"/>
      <c r="E25" s="29"/>
      <c r="F25" s="30"/>
      <c r="G25" s="66">
        <v>19.0</v>
      </c>
      <c r="H25" s="67">
        <v>45813.0</v>
      </c>
      <c r="I25" s="68"/>
      <c r="J25" s="69"/>
      <c r="K25" s="70"/>
      <c r="L25" s="71"/>
      <c r="M25" s="72" t="s">
        <v>14</v>
      </c>
      <c r="N25" s="19">
        <v>8083.98</v>
      </c>
      <c r="O25" s="74" t="s">
        <v>117</v>
      </c>
      <c r="P25" s="75">
        <v>0.6097222222222223</v>
      </c>
      <c r="Q25" s="41"/>
      <c r="R25" s="39"/>
      <c r="S25" s="109">
        <f>SUMIF(I:I,"德国 张总（王总）",J:J)</f>
        <v>2700</v>
      </c>
      <c r="T25" s="26" t="s">
        <v>1003</v>
      </c>
      <c r="U25" s="76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45813.0</v>
      </c>
      <c r="I26" s="68"/>
      <c r="J26" s="69"/>
      <c r="K26" s="70"/>
      <c r="L26" s="71"/>
      <c r="M26" s="72" t="s">
        <v>14</v>
      </c>
      <c r="N26" s="19">
        <v>9207.07888888889</v>
      </c>
      <c r="O26" s="74" t="s">
        <v>117</v>
      </c>
      <c r="P26" s="75">
        <v>0.6097222222222223</v>
      </c>
      <c r="R26" s="39"/>
      <c r="S26" s="109">
        <f>SUMIF(I:I,"拉总（印度）24",J:J)</f>
        <v>114504</v>
      </c>
      <c r="T26" s="26" t="s">
        <v>819</v>
      </c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45813.0</v>
      </c>
      <c r="I27" s="68"/>
      <c r="J27" s="69"/>
      <c r="K27" s="70"/>
      <c r="L27" s="71"/>
      <c r="M27" s="72" t="s">
        <v>14</v>
      </c>
      <c r="N27" s="19">
        <v>778.3663663663656</v>
      </c>
      <c r="O27" s="74" t="s">
        <v>117</v>
      </c>
      <c r="P27" s="75">
        <v>0.6118055555555556</v>
      </c>
      <c r="Q27" s="41"/>
      <c r="R27" s="39"/>
      <c r="S27" s="109">
        <f>SUMIF(I:I,"白马3期",J:J)</f>
        <v>166292</v>
      </c>
      <c r="T27" s="26" t="s">
        <v>1007</v>
      </c>
      <c r="U27" s="76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45813.0</v>
      </c>
      <c r="I28" s="68"/>
      <c r="J28" s="69"/>
      <c r="K28" s="70"/>
      <c r="L28" s="71"/>
      <c r="M28" s="72" t="s">
        <v>14</v>
      </c>
      <c r="N28" s="19">
        <v>8531.916111111112</v>
      </c>
      <c r="O28" s="74" t="s">
        <v>117</v>
      </c>
      <c r="P28" s="75">
        <v>0.6131944444444445</v>
      </c>
      <c r="Q28" s="41"/>
      <c r="R28" s="39"/>
      <c r="S28" s="109">
        <f>SUMIF(I:I,"渠道BF 德国B",J:J)</f>
        <v>6500</v>
      </c>
      <c r="T28" s="26" t="s">
        <v>846</v>
      </c>
      <c r="U28" s="76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45813.0</v>
      </c>
      <c r="I29" s="68"/>
      <c r="J29" s="69"/>
      <c r="K29" s="85"/>
      <c r="L29" s="86"/>
      <c r="M29" s="72" t="s">
        <v>14</v>
      </c>
      <c r="N29" s="19">
        <v>910.9009009009003</v>
      </c>
      <c r="O29" s="74" t="s">
        <v>117</v>
      </c>
      <c r="P29" s="75">
        <v>0.6145833333333334</v>
      </c>
      <c r="R29" s="39"/>
      <c r="S29" s="109">
        <f>SUMIF(I:I,"海哥-奥地利",J:J)</f>
        <v>3870</v>
      </c>
      <c r="T29" s="26" t="s">
        <v>1015</v>
      </c>
      <c r="U29" s="7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45813.0</v>
      </c>
      <c r="I30" s="68"/>
      <c r="J30" s="69"/>
      <c r="K30" s="85"/>
      <c r="L30" s="86"/>
      <c r="M30" s="72" t="s">
        <v>14</v>
      </c>
      <c r="N30" s="19">
        <v>7253.8711111111115</v>
      </c>
      <c r="O30" s="74" t="s">
        <v>117</v>
      </c>
      <c r="P30" s="75">
        <v>0.6159722222222223</v>
      </c>
      <c r="R30" s="39"/>
      <c r="S30" s="109">
        <f>SUMIF(I:I,"印度十期",J:J)</f>
        <v>50000</v>
      </c>
      <c r="T30" s="26" t="s">
        <v>1017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45813.0</v>
      </c>
      <c r="I31" s="68"/>
      <c r="J31" s="69"/>
      <c r="K31" s="70"/>
      <c r="L31" s="88"/>
      <c r="M31" s="72" t="s">
        <v>14</v>
      </c>
      <c r="N31" s="19">
        <v>667.5555555555555</v>
      </c>
      <c r="O31" s="74" t="s">
        <v>117</v>
      </c>
      <c r="P31" s="75">
        <v>0.6166666666666667</v>
      </c>
      <c r="Q31" s="41"/>
      <c r="R31" s="39"/>
      <c r="S31" s="109">
        <f>SUMIF(I:I,"印度11期",J:J)</f>
        <v>100000</v>
      </c>
      <c r="T31" s="26" t="s">
        <v>1018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45813.0</v>
      </c>
      <c r="I32" s="84"/>
      <c r="J32" s="17"/>
      <c r="K32" s="85"/>
      <c r="L32" s="86"/>
      <c r="M32" s="72" t="s">
        <v>14</v>
      </c>
      <c r="N32" s="19">
        <v>555.5555555555555</v>
      </c>
      <c r="O32" s="74" t="s">
        <v>117</v>
      </c>
      <c r="P32" s="75">
        <v>0.6173611111111111</v>
      </c>
      <c r="Q32" s="41"/>
      <c r="R32" s="39"/>
      <c r="S32" s="109">
        <f>SUMIF(I:I,"蟑螂哥西班牙渠道（3梯队）",J:J)</f>
        <v>100</v>
      </c>
      <c r="T32" s="26" t="s">
        <v>1019</v>
      </c>
      <c r="U32" s="76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45813.0</v>
      </c>
      <c r="I33" s="154"/>
      <c r="J33" s="69"/>
      <c r="K33" s="70"/>
      <c r="L33" s="71"/>
      <c r="M33" s="72" t="s">
        <v>14</v>
      </c>
      <c r="N33" s="19">
        <v>555.5555555555555</v>
      </c>
      <c r="O33" s="74" t="s">
        <v>117</v>
      </c>
      <c r="P33" s="75">
        <v>0.6180555555555556</v>
      </c>
      <c r="Q33" s="41"/>
      <c r="R33" s="39"/>
      <c r="S33" s="109">
        <f>SUMIF(I:I,"德国股票粉（2）组【张小强】",J:J)</f>
        <v>13549.5</v>
      </c>
      <c r="T33" s="26" t="s">
        <v>821</v>
      </c>
      <c r="U33" s="76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45813.0</v>
      </c>
      <c r="I34" s="154"/>
      <c r="J34" s="69"/>
      <c r="K34" s="87"/>
      <c r="L34" s="71"/>
      <c r="M34" s="72" t="s">
        <v>14</v>
      </c>
      <c r="N34" s="19">
        <v>1000.0</v>
      </c>
      <c r="O34" s="74" t="s">
        <v>117</v>
      </c>
      <c r="P34" s="75">
        <v>0.6194444444444445</v>
      </c>
      <c r="Q34" s="41"/>
      <c r="R34" s="39"/>
      <c r="S34" s="109">
        <f>SUMIF(I:I,"ALEX&amp;西班牙",J:J)</f>
        <v>1700</v>
      </c>
      <c r="T34" s="26" t="s">
        <v>1009</v>
      </c>
      <c r="U34" s="76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45813.0</v>
      </c>
      <c r="I35" s="68"/>
      <c r="J35" s="69"/>
      <c r="K35" s="85"/>
      <c r="L35" s="71"/>
      <c r="M35" s="72" t="s">
        <v>14</v>
      </c>
      <c r="N35" s="19">
        <v>5000.0</v>
      </c>
      <c r="O35" s="74" t="s">
        <v>117</v>
      </c>
      <c r="P35" s="75">
        <v>0.6201388888888889</v>
      </c>
      <c r="Q35" s="41"/>
      <c r="R35" s="39"/>
      <c r="S35" s="109">
        <f>SUMIF(I:I,"德国蟑螂哥渠道",J:J)</f>
        <v>8700</v>
      </c>
      <c r="T35" s="26" t="s">
        <v>836</v>
      </c>
      <c r="U35" s="76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45813.0</v>
      </c>
      <c r="I36" s="84"/>
      <c r="J36" s="17"/>
      <c r="K36" s="85"/>
      <c r="L36" s="86"/>
      <c r="M36" s="72" t="s">
        <v>14</v>
      </c>
      <c r="N36" s="90">
        <v>39612.3</v>
      </c>
      <c r="O36" s="74" t="s">
        <v>1020</v>
      </c>
      <c r="P36" s="75">
        <v>0.6263888888888889</v>
      </c>
      <c r="Q36" s="41"/>
      <c r="R36" s="39"/>
      <c r="S36" s="109">
        <f>SUMIF(I:I,"GT海总欧洲金融户20+9+1",J:J)</f>
        <v>424</v>
      </c>
      <c r="T36" s="101" t="s">
        <v>1021</v>
      </c>
      <c r="U36" s="76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45813.0</v>
      </c>
      <c r="I37" s="68"/>
      <c r="J37" s="69"/>
      <c r="K37" s="85"/>
      <c r="L37" s="86"/>
      <c r="M37" s="72" t="s">
        <v>69</v>
      </c>
      <c r="N37" s="90">
        <v>1031.0</v>
      </c>
      <c r="O37" s="74" t="s">
        <v>1022</v>
      </c>
      <c r="P37" s="75">
        <v>0.9451388888888889</v>
      </c>
      <c r="Q37" s="41"/>
      <c r="R37" s="39"/>
      <c r="S37" s="109">
        <f>SUMIF(I:I,"GT-HY&amp;papa 二不限",J:J)</f>
        <v>1360</v>
      </c>
      <c r="T37" s="101" t="s">
        <v>1023</v>
      </c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45814.0</v>
      </c>
      <c r="I38" s="68"/>
      <c r="J38" s="69"/>
      <c r="K38" s="85"/>
      <c r="L38" s="86"/>
      <c r="M38" s="72" t="s">
        <v>20</v>
      </c>
      <c r="N38" s="90">
        <v>36.0</v>
      </c>
      <c r="O38" s="74" t="s">
        <v>21</v>
      </c>
      <c r="P38" s="75">
        <v>0.5034722222222222</v>
      </c>
      <c r="Q38" s="41"/>
      <c r="R38" s="39"/>
      <c r="S38" s="109">
        <f>SUMIF(I:I,"老傅渠道",J:J)</f>
        <v>2200</v>
      </c>
      <c r="T38" s="101" t="s">
        <v>864</v>
      </c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45814.0</v>
      </c>
      <c r="I39" s="68" t="s">
        <v>1015</v>
      </c>
      <c r="J39" s="69">
        <v>270.0</v>
      </c>
      <c r="K39" s="70"/>
      <c r="L39" s="71">
        <v>0.5131944444444444</v>
      </c>
      <c r="M39" s="72" t="s">
        <v>469</v>
      </c>
      <c r="N39" s="90">
        <v>16210.02</v>
      </c>
      <c r="O39" s="74" t="s">
        <v>1024</v>
      </c>
      <c r="P39" s="75">
        <v>0.5673611111111111</v>
      </c>
      <c r="Q39" s="41"/>
      <c r="R39" s="39"/>
      <c r="S39" s="117">
        <f>J7</f>
        <v>396123.0002</v>
      </c>
      <c r="T39" s="26" t="s">
        <v>1000</v>
      </c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45814.0</v>
      </c>
      <c r="I40" s="68"/>
      <c r="J40" s="69"/>
      <c r="K40" s="70"/>
      <c r="L40" s="88"/>
      <c r="M40" s="72" t="s">
        <v>339</v>
      </c>
      <c r="N40" s="90">
        <v>560.0</v>
      </c>
      <c r="O40" s="74" t="s">
        <v>1016</v>
      </c>
      <c r="P40" s="75">
        <v>0.9131944444444444</v>
      </c>
      <c r="Q40" s="41"/>
      <c r="R40" s="39"/>
      <c r="S40" s="40">
        <f>SUM(S24:S39)</f>
        <v>965658.5002</v>
      </c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45814.0</v>
      </c>
      <c r="I41" s="68"/>
      <c r="J41" s="69"/>
      <c r="K41" s="70"/>
      <c r="L41" s="88"/>
      <c r="M41" s="72" t="s">
        <v>75</v>
      </c>
      <c r="N41" s="90">
        <v>1911.0</v>
      </c>
      <c r="O41" s="74" t="s">
        <v>1025</v>
      </c>
      <c r="P41" s="75">
        <v>0.9145833333333333</v>
      </c>
      <c r="Q41" s="41"/>
      <c r="R41" s="39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45815.0</v>
      </c>
      <c r="I42" s="68" t="s">
        <v>819</v>
      </c>
      <c r="J42" s="69">
        <v>11040.0</v>
      </c>
      <c r="K42" s="70"/>
      <c r="L42" s="71">
        <v>0.5597222222222222</v>
      </c>
      <c r="M42" s="72"/>
      <c r="N42" s="90"/>
      <c r="O42" s="74"/>
      <c r="P42" s="75"/>
      <c r="Q42" s="41"/>
      <c r="R42" s="39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45815.0</v>
      </c>
      <c r="I43" s="68" t="s">
        <v>1015</v>
      </c>
      <c r="J43" s="69">
        <v>180.0</v>
      </c>
      <c r="K43" s="87"/>
      <c r="L43" s="71">
        <v>0.5888888888888889</v>
      </c>
      <c r="M43" s="72" t="s">
        <v>469</v>
      </c>
      <c r="N43" s="90">
        <v>11110.0</v>
      </c>
      <c r="O43" s="74" t="s">
        <v>1026</v>
      </c>
      <c r="P43" s="75">
        <v>0.6965277777777777</v>
      </c>
      <c r="Q43" s="41"/>
      <c r="R43" s="39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45815.0</v>
      </c>
      <c r="I44" s="68" t="s">
        <v>1007</v>
      </c>
      <c r="J44" s="69">
        <v>50000.0</v>
      </c>
      <c r="K44" s="85"/>
      <c r="L44" s="71">
        <v>0.7916666666666666</v>
      </c>
      <c r="M44" s="72"/>
      <c r="N44" s="90"/>
      <c r="O44" s="74"/>
      <c r="P44" s="75"/>
      <c r="Q44" s="41"/>
      <c r="R44" s="39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45816.0</v>
      </c>
      <c r="I45" s="68"/>
      <c r="J45" s="69"/>
      <c r="K45" s="85"/>
      <c r="L45" s="71"/>
      <c r="M45" s="72" t="s">
        <v>69</v>
      </c>
      <c r="N45" s="90">
        <v>1259.26</v>
      </c>
      <c r="O45" s="74" t="s">
        <v>1027</v>
      </c>
      <c r="P45" s="75">
        <v>0.8701388888888889</v>
      </c>
      <c r="Q45" s="41"/>
      <c r="R45" s="39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45817.0</v>
      </c>
      <c r="I46" s="84"/>
      <c r="J46" s="17"/>
      <c r="K46" s="85"/>
      <c r="L46" s="86"/>
      <c r="M46" s="72" t="s">
        <v>469</v>
      </c>
      <c r="N46" s="90">
        <v>40501.0</v>
      </c>
      <c r="O46" s="74" t="s">
        <v>1028</v>
      </c>
      <c r="P46" s="75">
        <v>0.4444444444444444</v>
      </c>
      <c r="Q46" s="41"/>
      <c r="R46" s="39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45817.0</v>
      </c>
      <c r="I47" s="68" t="s">
        <v>1015</v>
      </c>
      <c r="J47" s="69">
        <v>360.0</v>
      </c>
      <c r="K47" s="70"/>
      <c r="L47" s="71">
        <v>0.45625</v>
      </c>
      <c r="M47" s="72" t="s">
        <v>20</v>
      </c>
      <c r="N47" s="90">
        <v>100.0</v>
      </c>
      <c r="O47" s="74" t="s">
        <v>768</v>
      </c>
      <c r="P47" s="75">
        <v>0.4583333333333333</v>
      </c>
      <c r="Q47" s="41"/>
      <c r="R47" s="39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45817.0</v>
      </c>
      <c r="I48" s="68"/>
      <c r="J48" s="69"/>
      <c r="K48" s="70"/>
      <c r="L48" s="71"/>
      <c r="M48" s="72" t="s">
        <v>469</v>
      </c>
      <c r="N48" s="90">
        <v>5555.0</v>
      </c>
      <c r="O48" s="74" t="s">
        <v>1029</v>
      </c>
      <c r="P48" s="75">
        <v>0.47152777777777777</v>
      </c>
      <c r="Q48" s="41"/>
      <c r="R48" s="39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45817.0</v>
      </c>
      <c r="I49" s="68"/>
      <c r="J49" s="69"/>
      <c r="K49" s="85"/>
      <c r="L49" s="71"/>
      <c r="M49" s="72" t="s">
        <v>20</v>
      </c>
      <c r="N49" s="90">
        <v>225.0</v>
      </c>
      <c r="O49" s="74" t="s">
        <v>45</v>
      </c>
      <c r="P49" s="75">
        <v>0.4875</v>
      </c>
      <c r="Q49" s="41"/>
      <c r="R49" s="39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45817.0</v>
      </c>
      <c r="I50" s="68"/>
      <c r="J50" s="69"/>
      <c r="K50" s="85"/>
      <c r="L50" s="71"/>
      <c r="M50" s="72" t="s">
        <v>1002</v>
      </c>
      <c r="N50" s="90">
        <v>270.77</v>
      </c>
      <c r="O50" s="74" t="s">
        <v>1030</v>
      </c>
      <c r="P50" s="75">
        <v>0.6659722222222222</v>
      </c>
      <c r="Q50" s="41"/>
      <c r="R50" s="39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45817.0</v>
      </c>
      <c r="I51" s="68" t="s">
        <v>1017</v>
      </c>
      <c r="J51" s="69">
        <v>50000.0</v>
      </c>
      <c r="K51" s="87"/>
      <c r="L51" s="71">
        <v>0.6680555555555555</v>
      </c>
      <c r="M51" s="72" t="s">
        <v>69</v>
      </c>
      <c r="N51" s="90">
        <v>1010.0</v>
      </c>
      <c r="O51" s="74" t="s">
        <v>129</v>
      </c>
      <c r="P51" s="75">
        <v>0.8041666666666667</v>
      </c>
      <c r="Q51" s="41"/>
      <c r="R51" s="39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45817.0</v>
      </c>
      <c r="I52" s="68" t="s">
        <v>1007</v>
      </c>
      <c r="J52" s="69">
        <v>50000.0</v>
      </c>
      <c r="K52" s="87"/>
      <c r="L52" s="71">
        <v>0.9972222222222222</v>
      </c>
      <c r="M52" s="72"/>
      <c r="N52" s="90"/>
      <c r="O52" s="74"/>
      <c r="P52" s="75"/>
      <c r="Q52" s="41"/>
      <c r="R52" s="39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45818.0</v>
      </c>
      <c r="I53" s="68" t="s">
        <v>1015</v>
      </c>
      <c r="J53" s="69">
        <v>540.0</v>
      </c>
      <c r="K53" s="70"/>
      <c r="L53" s="71">
        <v>0.5076388888888889</v>
      </c>
      <c r="M53" s="72"/>
      <c r="N53" s="90"/>
      <c r="O53" s="74"/>
      <c r="P53" s="75"/>
      <c r="Q53" s="41"/>
      <c r="R53" s="39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45818.0</v>
      </c>
      <c r="I54" s="68" t="s">
        <v>864</v>
      </c>
      <c r="J54" s="69">
        <v>2200.0</v>
      </c>
      <c r="K54" s="70" t="s">
        <v>155</v>
      </c>
      <c r="L54" s="71">
        <v>0.5659722222222222</v>
      </c>
      <c r="M54" s="72" t="s">
        <v>469</v>
      </c>
      <c r="N54" s="90">
        <v>43127.0</v>
      </c>
      <c r="O54" s="74" t="s">
        <v>1031</v>
      </c>
      <c r="P54" s="75">
        <v>0.5826388888888889</v>
      </c>
      <c r="Q54" s="41"/>
      <c r="R54" s="39"/>
      <c r="S54" s="40"/>
      <c r="T54" s="40"/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45818.0</v>
      </c>
      <c r="I55" s="68"/>
      <c r="J55" s="69"/>
      <c r="K55" s="70"/>
      <c r="L55" s="71"/>
      <c r="M55" s="72" t="s">
        <v>1002</v>
      </c>
      <c r="N55" s="90">
        <v>505.0</v>
      </c>
      <c r="O55" s="74" t="s">
        <v>127</v>
      </c>
      <c r="P55" s="75">
        <v>0.8277777777777777</v>
      </c>
      <c r="R55" s="39"/>
      <c r="T55" s="40"/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45818.0</v>
      </c>
      <c r="I56" s="68"/>
      <c r="J56" s="69"/>
      <c r="K56" s="87"/>
      <c r="L56" s="71"/>
      <c r="M56" s="72" t="s">
        <v>69</v>
      </c>
      <c r="N56" s="90">
        <v>972.0</v>
      </c>
      <c r="O56" s="74" t="s">
        <v>1032</v>
      </c>
      <c r="P56" s="75">
        <v>0.8881944444444444</v>
      </c>
      <c r="Q56" s="125"/>
      <c r="R56" s="39"/>
      <c r="U56" s="76"/>
      <c r="V56" s="114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45819.0</v>
      </c>
      <c r="I57" s="68" t="s">
        <v>1015</v>
      </c>
      <c r="J57" s="69">
        <v>270.0</v>
      </c>
      <c r="K57" s="70"/>
      <c r="L57" s="71">
        <v>0.43333333333333335</v>
      </c>
      <c r="M57" s="72" t="s">
        <v>20</v>
      </c>
      <c r="N57" s="90">
        <v>208.69</v>
      </c>
      <c r="O57" s="74" t="s">
        <v>275</v>
      </c>
      <c r="P57" s="75">
        <v>0.5291666666666667</v>
      </c>
      <c r="R57" s="39"/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45819.0</v>
      </c>
      <c r="I58" s="68"/>
      <c r="J58" s="69"/>
      <c r="K58" s="70"/>
      <c r="L58" s="71"/>
      <c r="M58" s="72" t="s">
        <v>469</v>
      </c>
      <c r="N58" s="90">
        <v>31269.6</v>
      </c>
      <c r="O58" s="74" t="s">
        <v>1033</v>
      </c>
      <c r="P58" s="75">
        <v>0.5854166666666667</v>
      </c>
      <c r="R58" s="39"/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45819.0</v>
      </c>
      <c r="I59" s="68" t="s">
        <v>1001</v>
      </c>
      <c r="J59" s="69">
        <v>35392.0</v>
      </c>
      <c r="K59" s="70" t="s">
        <v>1034</v>
      </c>
      <c r="L59" s="71">
        <v>0.6993055555555555</v>
      </c>
      <c r="M59" s="72" t="s">
        <v>1012</v>
      </c>
      <c r="N59" s="90">
        <v>2400.0</v>
      </c>
      <c r="O59" s="74"/>
      <c r="P59" s="75">
        <v>0.8180555555555555</v>
      </c>
      <c r="R59" s="39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45819.0</v>
      </c>
      <c r="I60" s="68"/>
      <c r="J60" s="69"/>
      <c r="K60" s="85"/>
      <c r="L60" s="71"/>
      <c r="M60" s="72" t="s">
        <v>1002</v>
      </c>
      <c r="N60" s="90">
        <v>505.0</v>
      </c>
      <c r="O60" s="74" t="s">
        <v>127</v>
      </c>
      <c r="P60" s="75">
        <v>0.8444444444444444</v>
      </c>
      <c r="R60" s="39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45820.0</v>
      </c>
      <c r="I61" s="68" t="s">
        <v>1015</v>
      </c>
      <c r="J61" s="69">
        <v>810.0</v>
      </c>
      <c r="K61" s="70"/>
      <c r="L61" s="71">
        <v>0.45069444444444445</v>
      </c>
      <c r="M61" s="72" t="s">
        <v>469</v>
      </c>
      <c r="N61" s="90">
        <v>25330.8</v>
      </c>
      <c r="O61" s="74" t="s">
        <v>1035</v>
      </c>
      <c r="P61" s="75">
        <v>0.575</v>
      </c>
      <c r="Q61" s="125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45820.0</v>
      </c>
      <c r="I62" s="68"/>
      <c r="J62" s="69"/>
      <c r="K62" s="87"/>
      <c r="L62" s="71"/>
      <c r="M62" s="72" t="s">
        <v>1002</v>
      </c>
      <c r="N62" s="90">
        <v>635.34</v>
      </c>
      <c r="O62" s="74" t="s">
        <v>1036</v>
      </c>
      <c r="P62" s="75">
        <v>0.6409722222222223</v>
      </c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45820.0</v>
      </c>
      <c r="I63" s="68"/>
      <c r="J63" s="69"/>
      <c r="K63" s="87"/>
      <c r="L63" s="71"/>
      <c r="M63" s="72" t="s">
        <v>469</v>
      </c>
      <c r="N63" s="90">
        <v>4444.0</v>
      </c>
      <c r="O63" s="74" t="s">
        <v>1037</v>
      </c>
      <c r="P63" s="75">
        <v>0.6534722222222222</v>
      </c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45820.0</v>
      </c>
      <c r="I64" s="68" t="s">
        <v>1018</v>
      </c>
      <c r="J64" s="69">
        <v>50000.0</v>
      </c>
      <c r="K64" s="87"/>
      <c r="L64" s="71">
        <v>0.8069444444444445</v>
      </c>
      <c r="M64" s="72" t="s">
        <v>69</v>
      </c>
      <c r="N64" s="90">
        <v>1803.86</v>
      </c>
      <c r="O64" s="74" t="s">
        <v>1038</v>
      </c>
      <c r="P64" s="75">
        <v>0.9090277777777778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45821.0</v>
      </c>
      <c r="I65" s="68" t="s">
        <v>1007</v>
      </c>
      <c r="J65" s="69">
        <v>15892.0</v>
      </c>
      <c r="K65" s="70"/>
      <c r="L65" s="71">
        <v>0.55</v>
      </c>
      <c r="M65" s="72" t="s">
        <v>469</v>
      </c>
      <c r="N65" s="90">
        <v>50439.4</v>
      </c>
      <c r="O65" s="74" t="s">
        <v>1039</v>
      </c>
      <c r="P65" s="75">
        <v>0.58125</v>
      </c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45821.0</v>
      </c>
      <c r="I66" s="68"/>
      <c r="J66" s="69"/>
      <c r="K66" s="70"/>
      <c r="L66" s="88"/>
      <c r="M66" s="72" t="s">
        <v>14</v>
      </c>
      <c r="N66" s="90">
        <v>178255.35</v>
      </c>
      <c r="O66" s="74" t="s">
        <v>1040</v>
      </c>
      <c r="P66" s="75">
        <v>0.6708333333333333</v>
      </c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45821.0</v>
      </c>
      <c r="I67" s="68"/>
      <c r="J67" s="69"/>
      <c r="K67" s="87"/>
      <c r="L67" s="71"/>
      <c r="M67" s="72" t="s">
        <v>75</v>
      </c>
      <c r="N67" s="90">
        <v>1985.76</v>
      </c>
      <c r="O67" s="74" t="s">
        <v>1041</v>
      </c>
      <c r="P67" s="75">
        <v>0.6826388888888889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45821.0</v>
      </c>
      <c r="I68" s="84"/>
      <c r="J68" s="17"/>
      <c r="K68" s="85"/>
      <c r="L68" s="86"/>
      <c r="M68" s="72" t="s">
        <v>1002</v>
      </c>
      <c r="N68" s="90">
        <v>183.0</v>
      </c>
      <c r="O68" s="74" t="s">
        <v>1042</v>
      </c>
      <c r="P68" s="75">
        <v>0.7576388888888889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45821.0</v>
      </c>
      <c r="I69" s="68"/>
      <c r="J69" s="69"/>
      <c r="K69" s="85"/>
      <c r="L69" s="71"/>
      <c r="M69" s="72" t="s">
        <v>20</v>
      </c>
      <c r="N69" s="90">
        <v>142.0</v>
      </c>
      <c r="O69" s="74" t="s">
        <v>1043</v>
      </c>
      <c r="P69" s="75">
        <v>0.8652777777777778</v>
      </c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45821.0</v>
      </c>
      <c r="I70" s="68" t="s">
        <v>1015</v>
      </c>
      <c r="J70" s="69">
        <v>810.0</v>
      </c>
      <c r="K70" s="70"/>
      <c r="L70" s="71">
        <v>0.8888888888888888</v>
      </c>
      <c r="M70" s="72" t="s">
        <v>69</v>
      </c>
      <c r="N70" s="90">
        <v>1153.0</v>
      </c>
      <c r="O70" s="74" t="s">
        <v>1044</v>
      </c>
      <c r="P70" s="75">
        <v>0.90625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45822.0</v>
      </c>
      <c r="I71" s="68" t="s">
        <v>1015</v>
      </c>
      <c r="J71" s="69">
        <v>270.0</v>
      </c>
      <c r="K71" s="70"/>
      <c r="L71" s="71">
        <v>0.4708333333333333</v>
      </c>
      <c r="M71" s="72"/>
      <c r="N71" s="90"/>
      <c r="O71" s="74"/>
      <c r="P71" s="75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45822.0</v>
      </c>
      <c r="I72" s="68" t="s">
        <v>819</v>
      </c>
      <c r="J72" s="69">
        <v>3192.0</v>
      </c>
      <c r="K72" s="87"/>
      <c r="L72" s="71">
        <v>0.58125</v>
      </c>
      <c r="M72" s="72" t="s">
        <v>20</v>
      </c>
      <c r="N72" s="90">
        <v>209.1</v>
      </c>
      <c r="O72" s="74" t="s">
        <v>275</v>
      </c>
      <c r="P72" s="75">
        <v>0.6555555555555556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45822.0</v>
      </c>
      <c r="I73" s="68"/>
      <c r="J73" s="69"/>
      <c r="K73" s="70"/>
      <c r="L73" s="71"/>
      <c r="M73" s="72" t="s">
        <v>1002</v>
      </c>
      <c r="N73" s="90">
        <v>505.0</v>
      </c>
      <c r="O73" s="74" t="s">
        <v>127</v>
      </c>
      <c r="P73" s="75">
        <v>0.7208333333333333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45822.0</v>
      </c>
      <c r="I74" s="120" t="s">
        <v>1018</v>
      </c>
      <c r="J74" s="121">
        <v>50000.0</v>
      </c>
      <c r="K74" s="93"/>
      <c r="L74" s="71">
        <v>0.8104166666666667</v>
      </c>
      <c r="M74" s="72"/>
      <c r="N74" s="90"/>
      <c r="O74" s="74"/>
      <c r="P74" s="75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45823.0</v>
      </c>
      <c r="I75" s="68"/>
      <c r="J75" s="69"/>
      <c r="K75" s="70"/>
      <c r="L75" s="71"/>
      <c r="M75" s="72" t="s">
        <v>69</v>
      </c>
      <c r="N75" s="90">
        <v>1025.15</v>
      </c>
      <c r="O75" s="74" t="s">
        <v>1045</v>
      </c>
      <c r="P75" s="75">
        <v>0.8659722222222223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45824.0</v>
      </c>
      <c r="I76" s="68" t="s">
        <v>821</v>
      </c>
      <c r="J76" s="69">
        <v>1350.0</v>
      </c>
      <c r="K76" s="70" t="s">
        <v>1046</v>
      </c>
      <c r="L76" s="71">
        <v>0.4791666666666667</v>
      </c>
      <c r="M76" s="72" t="s">
        <v>469</v>
      </c>
      <c r="N76" s="90">
        <v>13978.4</v>
      </c>
      <c r="O76" s="74" t="s">
        <v>1047</v>
      </c>
      <c r="P76" s="75">
        <v>0.5756944444444444</v>
      </c>
      <c r="Q76" s="41"/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45824.0</v>
      </c>
      <c r="I77" s="68"/>
      <c r="J77" s="69"/>
      <c r="K77" s="87"/>
      <c r="L77" s="71"/>
      <c r="M77" s="72" t="s">
        <v>20</v>
      </c>
      <c r="N77" s="90">
        <v>500.0</v>
      </c>
      <c r="O77" s="74" t="s">
        <v>1048</v>
      </c>
      <c r="P77" s="75">
        <v>0.5819444444444445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45824.0</v>
      </c>
      <c r="I78" s="68" t="s">
        <v>1021</v>
      </c>
      <c r="J78" s="69">
        <v>424.0</v>
      </c>
      <c r="K78" s="87"/>
      <c r="L78" s="71">
        <v>0.6506944444444445</v>
      </c>
      <c r="M78" s="72"/>
      <c r="N78" s="90"/>
      <c r="O78" s="74"/>
      <c r="P78" s="75"/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45824.0</v>
      </c>
      <c r="I79" s="68" t="s">
        <v>1023</v>
      </c>
      <c r="J79" s="69">
        <v>1088.0</v>
      </c>
      <c r="K79" s="70"/>
      <c r="L79" s="71">
        <v>0.6513888888888889</v>
      </c>
      <c r="M79" s="72" t="s">
        <v>69</v>
      </c>
      <c r="N79" s="90">
        <v>1010.0</v>
      </c>
      <c r="O79" s="74" t="s">
        <v>129</v>
      </c>
      <c r="P79" s="75">
        <v>0.9083333333333333</v>
      </c>
      <c r="Q79" s="41"/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45825.0</v>
      </c>
      <c r="I80" s="68" t="s">
        <v>819</v>
      </c>
      <c r="J80" s="69">
        <v>4416.0</v>
      </c>
      <c r="K80" s="92"/>
      <c r="L80" s="88" t="s">
        <v>1049</v>
      </c>
      <c r="M80" s="72" t="s">
        <v>469</v>
      </c>
      <c r="N80" s="90">
        <v>9130.4</v>
      </c>
      <c r="O80" s="74" t="s">
        <v>1050</v>
      </c>
      <c r="P80" s="75">
        <v>0.5736111111111111</v>
      </c>
      <c r="Q80" s="41"/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45825.0</v>
      </c>
      <c r="I81" s="68"/>
      <c r="J81" s="69"/>
      <c r="K81" s="87"/>
      <c r="L81" s="71"/>
      <c r="M81" s="72" t="s">
        <v>1002</v>
      </c>
      <c r="N81" s="90">
        <v>573.52</v>
      </c>
      <c r="O81" s="74" t="s">
        <v>1051</v>
      </c>
      <c r="P81" s="75">
        <v>0.8826388888888889</v>
      </c>
      <c r="Q81" s="41"/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45825.0</v>
      </c>
      <c r="I82" s="68"/>
      <c r="J82" s="69"/>
      <c r="K82" s="87"/>
      <c r="L82" s="71"/>
      <c r="M82" s="72" t="s">
        <v>866</v>
      </c>
      <c r="N82" s="90">
        <v>1283.2</v>
      </c>
      <c r="O82" s="74" t="s">
        <v>1052</v>
      </c>
      <c r="P82" s="75">
        <v>0.8916666666666667</v>
      </c>
      <c r="Q82" s="41"/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45825.0</v>
      </c>
      <c r="I83" s="68"/>
      <c r="J83" s="69"/>
      <c r="K83" s="87"/>
      <c r="L83" s="71"/>
      <c r="M83" s="72" t="s">
        <v>69</v>
      </c>
      <c r="N83" s="90">
        <v>1306.94</v>
      </c>
      <c r="O83" s="74" t="s">
        <v>1053</v>
      </c>
      <c r="P83" s="75">
        <v>0.8958333333333334</v>
      </c>
      <c r="Q83" s="41"/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45825.0</v>
      </c>
      <c r="I84" s="68"/>
      <c r="J84" s="69"/>
      <c r="K84" s="70"/>
      <c r="L84" s="88"/>
      <c r="M84" s="72" t="s">
        <v>866</v>
      </c>
      <c r="N84" s="90">
        <v>2320.0</v>
      </c>
      <c r="O84" s="74" t="s">
        <v>1054</v>
      </c>
      <c r="P84" s="75">
        <v>0.9347222222222222</v>
      </c>
      <c r="Q84" s="41"/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45825.0</v>
      </c>
      <c r="I85" s="68"/>
      <c r="J85" s="69"/>
      <c r="K85" s="70"/>
      <c r="L85" s="71"/>
      <c r="M85" s="72" t="s">
        <v>1002</v>
      </c>
      <c r="N85" s="90">
        <v>505.0</v>
      </c>
      <c r="O85" s="74" t="s">
        <v>127</v>
      </c>
      <c r="P85" s="75">
        <v>0.9791666666666666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45826.0</v>
      </c>
      <c r="I86" s="68" t="s">
        <v>819</v>
      </c>
      <c r="J86" s="69">
        <v>31104.0</v>
      </c>
      <c r="K86" s="85"/>
      <c r="L86" s="71">
        <v>0.49166666666666664</v>
      </c>
      <c r="M86" s="72" t="s">
        <v>469</v>
      </c>
      <c r="N86" s="90">
        <v>4191.76</v>
      </c>
      <c r="O86" s="74" t="s">
        <v>1055</v>
      </c>
      <c r="P86" s="75">
        <v>0.56875</v>
      </c>
      <c r="Q86" s="41"/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45826.0</v>
      </c>
      <c r="I87" s="68"/>
      <c r="J87" s="69"/>
      <c r="K87" s="70"/>
      <c r="L87" s="71"/>
      <c r="M87" s="72" t="s">
        <v>20</v>
      </c>
      <c r="N87" s="90">
        <v>200.0</v>
      </c>
      <c r="O87" s="74" t="s">
        <v>45</v>
      </c>
      <c r="P87" s="75">
        <v>0.5895833333333333</v>
      </c>
      <c r="Q87" s="41"/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45826.0</v>
      </c>
      <c r="I88" s="68" t="s">
        <v>821</v>
      </c>
      <c r="J88" s="69">
        <v>1500.0</v>
      </c>
      <c r="K88" s="70" t="s">
        <v>1056</v>
      </c>
      <c r="L88" s="71">
        <v>0.5930555555555556</v>
      </c>
      <c r="M88" s="72"/>
      <c r="N88" s="90"/>
      <c r="O88" s="74"/>
      <c r="P88" s="75"/>
      <c r="Q88" s="41"/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45826.0</v>
      </c>
      <c r="I89" s="68" t="s">
        <v>1015</v>
      </c>
      <c r="J89" s="69">
        <v>90.0</v>
      </c>
      <c r="K89" s="70"/>
      <c r="L89" s="71">
        <v>0.6090277777777777</v>
      </c>
      <c r="M89" s="72" t="s">
        <v>339</v>
      </c>
      <c r="N89" s="90">
        <v>603.47</v>
      </c>
      <c r="O89" s="74" t="s">
        <v>1057</v>
      </c>
      <c r="P89" s="75">
        <v>0.7652777777777777</v>
      </c>
      <c r="Q89" s="41"/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45826.0</v>
      </c>
      <c r="I90" s="68" t="s">
        <v>1019</v>
      </c>
      <c r="J90" s="69">
        <v>100.0</v>
      </c>
      <c r="K90" s="70"/>
      <c r="L90" s="71">
        <v>0.8083333333333333</v>
      </c>
      <c r="M90" s="72"/>
      <c r="N90" s="90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45827.0</v>
      </c>
      <c r="I91" s="84"/>
      <c r="J91" s="17"/>
      <c r="K91" s="85"/>
      <c r="L91" s="86"/>
      <c r="M91" s="72" t="s">
        <v>1002</v>
      </c>
      <c r="N91" s="90">
        <v>1185.53</v>
      </c>
      <c r="O91" s="74" t="s">
        <v>1058</v>
      </c>
      <c r="P91" s="75">
        <v>0.5902777777777778</v>
      </c>
      <c r="Q91" s="41"/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45828.0</v>
      </c>
      <c r="I92" s="84"/>
      <c r="J92" s="17"/>
      <c r="K92" s="85"/>
      <c r="L92" s="86"/>
      <c r="M92" s="72" t="s">
        <v>69</v>
      </c>
      <c r="N92" s="90">
        <v>963.54</v>
      </c>
      <c r="O92" s="74" t="s">
        <v>1059</v>
      </c>
      <c r="P92" s="75">
        <v>0.4895833333333333</v>
      </c>
      <c r="Q92" s="41"/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45828.0</v>
      </c>
      <c r="I93" s="68"/>
      <c r="J93" s="69"/>
      <c r="K93" s="70"/>
      <c r="L93" s="88"/>
      <c r="M93" s="72" t="s">
        <v>469</v>
      </c>
      <c r="N93" s="90">
        <v>3575.4</v>
      </c>
      <c r="O93" s="74" t="s">
        <v>1060</v>
      </c>
      <c r="P93" s="75">
        <v>0.5805555555555556</v>
      </c>
      <c r="Q93" s="41"/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45828.0</v>
      </c>
      <c r="I94" s="68" t="s">
        <v>821</v>
      </c>
      <c r="J94" s="69">
        <v>1350.0</v>
      </c>
      <c r="K94" s="70" t="s">
        <v>1061</v>
      </c>
      <c r="L94" s="71">
        <v>0.5868055555555556</v>
      </c>
      <c r="M94" s="72"/>
      <c r="N94" s="90"/>
      <c r="O94" s="74"/>
      <c r="P94" s="75"/>
      <c r="Q94" s="41"/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45828.0</v>
      </c>
      <c r="I95" s="68" t="s">
        <v>819</v>
      </c>
      <c r="J95" s="69">
        <v>11280.0</v>
      </c>
      <c r="K95" s="70"/>
      <c r="L95" s="71">
        <v>0.5888888888888889</v>
      </c>
      <c r="M95" s="72" t="s">
        <v>339</v>
      </c>
      <c r="N95" s="90">
        <v>560.0</v>
      </c>
      <c r="O95" s="74" t="s">
        <v>1016</v>
      </c>
      <c r="P95" s="75">
        <v>0.6034722222222222</v>
      </c>
      <c r="Q95" s="41"/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45828.0</v>
      </c>
      <c r="I96" s="68"/>
      <c r="J96" s="69"/>
      <c r="K96" s="87"/>
      <c r="L96" s="71"/>
      <c r="M96" s="72" t="s">
        <v>469</v>
      </c>
      <c r="N96" s="90">
        <v>1343.3</v>
      </c>
      <c r="O96" s="74" t="s">
        <v>1062</v>
      </c>
      <c r="P96" s="75">
        <v>0.6291666666666667</v>
      </c>
      <c r="Q96" s="41"/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45828.0</v>
      </c>
      <c r="I97" s="84"/>
      <c r="J97" s="17"/>
      <c r="K97" s="85"/>
      <c r="L97" s="86"/>
      <c r="M97" s="72" t="s">
        <v>339</v>
      </c>
      <c r="N97" s="90">
        <v>560.0</v>
      </c>
      <c r="O97" s="74" t="s">
        <v>1016</v>
      </c>
      <c r="P97" s="75">
        <v>0.725</v>
      </c>
      <c r="Q97" s="41"/>
      <c r="R97" s="39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45829.0</v>
      </c>
      <c r="I98" s="84"/>
      <c r="J98" s="17"/>
      <c r="K98" s="85"/>
      <c r="L98" s="86"/>
      <c r="M98" s="72" t="s">
        <v>469</v>
      </c>
      <c r="N98" s="90">
        <v>3575.4</v>
      </c>
      <c r="O98" s="74" t="s">
        <v>1060</v>
      </c>
      <c r="P98" s="75">
        <v>0.5888888888888889</v>
      </c>
      <c r="Q98" s="41"/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45829.0</v>
      </c>
      <c r="I99" s="68" t="s">
        <v>819</v>
      </c>
      <c r="J99" s="69">
        <v>15624.0</v>
      </c>
      <c r="K99" s="92"/>
      <c r="L99" s="71">
        <v>0.6368055555555555</v>
      </c>
      <c r="M99" s="72" t="s">
        <v>339</v>
      </c>
      <c r="N99" s="90">
        <v>560.0</v>
      </c>
      <c r="O99" s="74" t="s">
        <v>1016</v>
      </c>
      <c r="P99" s="75">
        <v>0.9722222222222222</v>
      </c>
      <c r="Q99" s="41"/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45831.0</v>
      </c>
      <c r="I100" s="84"/>
      <c r="J100" s="17"/>
      <c r="K100" s="85"/>
      <c r="L100" s="86"/>
      <c r="M100" s="72" t="s">
        <v>867</v>
      </c>
      <c r="N100" s="90">
        <v>354.2</v>
      </c>
      <c r="O100" s="74" t="s">
        <v>1063</v>
      </c>
      <c r="P100" s="75">
        <v>0.5923611111111111</v>
      </c>
      <c r="Q100" s="41"/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45831.0</v>
      </c>
      <c r="I101" s="68" t="s">
        <v>821</v>
      </c>
      <c r="J101" s="69">
        <v>1500.0</v>
      </c>
      <c r="K101" s="70" t="s">
        <v>1064</v>
      </c>
      <c r="L101" s="88" t="s">
        <v>1065</v>
      </c>
      <c r="M101" s="72"/>
      <c r="N101" s="90"/>
      <c r="O101" s="74"/>
      <c r="P101" s="75"/>
      <c r="Q101" s="41"/>
      <c r="R101" s="39"/>
      <c r="T101" s="76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45831.0</v>
      </c>
      <c r="I102" s="68" t="s">
        <v>1009</v>
      </c>
      <c r="J102" s="69">
        <v>1700.0</v>
      </c>
      <c r="K102" s="87"/>
      <c r="L102" s="88" t="s">
        <v>1066</v>
      </c>
      <c r="M102" s="72" t="s">
        <v>1002</v>
      </c>
      <c r="N102" s="90">
        <v>430.56</v>
      </c>
      <c r="O102" s="74" t="s">
        <v>1067</v>
      </c>
      <c r="P102" s="75">
        <v>0.7305555555555555</v>
      </c>
      <c r="Q102" s="41"/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45831.0</v>
      </c>
      <c r="I103" s="68"/>
      <c r="J103" s="69"/>
      <c r="K103" s="87"/>
      <c r="L103" s="71"/>
      <c r="M103" s="72" t="s">
        <v>867</v>
      </c>
      <c r="N103" s="90">
        <v>545.4</v>
      </c>
      <c r="O103" s="74" t="s">
        <v>415</v>
      </c>
      <c r="P103" s="75">
        <v>0.8361111111111111</v>
      </c>
      <c r="Q103" s="41"/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45832.0</v>
      </c>
      <c r="I104" s="68" t="s">
        <v>836</v>
      </c>
      <c r="J104" s="69">
        <v>4950.0</v>
      </c>
      <c r="K104" s="70" t="s">
        <v>1068</v>
      </c>
      <c r="L104" s="88" t="s">
        <v>1069</v>
      </c>
      <c r="M104" s="72"/>
      <c r="N104" s="90"/>
      <c r="O104" s="74"/>
      <c r="P104" s="94"/>
      <c r="Q104" s="41"/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45832.0</v>
      </c>
      <c r="I105" s="68" t="s">
        <v>819</v>
      </c>
      <c r="J105" s="69">
        <v>9360.0</v>
      </c>
      <c r="K105" s="70"/>
      <c r="L105" s="71">
        <v>0.5826388888888889</v>
      </c>
      <c r="M105" s="72" t="s">
        <v>867</v>
      </c>
      <c r="N105" s="90">
        <v>545.4</v>
      </c>
      <c r="O105" s="74" t="s">
        <v>415</v>
      </c>
      <c r="P105" s="75">
        <v>0.6763888888888889</v>
      </c>
      <c r="Q105" s="41"/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45832.0</v>
      </c>
      <c r="I106" s="68"/>
      <c r="J106" s="69"/>
      <c r="K106" s="70"/>
      <c r="L106" s="88"/>
      <c r="M106" s="72" t="s">
        <v>864</v>
      </c>
      <c r="N106" s="90">
        <v>6630.0</v>
      </c>
      <c r="O106" s="74"/>
      <c r="P106" s="75">
        <v>0.6888888888888889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45832.0</v>
      </c>
      <c r="I107" s="68"/>
      <c r="J107" s="69"/>
      <c r="K107" s="93"/>
      <c r="L107" s="88"/>
      <c r="M107" s="72" t="s">
        <v>69</v>
      </c>
      <c r="N107" s="90">
        <v>819.11</v>
      </c>
      <c r="O107" s="74" t="s">
        <v>1070</v>
      </c>
      <c r="P107" s="75">
        <v>0.75</v>
      </c>
      <c r="Q107" s="41"/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45832.0</v>
      </c>
      <c r="I108" s="68"/>
      <c r="J108" s="69"/>
      <c r="K108" s="85"/>
      <c r="L108" s="71"/>
      <c r="M108" s="72" t="s">
        <v>865</v>
      </c>
      <c r="N108" s="90">
        <v>585.0</v>
      </c>
      <c r="O108" s="74"/>
      <c r="P108" s="75">
        <v>0.78125</v>
      </c>
      <c r="Q108" s="41"/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45832.0</v>
      </c>
      <c r="I109" s="68"/>
      <c r="J109" s="69"/>
      <c r="K109" s="70"/>
      <c r="L109" s="71"/>
      <c r="M109" s="72" t="s">
        <v>1002</v>
      </c>
      <c r="N109" s="90">
        <v>907.56</v>
      </c>
      <c r="O109" s="74" t="s">
        <v>1071</v>
      </c>
      <c r="P109" s="75">
        <v>0.8659722222222223</v>
      </c>
      <c r="Q109" s="41"/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45832.0</v>
      </c>
      <c r="I110" s="68"/>
      <c r="J110" s="69"/>
      <c r="K110" s="70"/>
      <c r="L110" s="71"/>
      <c r="M110" s="72" t="s">
        <v>1009</v>
      </c>
      <c r="N110" s="90">
        <v>1275.0</v>
      </c>
      <c r="O110" s="74" t="s">
        <v>144</v>
      </c>
      <c r="P110" s="75">
        <v>0.925</v>
      </c>
      <c r="Q110" s="41"/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45832.0</v>
      </c>
      <c r="I111" s="68" t="s">
        <v>819</v>
      </c>
      <c r="J111" s="69">
        <v>5112.0</v>
      </c>
      <c r="K111" s="70"/>
      <c r="L111" s="71">
        <v>0.9486111111111111</v>
      </c>
      <c r="M111" s="72"/>
      <c r="N111" s="90"/>
      <c r="O111" s="74"/>
      <c r="P111" s="75"/>
      <c r="Q111" s="41"/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45833.0</v>
      </c>
      <c r="I112" s="68" t="s">
        <v>836</v>
      </c>
      <c r="J112" s="69">
        <v>3450.0</v>
      </c>
      <c r="K112" s="70" t="s">
        <v>1072</v>
      </c>
      <c r="L112" s="71">
        <v>0.4625</v>
      </c>
      <c r="M112" s="72"/>
      <c r="N112" s="90"/>
      <c r="O112" s="74"/>
      <c r="P112" s="75"/>
      <c r="Q112" s="41"/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45833.0</v>
      </c>
      <c r="I113" s="68" t="s">
        <v>821</v>
      </c>
      <c r="J113" s="69">
        <v>1800.0</v>
      </c>
      <c r="K113" s="70" t="s">
        <v>1073</v>
      </c>
      <c r="L113" s="71">
        <v>0.5041666666666667</v>
      </c>
      <c r="M113" s="72" t="s">
        <v>865</v>
      </c>
      <c r="N113" s="90">
        <v>585.0</v>
      </c>
      <c r="O113" s="126"/>
      <c r="P113" s="75">
        <v>0.6895833333333333</v>
      </c>
      <c r="Q113" s="41"/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45834.0</v>
      </c>
      <c r="I114" s="68" t="s">
        <v>819</v>
      </c>
      <c r="J114" s="69">
        <v>8280.0</v>
      </c>
      <c r="K114" s="93"/>
      <c r="L114" s="71">
        <v>0.8770833333333333</v>
      </c>
      <c r="M114" s="72"/>
      <c r="N114" s="90"/>
      <c r="O114" s="74"/>
      <c r="P114" s="75"/>
      <c r="Q114" s="41"/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45834.0</v>
      </c>
      <c r="I115" s="68" t="s">
        <v>836</v>
      </c>
      <c r="J115" s="69">
        <v>300.0</v>
      </c>
      <c r="K115" s="70" t="s">
        <v>1074</v>
      </c>
      <c r="L115" s="71">
        <v>0.6541666666666667</v>
      </c>
      <c r="M115" s="72"/>
      <c r="N115" s="90"/>
      <c r="O115" s="74"/>
      <c r="P115" s="75"/>
      <c r="Q115" s="41"/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45834.0</v>
      </c>
      <c r="I116" s="68" t="s">
        <v>1023</v>
      </c>
      <c r="J116" s="69">
        <v>272.0</v>
      </c>
      <c r="K116" s="92"/>
      <c r="L116" s="71">
        <v>0.6208333333333333</v>
      </c>
      <c r="M116" s="72"/>
      <c r="N116" s="90"/>
      <c r="O116" s="74"/>
      <c r="P116" s="75"/>
      <c r="Q116" s="41"/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45834.0</v>
      </c>
      <c r="I117" s="68" t="s">
        <v>819</v>
      </c>
      <c r="J117" s="69">
        <v>8400.0</v>
      </c>
      <c r="K117" s="70"/>
      <c r="L117" s="71">
        <v>0.9555555555555556</v>
      </c>
      <c r="M117" s="147"/>
      <c r="N117" s="19"/>
      <c r="O117" s="126"/>
      <c r="P117" s="172"/>
      <c r="Q117" s="41"/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45835.0</v>
      </c>
      <c r="I118" s="68" t="s">
        <v>821</v>
      </c>
      <c r="J118" s="69">
        <v>3349.5</v>
      </c>
      <c r="K118" s="70" t="s">
        <v>1075</v>
      </c>
      <c r="L118" s="71">
        <v>0.5027777777777778</v>
      </c>
      <c r="M118" s="72" t="s">
        <v>469</v>
      </c>
      <c r="N118" s="90">
        <v>1877.09</v>
      </c>
      <c r="O118" s="74" t="s">
        <v>1076</v>
      </c>
      <c r="P118" s="75">
        <v>0.5770833333333333</v>
      </c>
      <c r="Q118" s="41"/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45835.0</v>
      </c>
      <c r="I119" s="154"/>
      <c r="J119" s="17"/>
      <c r="K119" s="93"/>
      <c r="L119" s="155"/>
      <c r="M119" s="72" t="s">
        <v>339</v>
      </c>
      <c r="N119" s="90">
        <v>590.66</v>
      </c>
      <c r="O119" s="74" t="s">
        <v>1077</v>
      </c>
      <c r="P119" s="75">
        <v>0.70625</v>
      </c>
      <c r="Q119" s="41"/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45835.0</v>
      </c>
      <c r="I120" s="68"/>
      <c r="J120" s="69"/>
      <c r="K120" s="87"/>
      <c r="L120" s="71"/>
      <c r="M120" s="72" t="s">
        <v>867</v>
      </c>
      <c r="N120" s="90">
        <v>515.4</v>
      </c>
      <c r="O120" s="74" t="s">
        <v>1078</v>
      </c>
      <c r="P120" s="75">
        <v>0.7111111111111111</v>
      </c>
      <c r="Q120" s="41"/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45836.0</v>
      </c>
      <c r="I121" s="68"/>
      <c r="J121" s="69"/>
      <c r="K121" s="70"/>
      <c r="L121" s="71"/>
      <c r="M121" s="72" t="s">
        <v>339</v>
      </c>
      <c r="N121" s="90">
        <v>511.0</v>
      </c>
      <c r="O121" s="74" t="s">
        <v>1079</v>
      </c>
      <c r="P121" s="75">
        <v>0.4722222222222222</v>
      </c>
      <c r="Q121" s="41"/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45836.0</v>
      </c>
      <c r="I122" s="68"/>
      <c r="J122" s="69"/>
      <c r="K122" s="70"/>
      <c r="L122" s="88"/>
      <c r="M122" s="72" t="s">
        <v>20</v>
      </c>
      <c r="N122" s="90">
        <v>474.0</v>
      </c>
      <c r="O122" s="74" t="s">
        <v>1080</v>
      </c>
      <c r="P122" s="75">
        <v>0.5833333333333334</v>
      </c>
      <c r="Q122" s="41"/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45836.0</v>
      </c>
      <c r="I123" s="68"/>
      <c r="J123" s="69"/>
      <c r="K123" s="70"/>
      <c r="L123" s="71"/>
      <c r="M123" s="72" t="s">
        <v>867</v>
      </c>
      <c r="N123" s="90">
        <v>545.4</v>
      </c>
      <c r="O123" s="74"/>
      <c r="P123" s="75">
        <v>0.6256944444444444</v>
      </c>
      <c r="Q123" s="41"/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45836.0</v>
      </c>
      <c r="I124" s="68"/>
      <c r="J124" s="69"/>
      <c r="K124" s="70"/>
      <c r="L124" s="71"/>
      <c r="M124" s="72" t="s">
        <v>702</v>
      </c>
      <c r="N124" s="90">
        <v>104.0</v>
      </c>
      <c r="O124" s="74" t="s">
        <v>1081</v>
      </c>
      <c r="P124" s="75">
        <v>0.81875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45837.0</v>
      </c>
      <c r="I125" s="68" t="s">
        <v>821</v>
      </c>
      <c r="J125" s="69">
        <v>2700.0</v>
      </c>
      <c r="K125" s="70" t="s">
        <v>1082</v>
      </c>
      <c r="L125" s="71">
        <v>0.5923611111111111</v>
      </c>
      <c r="M125" s="72" t="s">
        <v>702</v>
      </c>
      <c r="N125" s="90">
        <v>208.0</v>
      </c>
      <c r="O125" s="74" t="s">
        <v>1083</v>
      </c>
      <c r="P125" s="75">
        <v>0.6652777777777777</v>
      </c>
      <c r="Q125" s="41"/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45838.0</v>
      </c>
      <c r="I126" s="84"/>
      <c r="J126" s="17"/>
      <c r="K126" s="85"/>
      <c r="L126" s="86"/>
      <c r="M126" s="72" t="s">
        <v>20</v>
      </c>
      <c r="N126" s="90">
        <v>176.45</v>
      </c>
      <c r="O126" s="74" t="s">
        <v>1084</v>
      </c>
      <c r="P126" s="75">
        <v>0.56875</v>
      </c>
      <c r="Q126" s="41"/>
      <c r="R126" s="39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45838.0</v>
      </c>
      <c r="I127" s="68"/>
      <c r="J127" s="69"/>
      <c r="K127" s="87"/>
      <c r="L127" s="71"/>
      <c r="M127" s="72" t="s">
        <v>14</v>
      </c>
      <c r="N127" s="90">
        <v>10000.0</v>
      </c>
      <c r="O127" s="74" t="s">
        <v>120</v>
      </c>
      <c r="P127" s="75">
        <v>0.5881944444444445</v>
      </c>
      <c r="Q127" s="41"/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45838.0</v>
      </c>
      <c r="I128" s="68"/>
      <c r="J128" s="69"/>
      <c r="K128" s="70"/>
      <c r="L128" s="71"/>
      <c r="M128" s="72" t="s">
        <v>702</v>
      </c>
      <c r="N128" s="90">
        <v>208.0</v>
      </c>
      <c r="O128" s="74" t="s">
        <v>1083</v>
      </c>
      <c r="P128" s="75">
        <v>0.6506944444444445</v>
      </c>
      <c r="Q128" s="41"/>
      <c r="R128" s="39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45838.0</v>
      </c>
      <c r="I129" s="68"/>
      <c r="J129" s="69"/>
      <c r="K129" s="70"/>
      <c r="L129" s="71"/>
      <c r="M129" s="72" t="s">
        <v>339</v>
      </c>
      <c r="N129" s="90">
        <v>238.0</v>
      </c>
      <c r="O129" s="74" t="s">
        <v>1085</v>
      </c>
      <c r="P129" s="75">
        <v>0.7506944444444444</v>
      </c>
      <c r="Q129" s="41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45838.0</v>
      </c>
      <c r="I130" s="84"/>
      <c r="J130" s="17"/>
      <c r="K130" s="85"/>
      <c r="L130" s="86"/>
      <c r="M130" s="72" t="s">
        <v>700</v>
      </c>
      <c r="N130" s="90">
        <v>1110.0</v>
      </c>
      <c r="O130" s="74" t="s">
        <v>546</v>
      </c>
      <c r="P130" s="75">
        <v>0.8180555555555555</v>
      </c>
      <c r="Q130" s="41"/>
      <c r="R130" s="39"/>
      <c r="S130" s="76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/>
      <c r="I131" s="68"/>
      <c r="J131" s="69"/>
      <c r="K131" s="70"/>
      <c r="L131" s="71"/>
      <c r="M131" s="72"/>
      <c r="N131" s="90"/>
      <c r="O131" s="74"/>
      <c r="P131" s="75"/>
      <c r="Q131" s="41"/>
      <c r="R131" s="39"/>
      <c r="S131" s="142"/>
      <c r="T131" s="143"/>
      <c r="U131" s="143"/>
      <c r="V131" s="143"/>
      <c r="W131" s="143"/>
      <c r="X131" s="144"/>
      <c r="Y131" s="145"/>
      <c r="Z131" s="145"/>
      <c r="AA131" s="145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/>
      <c r="I132" s="84"/>
      <c r="J132" s="17"/>
      <c r="K132" s="85"/>
      <c r="L132" s="86"/>
      <c r="M132" s="72"/>
      <c r="N132" s="90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/>
      <c r="I133" s="68"/>
      <c r="J133" s="69"/>
      <c r="K133" s="70"/>
      <c r="L133" s="71"/>
      <c r="M133" s="72"/>
      <c r="N133" s="90"/>
      <c r="O133" s="74"/>
      <c r="P133" s="75"/>
      <c r="Q133" s="41"/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/>
      <c r="I134" s="68"/>
      <c r="J134" s="69"/>
      <c r="K134" s="70"/>
      <c r="L134" s="88"/>
      <c r="M134" s="72"/>
      <c r="N134" s="90"/>
      <c r="O134" s="74"/>
      <c r="P134" s="75"/>
      <c r="Q134" s="41"/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/>
      <c r="I135" s="68"/>
      <c r="J135" s="69"/>
      <c r="K135" s="85"/>
      <c r="L135" s="71"/>
      <c r="M135" s="72"/>
      <c r="N135" s="90"/>
      <c r="O135" s="74"/>
      <c r="P135" s="75"/>
      <c r="Q135" s="41"/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/>
      <c r="I136" s="68"/>
      <c r="J136" s="69"/>
      <c r="K136" s="70"/>
      <c r="L136" s="71"/>
      <c r="M136" s="72"/>
      <c r="N136" s="90"/>
      <c r="O136" s="74"/>
      <c r="P136" s="75"/>
      <c r="Q136" s="41"/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/>
      <c r="I137" s="84"/>
      <c r="J137" s="17"/>
      <c r="K137" s="85"/>
      <c r="L137" s="86"/>
      <c r="M137" s="72"/>
      <c r="N137" s="90"/>
      <c r="O137" s="74"/>
      <c r="P137" s="75"/>
      <c r="Q137" s="41"/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/>
      <c r="I138" s="68"/>
      <c r="J138" s="69"/>
      <c r="K138" s="70"/>
      <c r="L138" s="71"/>
      <c r="M138" s="72"/>
      <c r="N138" s="90"/>
      <c r="O138" s="74"/>
      <c r="P138" s="75"/>
      <c r="Q138" s="41"/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/>
      <c r="I139" s="68"/>
      <c r="J139" s="69"/>
      <c r="K139" s="70"/>
      <c r="L139" s="71"/>
      <c r="M139" s="72"/>
      <c r="N139" s="90"/>
      <c r="O139" s="74"/>
      <c r="P139" s="75"/>
      <c r="Q139" s="41"/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/>
      <c r="I140" s="68"/>
      <c r="J140" s="69"/>
      <c r="K140" s="70"/>
      <c r="L140" s="88"/>
      <c r="M140" s="72"/>
      <c r="N140" s="90"/>
      <c r="O140" s="74"/>
      <c r="P140" s="75"/>
      <c r="Q140" s="41"/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/>
      <c r="I141" s="84"/>
      <c r="J141" s="17"/>
      <c r="K141" s="85"/>
      <c r="L141" s="86"/>
      <c r="M141" s="72"/>
      <c r="N141" s="90"/>
      <c r="O141" s="74"/>
      <c r="P141" s="75"/>
      <c r="Q141" s="41"/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/>
      <c r="I142" s="154"/>
      <c r="J142" s="17"/>
      <c r="K142" s="93"/>
      <c r="L142" s="155"/>
      <c r="M142" s="72"/>
      <c r="N142" s="90"/>
      <c r="O142" s="74"/>
      <c r="P142" s="75"/>
      <c r="Q142" s="41"/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/>
      <c r="I143" s="68"/>
      <c r="J143" s="69"/>
      <c r="K143" s="70"/>
      <c r="L143" s="71"/>
      <c r="M143" s="72"/>
      <c r="N143" s="90"/>
      <c r="O143" s="74"/>
      <c r="P143" s="75"/>
      <c r="Q143" s="41"/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/>
      <c r="I144" s="68"/>
      <c r="J144" s="69"/>
      <c r="K144" s="85"/>
      <c r="L144" s="71"/>
      <c r="M144" s="72"/>
      <c r="N144" s="90"/>
      <c r="O144" s="74"/>
      <c r="P144" s="75"/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/>
      <c r="I145" s="68"/>
      <c r="J145" s="69"/>
      <c r="K145" s="70"/>
      <c r="L145" s="71"/>
      <c r="M145" s="72"/>
      <c r="N145" s="90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/>
      <c r="I146" s="68"/>
      <c r="J146" s="69"/>
      <c r="K146" s="70"/>
      <c r="L146" s="71"/>
      <c r="M146" s="72"/>
      <c r="N146" s="90"/>
      <c r="O146" s="74"/>
      <c r="P146" s="75"/>
      <c r="Q146" s="41"/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/>
      <c r="I147" s="84"/>
      <c r="J147" s="17"/>
      <c r="K147" s="85"/>
      <c r="L147" s="86"/>
      <c r="M147" s="72"/>
      <c r="N147" s="90"/>
      <c r="O147" s="74"/>
      <c r="P147" s="75"/>
      <c r="Q147" s="41"/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/>
      <c r="I148" s="68"/>
      <c r="J148" s="69"/>
      <c r="K148" s="85"/>
      <c r="L148" s="71"/>
      <c r="M148" s="72"/>
      <c r="N148" s="90"/>
      <c r="O148" s="74"/>
      <c r="P148" s="75"/>
      <c r="Q148" s="41"/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/>
      <c r="I149" s="68"/>
      <c r="J149" s="69"/>
      <c r="K149" s="85"/>
      <c r="L149" s="71"/>
      <c r="M149" s="72"/>
      <c r="N149" s="90"/>
      <c r="O149" s="74"/>
      <c r="P149" s="75"/>
      <c r="Q149" s="41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/>
      <c r="I150" s="84"/>
      <c r="J150" s="17"/>
      <c r="K150" s="85"/>
      <c r="L150" s="86"/>
      <c r="M150" s="72"/>
      <c r="N150" s="90"/>
      <c r="O150" s="74"/>
      <c r="P150" s="75"/>
      <c r="Q150" s="41"/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/>
      <c r="I151" s="68"/>
      <c r="J151" s="69"/>
      <c r="K151" s="70"/>
      <c r="L151" s="88"/>
      <c r="M151" s="72"/>
      <c r="N151" s="90"/>
      <c r="O151" s="74"/>
      <c r="P151" s="75"/>
      <c r="Q151" s="41"/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/>
      <c r="I152" s="68"/>
      <c r="J152" s="69"/>
      <c r="K152" s="87"/>
      <c r="L152" s="71"/>
      <c r="M152" s="72"/>
      <c r="N152" s="90"/>
      <c r="O152" s="74"/>
      <c r="P152" s="75"/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/>
      <c r="I153" s="68"/>
      <c r="J153" s="69"/>
      <c r="K153" s="85"/>
      <c r="L153" s="71"/>
      <c r="M153" s="72"/>
      <c r="N153" s="90"/>
      <c r="O153" s="74"/>
      <c r="P153" s="75"/>
      <c r="Q153" s="41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/>
      <c r="I154" s="84"/>
      <c r="J154" s="17"/>
      <c r="K154" s="85"/>
      <c r="L154" s="86"/>
      <c r="M154" s="72"/>
      <c r="N154" s="90"/>
      <c r="O154" s="74"/>
      <c r="P154" s="94"/>
      <c r="Q154" s="41"/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/>
      <c r="I155" s="68"/>
      <c r="J155" s="69"/>
      <c r="K155" s="70"/>
      <c r="L155" s="71"/>
      <c r="M155" s="72"/>
      <c r="N155" s="90"/>
      <c r="O155" s="74"/>
      <c r="P155" s="75"/>
      <c r="Q155" s="41"/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/>
      <c r="I156" s="84"/>
      <c r="J156" s="17"/>
      <c r="K156" s="85"/>
      <c r="L156" s="86"/>
      <c r="M156" s="72"/>
      <c r="N156" s="90"/>
      <c r="O156" s="74"/>
      <c r="P156" s="75"/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/>
      <c r="I157" s="68"/>
      <c r="J157" s="69"/>
      <c r="K157" s="87"/>
      <c r="L157" s="71"/>
      <c r="M157" s="72"/>
      <c r="N157" s="90"/>
      <c r="O157" s="74"/>
      <c r="P157" s="75"/>
      <c r="Q157" s="41"/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/>
      <c r="I158" s="68"/>
      <c r="J158" s="69"/>
      <c r="K158" s="87"/>
      <c r="L158" s="71"/>
      <c r="M158" s="72"/>
      <c r="N158" s="90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/>
      <c r="I159" s="68"/>
      <c r="J159" s="69"/>
      <c r="K159" s="85"/>
      <c r="L159" s="71"/>
      <c r="M159" s="72"/>
      <c r="N159" s="90"/>
      <c r="O159" s="74"/>
      <c r="P159" s="75"/>
      <c r="Q159" s="41"/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/>
      <c r="I160" s="154"/>
      <c r="J160" s="17"/>
      <c r="K160" s="93"/>
      <c r="L160" s="155"/>
      <c r="M160" s="72"/>
      <c r="N160" s="90"/>
      <c r="O160" s="74"/>
      <c r="P160" s="75"/>
      <c r="Q160" s="41"/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/>
      <c r="I161" s="84"/>
      <c r="J161" s="17"/>
      <c r="K161" s="93"/>
      <c r="L161" s="155"/>
      <c r="M161" s="72"/>
      <c r="N161" s="90"/>
      <c r="O161" s="74"/>
      <c r="P161" s="75"/>
      <c r="Q161" s="41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/>
      <c r="I162" s="84"/>
      <c r="J162" s="69"/>
      <c r="K162" s="87"/>
      <c r="L162" s="71"/>
      <c r="M162" s="72"/>
      <c r="N162" s="90"/>
      <c r="O162" s="74"/>
      <c r="P162" s="75"/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/>
      <c r="I163" s="68"/>
      <c r="J163" s="69"/>
      <c r="K163" s="70"/>
      <c r="L163" s="71"/>
      <c r="M163" s="72"/>
      <c r="N163" s="90"/>
      <c r="O163" s="74"/>
      <c r="P163" s="75"/>
      <c r="Q163" s="41"/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/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/>
      <c r="I165" s="68"/>
      <c r="J165" s="69"/>
      <c r="K165" s="70"/>
      <c r="L165" s="71"/>
      <c r="M165" s="147"/>
      <c r="N165" s="90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/>
      <c r="I166" s="68"/>
      <c r="J166" s="69"/>
      <c r="K166" s="87"/>
      <c r="L166" s="71"/>
      <c r="M166" s="147"/>
      <c r="N166" s="90"/>
      <c r="O166" s="126"/>
      <c r="P166" s="75"/>
      <c r="Q166" s="41"/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/>
      <c r="I167" s="68"/>
      <c r="J167" s="69"/>
      <c r="K167" s="70"/>
      <c r="L167" s="71"/>
      <c r="M167" s="72"/>
      <c r="N167" s="90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/>
      <c r="I168" s="84"/>
      <c r="J168" s="17"/>
      <c r="K168" s="85"/>
      <c r="L168" s="86"/>
      <c r="M168" s="72"/>
      <c r="N168" s="90"/>
      <c r="O168" s="74"/>
      <c r="P168" s="75"/>
      <c r="Q168" s="41"/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/>
      <c r="I169" s="84"/>
      <c r="J169" s="17"/>
      <c r="K169" s="85"/>
      <c r="L169" s="86"/>
      <c r="M169" s="72"/>
      <c r="N169" s="90"/>
      <c r="O169" s="74"/>
      <c r="P169" s="75"/>
      <c r="Q169" s="41"/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/>
      <c r="I170" s="84"/>
      <c r="J170" s="17"/>
      <c r="K170" s="85"/>
      <c r="L170" s="86"/>
      <c r="M170" s="72"/>
      <c r="N170" s="90"/>
      <c r="O170" s="74"/>
      <c r="P170" s="75"/>
      <c r="Q170" s="41"/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/>
      <c r="I171" s="84"/>
      <c r="J171" s="17"/>
      <c r="K171" s="85"/>
      <c r="L171" s="86"/>
      <c r="M171" s="72"/>
      <c r="N171" s="90"/>
      <c r="O171" s="74"/>
      <c r="P171" s="75"/>
      <c r="Q171" s="41"/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/>
      <c r="I172" s="68"/>
      <c r="J172" s="69"/>
      <c r="K172" s="87"/>
      <c r="L172" s="71"/>
      <c r="M172" s="72"/>
      <c r="N172" s="90"/>
      <c r="O172" s="74"/>
      <c r="P172" s="75"/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/>
      <c r="I173" s="68"/>
      <c r="J173" s="69"/>
      <c r="K173" s="70"/>
      <c r="L173" s="71"/>
      <c r="M173" s="72"/>
      <c r="N173" s="90"/>
      <c r="O173" s="74"/>
      <c r="P173" s="75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/>
      <c r="I174" s="68"/>
      <c r="J174" s="69"/>
      <c r="K174" s="70"/>
      <c r="L174" s="71"/>
      <c r="M174" s="72"/>
      <c r="N174" s="90"/>
      <c r="O174" s="74"/>
      <c r="P174" s="75"/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/>
      <c r="I175" s="84"/>
      <c r="J175" s="69"/>
      <c r="K175" s="87"/>
      <c r="L175" s="71"/>
      <c r="M175" s="72"/>
      <c r="N175" s="90"/>
      <c r="O175" s="74"/>
      <c r="P175" s="75"/>
      <c r="Q175" s="41"/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/>
      <c r="I176" s="68"/>
      <c r="J176" s="69"/>
      <c r="K176" s="85"/>
      <c r="L176" s="71"/>
      <c r="M176" s="72"/>
      <c r="N176" s="90"/>
      <c r="O176" s="74"/>
      <c r="P176" s="75"/>
      <c r="Q176" s="41"/>
      <c r="R176" s="39"/>
      <c r="S176" s="125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17"/>
      <c r="K177" s="85"/>
      <c r="L177" s="86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69"/>
      <c r="K178" s="87"/>
      <c r="L178" s="71"/>
      <c r="M178" s="72"/>
      <c r="N178" s="90"/>
      <c r="O178" s="74"/>
      <c r="P178" s="94"/>
      <c r="Q178" s="41"/>
      <c r="R178" s="39"/>
      <c r="S178" s="76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69"/>
      <c r="K179" s="87"/>
      <c r="L179" s="71"/>
      <c r="M179" s="72"/>
      <c r="N179" s="90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17"/>
      <c r="K180" s="85"/>
      <c r="L180" s="86"/>
      <c r="M180" s="72"/>
      <c r="N180" s="90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76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22:AB22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9"/>
      <c r="B1" s="2"/>
      <c r="C1" s="3" t="s">
        <v>1086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1087</v>
      </c>
      <c r="D4" s="21"/>
      <c r="E4" s="20"/>
      <c r="F4" s="21"/>
      <c r="G4" s="23" t="s">
        <v>1088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3004.2273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160029.0208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1089</v>
      </c>
      <c r="D7" s="54" t="s">
        <v>16</v>
      </c>
      <c r="E7" s="29"/>
      <c r="F7" s="30"/>
      <c r="G7" s="55">
        <v>1.0</v>
      </c>
      <c r="H7" s="56">
        <v>45778.0</v>
      </c>
      <c r="I7" s="57" t="s">
        <v>1090</v>
      </c>
      <c r="J7" s="58">
        <f>'2025年4月收支财务报表'!C13</f>
        <v>234903.2083</v>
      </c>
      <c r="K7" s="59"/>
      <c r="L7" s="60"/>
      <c r="M7" s="61" t="s">
        <v>469</v>
      </c>
      <c r="N7" s="62">
        <v>19998.0</v>
      </c>
      <c r="O7" s="63" t="s">
        <v>1091</v>
      </c>
      <c r="P7" s="64">
        <v>0.4534722222222222</v>
      </c>
      <c r="Q7" s="41"/>
      <c r="R7" s="39"/>
      <c r="S7" s="25">
        <f>SUMIF(M:M,"深圳芳林子",N:N)</f>
        <v>615726.92</v>
      </c>
      <c r="T7" s="101" t="s">
        <v>469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45778.0</v>
      </c>
      <c r="I8" s="68"/>
      <c r="J8" s="69"/>
      <c r="K8" s="70"/>
      <c r="L8" s="88"/>
      <c r="M8" s="80" t="s">
        <v>469</v>
      </c>
      <c r="N8" s="90">
        <v>5555.0</v>
      </c>
      <c r="O8" s="74" t="s">
        <v>1029</v>
      </c>
      <c r="P8" s="75">
        <v>0.48819444444444443</v>
      </c>
      <c r="Q8" s="41"/>
      <c r="R8" s="39"/>
      <c r="S8" s="25">
        <f>SUMIF(M:M,"十月二不限——（泰华）",N:N)</f>
        <v>15197.11</v>
      </c>
      <c r="T8" s="101" t="s">
        <v>69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1361013.528</v>
      </c>
      <c r="D9" s="30"/>
      <c r="E9" s="29"/>
      <c r="F9" s="30"/>
      <c r="G9" s="66">
        <v>3.0</v>
      </c>
      <c r="H9" s="56">
        <v>45778.0</v>
      </c>
      <c r="I9" s="68"/>
      <c r="J9" s="69"/>
      <c r="K9" s="70"/>
      <c r="L9" s="88"/>
      <c r="M9" s="72" t="s">
        <v>20</v>
      </c>
      <c r="N9" s="90">
        <v>500.0</v>
      </c>
      <c r="O9" s="74" t="s">
        <v>356</v>
      </c>
      <c r="P9" s="75">
        <v>0.6395833333333333</v>
      </c>
      <c r="Q9" s="41"/>
      <c r="R9" s="39"/>
      <c r="S9" s="25">
        <f>SUMIF(M:M,"印度企业户 欧洲美金户",N:N)</f>
        <v>27871</v>
      </c>
      <c r="T9" s="101" t="s">
        <v>339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45778.0</v>
      </c>
      <c r="I10" s="68"/>
      <c r="J10" s="69"/>
      <c r="K10" s="70"/>
      <c r="L10" s="88"/>
      <c r="M10" s="72" t="s">
        <v>1092</v>
      </c>
      <c r="N10" s="90">
        <v>10.0</v>
      </c>
      <c r="O10" s="74"/>
      <c r="P10" s="75">
        <v>0.6916666666666667</v>
      </c>
      <c r="Q10" s="41"/>
      <c r="R10" s="39"/>
      <c r="S10" s="25">
        <f>SUMIF(M:M,"Y-5208 FB欧/美户",N:N)</f>
        <v>3986.8</v>
      </c>
      <c r="T10" s="101" t="s">
        <v>30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964890.5281</v>
      </c>
      <c r="D11" s="30"/>
      <c r="E11" s="29"/>
      <c r="F11" s="30"/>
      <c r="G11" s="66">
        <v>5.0</v>
      </c>
      <c r="H11" s="67">
        <v>45778.0</v>
      </c>
      <c r="I11" s="84"/>
      <c r="J11" s="17"/>
      <c r="K11" s="85"/>
      <c r="L11" s="86"/>
      <c r="M11" s="72" t="s">
        <v>1092</v>
      </c>
      <c r="N11" s="90">
        <f>21000-N10</f>
        <v>20990</v>
      </c>
      <c r="O11" s="74" t="s">
        <v>1093</v>
      </c>
      <c r="P11" s="75">
        <v>0.7</v>
      </c>
      <c r="Q11" s="41"/>
      <c r="R11" s="39"/>
      <c r="S11" s="25">
        <f>SUMIF(M:M,"海总-MC开户对接群（果果）",N:N)</f>
        <v>9923.28</v>
      </c>
      <c r="T11" s="101" t="s">
        <v>1002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45778.0</v>
      </c>
      <c r="I12" s="68"/>
      <c r="J12" s="69"/>
      <c r="K12" s="87"/>
      <c r="L12" s="71"/>
      <c r="M12" s="72" t="s">
        <v>69</v>
      </c>
      <c r="N12" s="90">
        <v>1435.0</v>
      </c>
      <c r="O12" s="74"/>
      <c r="P12" s="75">
        <v>0.7111111111111111</v>
      </c>
      <c r="Q12" s="41"/>
      <c r="R12" s="39"/>
      <c r="S12" s="25">
        <f>SUMIF(M:M,"海总-黑泽-欧洲户对接",N:N)</f>
        <v>3983.33</v>
      </c>
      <c r="T12" s="26" t="s">
        <v>1094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396123.0002</v>
      </c>
      <c r="D13" s="30"/>
      <c r="E13" s="29"/>
      <c r="F13" s="30"/>
      <c r="G13" s="66">
        <v>7.0</v>
      </c>
      <c r="H13" s="67">
        <v>45778.0</v>
      </c>
      <c r="I13" s="68" t="s">
        <v>1003</v>
      </c>
      <c r="J13" s="69">
        <v>3915.0</v>
      </c>
      <c r="K13" s="70" t="s">
        <v>1095</v>
      </c>
      <c r="L13" s="71">
        <v>0.81875</v>
      </c>
      <c r="M13" s="72" t="s">
        <v>20</v>
      </c>
      <c r="N13" s="90">
        <v>34.0</v>
      </c>
      <c r="O13" s="74" t="s">
        <v>1096</v>
      </c>
      <c r="P13" s="75">
        <v>0.8194444444444444</v>
      </c>
      <c r="Q13" s="125"/>
      <c r="R13" s="39"/>
      <c r="S13" s="25">
        <f>SUMIF(M:M,"启航广告费",N:N)</f>
        <v>4545.64</v>
      </c>
      <c r="T13" s="101" t="s">
        <v>827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45778.0</v>
      </c>
      <c r="I14" s="84"/>
      <c r="J14" s="17"/>
      <c r="K14" s="85"/>
      <c r="L14" s="86"/>
      <c r="M14" s="72" t="s">
        <v>20</v>
      </c>
      <c r="N14" s="90">
        <v>282.0</v>
      </c>
      <c r="O14" s="74" t="s">
        <v>1097</v>
      </c>
      <c r="P14" s="75">
        <v>0.8340277777777778</v>
      </c>
      <c r="Q14" s="41"/>
      <c r="R14" s="39"/>
      <c r="S14" s="25">
        <f>SUMIF(M:M,"泰华&amp;ME-FB海外户对接群-Mark",N:N)</f>
        <v>1385</v>
      </c>
      <c r="T14" s="101" t="s">
        <v>1098</v>
      </c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45778.0</v>
      </c>
      <c r="I15" s="68"/>
      <c r="J15" s="69"/>
      <c r="K15" s="87"/>
      <c r="L15" s="71"/>
      <c r="M15" s="72" t="s">
        <v>69</v>
      </c>
      <c r="N15" s="90">
        <v>1010.0</v>
      </c>
      <c r="O15" s="74"/>
      <c r="P15" s="75">
        <v>0.9965277777777778</v>
      </c>
      <c r="Q15" s="41"/>
      <c r="R15" s="39"/>
      <c r="S15" s="25">
        <f>SUMIF(M:M,"Nancy-印度户15➕1",N:N)</f>
        <v>20642.2</v>
      </c>
      <c r="T15" s="101" t="s">
        <v>823</v>
      </c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45779.0</v>
      </c>
      <c r="I16" s="154"/>
      <c r="J16" s="17"/>
      <c r="K16" s="92"/>
      <c r="L16" s="173"/>
      <c r="M16" s="72" t="s">
        <v>864</v>
      </c>
      <c r="N16" s="90">
        <v>8470.0</v>
      </c>
      <c r="O16" s="74"/>
      <c r="P16" s="75">
        <v>6.944444444444445E-4</v>
      </c>
      <c r="Q16" s="41"/>
      <c r="R16" s="39"/>
      <c r="S16" s="25">
        <f>SUMIF(M:M,"T86 共享额度户P6",N:N)</f>
        <v>1100</v>
      </c>
      <c r="T16" s="101" t="s">
        <v>1099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45779.0</v>
      </c>
      <c r="I17" s="154"/>
      <c r="J17" s="17"/>
      <c r="K17" s="92"/>
      <c r="L17" s="173"/>
      <c r="M17" s="72" t="s">
        <v>339</v>
      </c>
      <c r="N17" s="90">
        <v>11110.0</v>
      </c>
      <c r="O17" s="74" t="s">
        <v>1100</v>
      </c>
      <c r="P17" s="75">
        <v>0.4423611111111111</v>
      </c>
      <c r="Q17" s="41"/>
      <c r="R17" s="39"/>
      <c r="S17" s="40"/>
      <c r="T17" s="40"/>
      <c r="U17" s="40"/>
      <c r="V17" s="41"/>
      <c r="W17" s="3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45779.0</v>
      </c>
      <c r="I18" s="154"/>
      <c r="J18" s="17"/>
      <c r="K18" s="92"/>
      <c r="L18" s="173"/>
      <c r="M18" s="72" t="s">
        <v>469</v>
      </c>
      <c r="N18" s="90">
        <v>8888.0</v>
      </c>
      <c r="O18" s="74" t="s">
        <v>1101</v>
      </c>
      <c r="P18" s="75">
        <v>0.4534722222222222</v>
      </c>
      <c r="Q18" s="41"/>
      <c r="R18" s="39"/>
      <c r="S18" s="40"/>
      <c r="T18" s="40"/>
      <c r="U18" s="40"/>
      <c r="V18" s="41"/>
      <c r="W18" s="3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45779.0</v>
      </c>
      <c r="I19" s="154"/>
      <c r="J19" s="17"/>
      <c r="K19" s="93"/>
      <c r="L19" s="155"/>
      <c r="M19" s="72" t="s">
        <v>30</v>
      </c>
      <c r="N19" s="90">
        <v>3270.0</v>
      </c>
      <c r="O19" s="74" t="s">
        <v>1102</v>
      </c>
      <c r="P19" s="75">
        <v>0.6159722222222223</v>
      </c>
      <c r="Q19" s="41"/>
      <c r="R19" s="39"/>
      <c r="S19" s="40"/>
      <c r="T19" s="40"/>
      <c r="U19" s="40"/>
      <c r="V19" s="41"/>
      <c r="W19" s="3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45779.0</v>
      </c>
      <c r="I20" s="68" t="s">
        <v>1103</v>
      </c>
      <c r="J20" s="69">
        <v>36824.0</v>
      </c>
      <c r="K20" s="70" t="s">
        <v>981</v>
      </c>
      <c r="L20" s="71">
        <v>0.6534722222222222</v>
      </c>
      <c r="M20" s="147"/>
      <c r="N20" s="19"/>
      <c r="O20" s="126"/>
      <c r="P20" s="174"/>
      <c r="Q20" s="41"/>
      <c r="R20" s="39"/>
      <c r="S20" s="25">
        <f>SUMIF(M:M,"意大利（海哥）",N:N)</f>
        <v>21000</v>
      </c>
      <c r="T20" s="101" t="s">
        <v>1092</v>
      </c>
      <c r="U20" s="76" t="s">
        <v>155</v>
      </c>
      <c r="V20" s="40"/>
      <c r="W20" s="76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1361013.528</v>
      </c>
      <c r="D21" s="30"/>
      <c r="E21" s="29"/>
      <c r="F21" s="30"/>
      <c r="G21" s="66">
        <v>15.0</v>
      </c>
      <c r="H21" s="67">
        <v>45779.0</v>
      </c>
      <c r="I21" s="68" t="s">
        <v>1003</v>
      </c>
      <c r="J21" s="69">
        <v>6210.0</v>
      </c>
      <c r="K21" s="70" t="s">
        <v>1104</v>
      </c>
      <c r="L21" s="71">
        <v>0.8756944444444444</v>
      </c>
      <c r="M21" s="72" t="s">
        <v>14</v>
      </c>
      <c r="N21" s="90">
        <v>52310.7</v>
      </c>
      <c r="O21" s="74" t="s">
        <v>1105</v>
      </c>
      <c r="P21" s="75">
        <v>0.9166666666666666</v>
      </c>
      <c r="Q21" s="41"/>
      <c r="R21" s="39"/>
      <c r="S21" s="25">
        <f>SUMIF(M:M,"渠道F 马来K",N:N)</f>
        <v>130</v>
      </c>
      <c r="T21" s="101" t="s">
        <v>1106</v>
      </c>
      <c r="U21" s="76" t="s">
        <v>155</v>
      </c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45779.0</v>
      </c>
      <c r="I22" s="68"/>
      <c r="J22" s="17"/>
      <c r="K22" s="93"/>
      <c r="L22" s="155"/>
      <c r="M22" s="72" t="s">
        <v>69</v>
      </c>
      <c r="N22" s="90">
        <v>947.38</v>
      </c>
      <c r="O22" s="74" t="s">
        <v>1107</v>
      </c>
      <c r="P22" s="75">
        <v>0.9979166666666667</v>
      </c>
      <c r="Q22" s="41"/>
      <c r="R22" s="39"/>
      <c r="S22" s="25">
        <f>SUMIF(M:M,"印度006对接—henry",N:N)</f>
        <v>759</v>
      </c>
      <c r="T22" s="101" t="s">
        <v>1012</v>
      </c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964890.5281</v>
      </c>
      <c r="D23" s="30"/>
      <c r="E23" s="29"/>
      <c r="F23" s="30"/>
      <c r="G23" s="66">
        <v>17.0</v>
      </c>
      <c r="H23" s="67">
        <v>45780.0</v>
      </c>
      <c r="I23" s="68"/>
      <c r="J23" s="69"/>
      <c r="K23" s="87"/>
      <c r="L23" s="71"/>
      <c r="M23" s="72" t="s">
        <v>469</v>
      </c>
      <c r="N23" s="90">
        <v>25118.7</v>
      </c>
      <c r="O23" s="74" t="s">
        <v>1108</v>
      </c>
      <c r="P23" s="75">
        <v>0.42916666666666664</v>
      </c>
      <c r="Q23" s="41"/>
      <c r="R23" s="39"/>
      <c r="S23" s="25">
        <f>SUMIF(M:M,"印度驻场-lala(郑总）",N:N)</f>
        <v>3887</v>
      </c>
      <c r="T23" s="101" t="s">
        <v>671</v>
      </c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45780.0</v>
      </c>
      <c r="I24" s="68"/>
      <c r="J24" s="69"/>
      <c r="K24" s="85"/>
      <c r="L24" s="86"/>
      <c r="M24" s="72" t="s">
        <v>339</v>
      </c>
      <c r="N24" s="90">
        <v>6650.0</v>
      </c>
      <c r="O24" s="74" t="s">
        <v>1109</v>
      </c>
      <c r="P24" s="75">
        <v>0.5236111111111111</v>
      </c>
      <c r="Q24" s="41"/>
      <c r="R24" s="39"/>
      <c r="S24" s="25">
        <f>SUMIF(M:M,"日本001对接_Chirs",N:N)</f>
        <v>24420</v>
      </c>
      <c r="T24" s="101" t="s">
        <v>1110</v>
      </c>
      <c r="U24" s="76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396123.0002</v>
      </c>
      <c r="D25" s="30"/>
      <c r="E25" s="29"/>
      <c r="F25" s="30"/>
      <c r="G25" s="66">
        <v>19.0</v>
      </c>
      <c r="H25" s="67">
        <v>45780.0</v>
      </c>
      <c r="I25" s="68" t="s">
        <v>1003</v>
      </c>
      <c r="J25" s="69">
        <v>10395.0</v>
      </c>
      <c r="K25" s="70" t="s">
        <v>1111</v>
      </c>
      <c r="L25" s="71">
        <v>0.85</v>
      </c>
      <c r="M25" s="72"/>
      <c r="N25" s="90"/>
      <c r="O25" s="74"/>
      <c r="P25" s="75"/>
      <c r="Q25" s="41"/>
      <c r="R25" s="39"/>
      <c r="S25" s="25">
        <f>SUMIF(M:M,"老傅渠道",N:N)</f>
        <v>47300</v>
      </c>
      <c r="T25" s="101" t="s">
        <v>864</v>
      </c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45781.0</v>
      </c>
      <c r="I26" s="68"/>
      <c r="J26" s="69"/>
      <c r="K26" s="70"/>
      <c r="L26" s="71"/>
      <c r="M26" s="72" t="s">
        <v>469</v>
      </c>
      <c r="N26" s="90">
        <v>27775.0</v>
      </c>
      <c r="O26" s="74" t="s">
        <v>1112</v>
      </c>
      <c r="P26" s="75">
        <v>0.4583333333333333</v>
      </c>
      <c r="R26" s="39"/>
      <c r="S26" s="103">
        <f>SUM(S4:S25)</f>
        <v>964890.5281</v>
      </c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45782.0</v>
      </c>
      <c r="I27" s="68" t="s">
        <v>1113</v>
      </c>
      <c r="J27" s="69">
        <v>50000.0</v>
      </c>
      <c r="K27" s="70"/>
      <c r="L27" s="71">
        <v>0.7916666666666666</v>
      </c>
      <c r="M27" s="72"/>
      <c r="N27" s="90"/>
      <c r="O27" s="74"/>
      <c r="P27" s="75"/>
      <c r="Q27" s="41"/>
      <c r="R27" s="39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45782.0</v>
      </c>
      <c r="I28" s="68"/>
      <c r="J28" s="69"/>
      <c r="K28" s="70"/>
      <c r="L28" s="71"/>
      <c r="M28" s="72" t="s">
        <v>339</v>
      </c>
      <c r="N28" s="90">
        <v>6216.0</v>
      </c>
      <c r="O28" s="74" t="s">
        <v>1114</v>
      </c>
      <c r="P28" s="75">
        <v>0.4395833333333333</v>
      </c>
      <c r="Q28" s="41"/>
      <c r="R28" s="39"/>
      <c r="S28" s="106" t="s">
        <v>97</v>
      </c>
      <c r="T28" s="107"/>
      <c r="U28" s="107"/>
      <c r="V28" s="107"/>
      <c r="W28" s="107"/>
      <c r="X28" s="107"/>
      <c r="Y28" s="107"/>
      <c r="Z28" s="107"/>
      <c r="AA28" s="107"/>
      <c r="AB28" s="108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45782.0</v>
      </c>
      <c r="I29" s="68"/>
      <c r="J29" s="69"/>
      <c r="K29" s="85"/>
      <c r="L29" s="86"/>
      <c r="M29" s="72" t="s">
        <v>469</v>
      </c>
      <c r="N29" s="90">
        <v>23331.0</v>
      </c>
      <c r="O29" s="74" t="s">
        <v>1115</v>
      </c>
      <c r="P29" s="75">
        <v>0.44027777777777777</v>
      </c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45782.0</v>
      </c>
      <c r="I30" s="68"/>
      <c r="J30" s="69"/>
      <c r="K30" s="85"/>
      <c r="L30" s="86"/>
      <c r="M30" s="72" t="s">
        <v>864</v>
      </c>
      <c r="N30" s="90">
        <v>10670.0</v>
      </c>
      <c r="O30" s="74"/>
      <c r="P30" s="75">
        <v>0.5902777777777778</v>
      </c>
      <c r="R30" s="39"/>
      <c r="S30" s="109">
        <f>SUMIF(I:I,"德国 张总（王总）",J:J)</f>
        <v>38880</v>
      </c>
      <c r="T30" s="26" t="s">
        <v>1003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45782.0</v>
      </c>
      <c r="I31" s="68"/>
      <c r="J31" s="69"/>
      <c r="K31" s="70"/>
      <c r="L31" s="88"/>
      <c r="M31" s="72" t="s">
        <v>14</v>
      </c>
      <c r="N31" s="19">
        <v>9845.851997480668</v>
      </c>
      <c r="O31" s="74" t="s">
        <v>117</v>
      </c>
      <c r="P31" s="75">
        <v>0.64375</v>
      </c>
      <c r="Q31" s="41"/>
      <c r="R31" s="39"/>
      <c r="S31" s="109">
        <f>SUMIF(I:I,"印度6期",J:J)</f>
        <v>36824</v>
      </c>
      <c r="T31" s="26" t="s">
        <v>1103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45782.0</v>
      </c>
      <c r="I32" s="84"/>
      <c r="J32" s="17"/>
      <c r="K32" s="85"/>
      <c r="L32" s="86"/>
      <c r="M32" s="72" t="s">
        <v>14</v>
      </c>
      <c r="N32" s="19">
        <v>3428.2577090498335</v>
      </c>
      <c r="O32" s="74" t="s">
        <v>117</v>
      </c>
      <c r="P32" s="75">
        <v>0.6458333333333334</v>
      </c>
      <c r="Q32" s="41"/>
      <c r="R32" s="39"/>
      <c r="S32" s="109">
        <f>SUMIF(I:I,"印度7期",J:J)</f>
        <v>130000</v>
      </c>
      <c r="T32" s="26" t="s">
        <v>1113</v>
      </c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45782.0</v>
      </c>
      <c r="I33" s="154"/>
      <c r="J33" s="69"/>
      <c r="K33" s="70"/>
      <c r="L33" s="71"/>
      <c r="M33" s="72" t="s">
        <v>14</v>
      </c>
      <c r="N33" s="19">
        <v>2774.0569768578607</v>
      </c>
      <c r="O33" s="74" t="s">
        <v>117</v>
      </c>
      <c r="P33" s="75">
        <v>0.6465277777777778</v>
      </c>
      <c r="Q33" s="41"/>
      <c r="R33" s="39"/>
      <c r="S33" s="109">
        <f>SUMIF(I:I,"渠道30 日股粉（张总） 谷歌",J:J)</f>
        <v>28000</v>
      </c>
      <c r="T33" s="26" t="s">
        <v>1116</v>
      </c>
      <c r="U33" s="76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45782.0</v>
      </c>
      <c r="I34" s="154"/>
      <c r="J34" s="69"/>
      <c r="K34" s="87"/>
      <c r="L34" s="71"/>
      <c r="M34" s="72" t="s">
        <v>14</v>
      </c>
      <c r="N34" s="19">
        <v>689.8198727361555</v>
      </c>
      <c r="O34" s="74" t="s">
        <v>117</v>
      </c>
      <c r="P34" s="75">
        <v>0.6486111111111111</v>
      </c>
      <c r="Q34" s="41"/>
      <c r="R34" s="39"/>
      <c r="S34" s="109">
        <f>SUMIF(I:I,"印度15期",J:J)</f>
        <v>7680</v>
      </c>
      <c r="T34" s="26" t="s">
        <v>673</v>
      </c>
      <c r="U34" s="76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45782.0</v>
      </c>
      <c r="I35" s="68"/>
      <c r="J35" s="69"/>
      <c r="K35" s="85"/>
      <c r="L35" s="71"/>
      <c r="M35" s="72" t="s">
        <v>14</v>
      </c>
      <c r="N35" s="19">
        <v>4647.36469698368</v>
      </c>
      <c r="O35" s="74" t="s">
        <v>117</v>
      </c>
      <c r="P35" s="75">
        <v>0.65</v>
      </c>
      <c r="Q35" s="41"/>
      <c r="R35" s="39"/>
      <c r="S35" s="109">
        <f>SUMIF(I:I,"德国股票粉3组【张小强】",J:J)</f>
        <v>29025</v>
      </c>
      <c r="T35" s="26" t="s">
        <v>1117</v>
      </c>
      <c r="U35" s="76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45782.0</v>
      </c>
      <c r="I36" s="84"/>
      <c r="J36" s="17"/>
      <c r="K36" s="85"/>
      <c r="L36" s="86"/>
      <c r="M36" s="72" t="s">
        <v>14</v>
      </c>
      <c r="N36" s="19">
        <v>889.5800293685332</v>
      </c>
      <c r="O36" s="74" t="s">
        <v>117</v>
      </c>
      <c r="P36" s="75">
        <v>0.6513888888888889</v>
      </c>
      <c r="Q36" s="41"/>
      <c r="R36" s="39"/>
      <c r="S36" s="109">
        <f>SUMIF(I:I,"德国股票粉4组【张小强】",J:J)</f>
        <v>5714</v>
      </c>
      <c r="T36" s="26" t="s">
        <v>1118</v>
      </c>
      <c r="U36" s="76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45782.0</v>
      </c>
      <c r="I37" s="68"/>
      <c r="J37" s="69"/>
      <c r="K37" s="85"/>
      <c r="L37" s="86"/>
      <c r="M37" s="72" t="s">
        <v>14</v>
      </c>
      <c r="N37" s="19">
        <v>3181.2573902128997</v>
      </c>
      <c r="O37" s="74" t="s">
        <v>117</v>
      </c>
      <c r="P37" s="75">
        <v>0.6527777777777778</v>
      </c>
      <c r="Q37" s="41"/>
      <c r="R37" s="39"/>
      <c r="S37" s="109">
        <f>SUMIF(I:I,"印度8期",J:J)</f>
        <v>202256</v>
      </c>
      <c r="T37" s="26" t="s">
        <v>1119</v>
      </c>
      <c r="U37" s="76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45782.0</v>
      </c>
      <c r="I38" s="68"/>
      <c r="J38" s="69"/>
      <c r="K38" s="85"/>
      <c r="L38" s="86"/>
      <c r="M38" s="72" t="s">
        <v>14</v>
      </c>
      <c r="N38" s="19">
        <v>914.5070974057555</v>
      </c>
      <c r="O38" s="74" t="s">
        <v>117</v>
      </c>
      <c r="P38" s="75">
        <v>0.6541666666666667</v>
      </c>
      <c r="Q38" s="41"/>
      <c r="R38" s="39"/>
      <c r="S38" s="109">
        <f>SUMIF(I:I,"印度B1",J:J)</f>
        <v>23576</v>
      </c>
      <c r="T38" s="26" t="s">
        <v>1120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45782.0</v>
      </c>
      <c r="I39" s="68"/>
      <c r="J39" s="69"/>
      <c r="K39" s="70"/>
      <c r="L39" s="88"/>
      <c r="M39" s="72" t="s">
        <v>14</v>
      </c>
      <c r="N39" s="19">
        <v>567.8595203132555</v>
      </c>
      <c r="O39" s="74" t="s">
        <v>117</v>
      </c>
      <c r="P39" s="75">
        <v>0.6548611111111111</v>
      </c>
      <c r="Q39" s="41"/>
      <c r="R39" s="39"/>
      <c r="S39" s="109">
        <f>SUMIF(I:I,"印度BB1",J:J)</f>
        <v>91756</v>
      </c>
      <c r="T39" s="26" t="s">
        <v>1121</v>
      </c>
      <c r="U39" s="76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45782.0</v>
      </c>
      <c r="I40" s="68"/>
      <c r="J40" s="69"/>
      <c r="K40" s="70"/>
      <c r="L40" s="88"/>
      <c r="M40" s="72" t="s">
        <v>14</v>
      </c>
      <c r="N40" s="19">
        <v>566.6877141458556</v>
      </c>
      <c r="O40" s="74" t="s">
        <v>117</v>
      </c>
      <c r="P40" s="75">
        <v>0.65625</v>
      </c>
      <c r="Q40" s="41"/>
      <c r="R40" s="39"/>
      <c r="S40" s="109">
        <f>SUMIF(I:I,"渠道F 马来K",J:J)</f>
        <v>6500</v>
      </c>
      <c r="T40" s="26" t="s">
        <v>1106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45782.0</v>
      </c>
      <c r="I41" s="68"/>
      <c r="J41" s="69"/>
      <c r="K41" s="70"/>
      <c r="L41" s="88"/>
      <c r="M41" s="72" t="s">
        <v>14</v>
      </c>
      <c r="N41" s="19">
        <v>1000.0000000000001</v>
      </c>
      <c r="O41" s="74" t="s">
        <v>117</v>
      </c>
      <c r="P41" s="75">
        <v>0.6590277777777778</v>
      </c>
      <c r="Q41" s="41"/>
      <c r="R41" s="39"/>
      <c r="S41" s="109">
        <f>SUMIF(I:I,"印度9期",J:J)</f>
        <v>313056</v>
      </c>
      <c r="T41" s="26" t="s">
        <v>1122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45782.0</v>
      </c>
      <c r="I42" s="68"/>
      <c r="J42" s="69"/>
      <c r="K42" s="70"/>
      <c r="L42" s="88"/>
      <c r="M42" s="72" t="s">
        <v>14</v>
      </c>
      <c r="N42" s="19">
        <v>5277.777777777777</v>
      </c>
      <c r="O42" s="74" t="s">
        <v>117</v>
      </c>
      <c r="P42" s="75">
        <v>0.6597222222222222</v>
      </c>
      <c r="Q42" s="41"/>
      <c r="R42" s="39"/>
      <c r="S42" s="109">
        <f>SUMIF(I:I,"波贝2期",J:J)</f>
        <v>124572</v>
      </c>
      <c r="T42" s="26" t="s">
        <v>1123</v>
      </c>
      <c r="U42" s="76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45782.0</v>
      </c>
      <c r="I43" s="68"/>
      <c r="J43" s="69"/>
      <c r="K43" s="87"/>
      <c r="L43" s="71"/>
      <c r="M43" s="72" t="s">
        <v>14</v>
      </c>
      <c r="N43" s="90">
        <v>11624.6</v>
      </c>
      <c r="O43" s="74" t="s">
        <v>1124</v>
      </c>
      <c r="P43" s="75">
        <v>0.6777777777777778</v>
      </c>
      <c r="Q43" s="41"/>
      <c r="R43" s="39"/>
      <c r="S43" s="109">
        <f>SUMIF(I:I,"印度8期补群",J:J)</f>
        <v>50000</v>
      </c>
      <c r="T43" s="26" t="s">
        <v>1125</v>
      </c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45782.0</v>
      </c>
      <c r="I44" s="68" t="s">
        <v>1113</v>
      </c>
      <c r="J44" s="69">
        <v>50000.0</v>
      </c>
      <c r="K44" s="85"/>
      <c r="L44" s="71">
        <v>0.7861111111111111</v>
      </c>
      <c r="M44" s="72"/>
      <c r="N44" s="90"/>
      <c r="O44" s="74"/>
      <c r="P44" s="75"/>
      <c r="Q44" s="41"/>
      <c r="R44" s="39"/>
      <c r="S44" s="109">
        <f>SUMIF(I:I,"白马2期",J:J)</f>
        <v>22400</v>
      </c>
      <c r="T44" s="26" t="s">
        <v>1001</v>
      </c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45783.0</v>
      </c>
      <c r="I45" s="68" t="s">
        <v>1116</v>
      </c>
      <c r="J45" s="69">
        <v>12500.0</v>
      </c>
      <c r="K45" s="85"/>
      <c r="L45" s="71">
        <v>0.5527777777777778</v>
      </c>
      <c r="M45" s="72" t="s">
        <v>1110</v>
      </c>
      <c r="N45" s="90">
        <v>10.0</v>
      </c>
      <c r="O45" s="74"/>
      <c r="P45" s="75">
        <v>0.5263888888888889</v>
      </c>
      <c r="Q45" s="41"/>
      <c r="R45" s="39"/>
      <c r="S45" s="40"/>
      <c r="T45" s="40"/>
      <c r="U45" s="40"/>
      <c r="V45" s="41"/>
      <c r="W45" s="30"/>
      <c r="X45" s="30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45783.0</v>
      </c>
      <c r="I46" s="84"/>
      <c r="J46" s="17"/>
      <c r="K46" s="85"/>
      <c r="L46" s="86"/>
      <c r="M46" s="72" t="s">
        <v>1110</v>
      </c>
      <c r="N46" s="90">
        <f>6600-N45</f>
        <v>6590</v>
      </c>
      <c r="O46" s="74"/>
      <c r="P46" s="75">
        <v>0.5284722222222222</v>
      </c>
      <c r="Q46" s="41"/>
      <c r="R46" s="39"/>
      <c r="S46" s="40"/>
      <c r="T46" s="40"/>
      <c r="U46" s="40"/>
      <c r="V46" s="41"/>
      <c r="W46" s="30"/>
      <c r="X46" s="30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45783.0</v>
      </c>
      <c r="I47" s="68"/>
      <c r="J47" s="69"/>
      <c r="K47" s="70"/>
      <c r="L47" s="71"/>
      <c r="M47" s="72" t="s">
        <v>14</v>
      </c>
      <c r="N47" s="90">
        <v>10000.0</v>
      </c>
      <c r="O47" s="74" t="s">
        <v>120</v>
      </c>
      <c r="P47" s="75">
        <v>0.5458333333333333</v>
      </c>
      <c r="Q47" s="41"/>
      <c r="R47" s="39"/>
      <c r="S47" s="109">
        <f>SUMIF(I:I,"Y-5208 FB欧/美户",J:J)</f>
        <v>2853.5</v>
      </c>
      <c r="T47" s="101" t="s">
        <v>30</v>
      </c>
      <c r="U47" s="40"/>
      <c r="V47" s="41"/>
      <c r="W47" s="30"/>
      <c r="X47" s="30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45783.0</v>
      </c>
      <c r="I48" s="68" t="s">
        <v>1003</v>
      </c>
      <c r="J48" s="69">
        <v>5670.0</v>
      </c>
      <c r="K48" s="70" t="s">
        <v>1126</v>
      </c>
      <c r="L48" s="71">
        <v>0.6680555555555555</v>
      </c>
      <c r="M48" s="72" t="s">
        <v>69</v>
      </c>
      <c r="N48" s="90">
        <v>1160.0</v>
      </c>
      <c r="O48" s="74"/>
      <c r="P48" s="75">
        <v>0.9576388888888889</v>
      </c>
      <c r="Q48" s="41"/>
      <c r="R48" s="39"/>
      <c r="S48" s="109">
        <f>SUMIF(I:I,"T86 共享额度户P6",J:J)</f>
        <v>971</v>
      </c>
      <c r="T48" s="101" t="s">
        <v>1099</v>
      </c>
      <c r="U48" s="40"/>
      <c r="V48" s="41"/>
      <c r="W48" s="30"/>
      <c r="X48" s="30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45784.0</v>
      </c>
      <c r="I49" s="68"/>
      <c r="J49" s="69"/>
      <c r="K49" s="85"/>
      <c r="L49" s="71"/>
      <c r="M49" s="72" t="s">
        <v>1002</v>
      </c>
      <c r="N49" s="90">
        <v>1010.0</v>
      </c>
      <c r="O49" s="126"/>
      <c r="P49" s="75">
        <v>0.49444444444444446</v>
      </c>
      <c r="Q49" s="41"/>
      <c r="R49" s="39"/>
      <c r="S49" s="109">
        <f>SUMIF(I:I,"欧洲户&amp;hz唐",J:J)</f>
        <v>1745.86</v>
      </c>
      <c r="T49" s="101" t="s">
        <v>1127</v>
      </c>
      <c r="U49" s="40"/>
      <c r="V49" s="41"/>
      <c r="W49" s="30"/>
      <c r="X49" s="30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45784.0</v>
      </c>
      <c r="I50" s="68"/>
      <c r="J50" s="69"/>
      <c r="K50" s="85"/>
      <c r="L50" s="71"/>
      <c r="M50" s="72" t="s">
        <v>469</v>
      </c>
      <c r="N50" s="90">
        <v>1770.67</v>
      </c>
      <c r="O50" s="74" t="s">
        <v>1128</v>
      </c>
      <c r="P50" s="75">
        <v>0.5784722222222223</v>
      </c>
      <c r="Q50" s="41"/>
      <c r="R50" s="39"/>
      <c r="S50" s="109">
        <f>SUMIF(I:I,"印度企业户 欧洲美金户",J:J)</f>
        <v>9814.58</v>
      </c>
      <c r="T50" s="101" t="s">
        <v>339</v>
      </c>
      <c r="U50" s="40"/>
      <c r="V50" s="41"/>
      <c r="W50" s="30"/>
      <c r="X50" s="30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45784.0</v>
      </c>
      <c r="I51" s="68"/>
      <c r="J51" s="69"/>
      <c r="K51" s="87"/>
      <c r="L51" s="71"/>
      <c r="M51" s="72" t="s">
        <v>339</v>
      </c>
      <c r="N51" s="90">
        <v>2775.0</v>
      </c>
      <c r="O51" s="74" t="s">
        <v>1129</v>
      </c>
      <c r="P51" s="75">
        <v>0.6041666666666666</v>
      </c>
      <c r="Q51" s="41"/>
      <c r="R51" s="39"/>
      <c r="S51" s="109">
        <f>SUMIF(I:I,"CH加白户14➕1-Nancy",J:J)</f>
        <v>486.38</v>
      </c>
      <c r="T51" s="101" t="s">
        <v>1130</v>
      </c>
      <c r="U51" s="40"/>
      <c r="V51" s="41"/>
      <c r="W51" s="30"/>
      <c r="X51" s="30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45784.0</v>
      </c>
      <c r="I52" s="68"/>
      <c r="J52" s="69"/>
      <c r="K52" s="87"/>
      <c r="L52" s="71"/>
      <c r="M52" s="72" t="s">
        <v>20</v>
      </c>
      <c r="N52" s="90">
        <v>255.1473</v>
      </c>
      <c r="O52" s="74" t="s">
        <v>1131</v>
      </c>
      <c r="P52" s="75">
        <v>0.6097222222222223</v>
      </c>
      <c r="Q52" s="41"/>
      <c r="R52" s="39"/>
      <c r="S52" s="117">
        <v>234903.21</v>
      </c>
      <c r="T52" s="26" t="s">
        <v>1090</v>
      </c>
      <c r="U52" s="40"/>
      <c r="V52" s="41"/>
      <c r="W52" s="30"/>
      <c r="X52" s="30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45784.0</v>
      </c>
      <c r="I53" s="68" t="s">
        <v>673</v>
      </c>
      <c r="J53" s="69">
        <v>7680.0</v>
      </c>
      <c r="K53" s="70"/>
      <c r="L53" s="71">
        <v>0.6416666666666667</v>
      </c>
      <c r="M53" s="72" t="s">
        <v>864</v>
      </c>
      <c r="N53" s="90">
        <v>2860.0</v>
      </c>
      <c r="O53" s="74"/>
      <c r="P53" s="75">
        <v>0.6520833333333333</v>
      </c>
      <c r="Q53" s="41"/>
      <c r="R53" s="39"/>
      <c r="S53" s="40">
        <f>SUM(S30:S52)</f>
        <v>1361013.53</v>
      </c>
      <c r="T53" s="40"/>
      <c r="U53" s="40"/>
      <c r="V53" s="41"/>
      <c r="W53" s="30"/>
      <c r="X53" s="30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45784.0</v>
      </c>
      <c r="I54" s="68" t="s">
        <v>1003</v>
      </c>
      <c r="J54" s="69">
        <v>3780.0</v>
      </c>
      <c r="K54" s="70" t="s">
        <v>1132</v>
      </c>
      <c r="L54" s="71">
        <v>0.8847222222222222</v>
      </c>
      <c r="M54" s="72" t="s">
        <v>1110</v>
      </c>
      <c r="N54" s="90">
        <v>7260.0</v>
      </c>
      <c r="O54" s="74"/>
      <c r="P54" s="75">
        <v>0.9625</v>
      </c>
      <c r="Q54" s="41"/>
      <c r="R54" s="39"/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45785.0</v>
      </c>
      <c r="I55" s="68" t="s">
        <v>1130</v>
      </c>
      <c r="J55" s="69">
        <v>486.38</v>
      </c>
      <c r="K55" s="70" t="s">
        <v>155</v>
      </c>
      <c r="L55" s="71">
        <v>0.11388888888888889</v>
      </c>
      <c r="M55" s="72" t="s">
        <v>30</v>
      </c>
      <c r="N55" s="90">
        <v>635.0</v>
      </c>
      <c r="O55" s="74" t="s">
        <v>1133</v>
      </c>
      <c r="P55" s="75">
        <v>0.8458333333333333</v>
      </c>
      <c r="R55" s="39"/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45785.0</v>
      </c>
      <c r="I56" s="68" t="s">
        <v>1116</v>
      </c>
      <c r="J56" s="69">
        <v>12500.0</v>
      </c>
      <c r="K56" s="87"/>
      <c r="L56" s="71">
        <v>0.9305555555555556</v>
      </c>
      <c r="M56" s="72"/>
      <c r="N56" s="90"/>
      <c r="O56" s="74"/>
      <c r="P56" s="75"/>
      <c r="Q56" s="125"/>
      <c r="R56" s="39"/>
      <c r="U56" s="76"/>
      <c r="V56" s="76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45786.0</v>
      </c>
      <c r="I57" s="68"/>
      <c r="J57" s="69"/>
      <c r="K57" s="70"/>
      <c r="L57" s="71"/>
      <c r="M57" s="72" t="s">
        <v>469</v>
      </c>
      <c r="N57" s="90">
        <v>22220.0</v>
      </c>
      <c r="O57" s="74" t="s">
        <v>1134</v>
      </c>
      <c r="P57" s="75">
        <v>0.5694444444444444</v>
      </c>
      <c r="R57" s="39"/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45786.0</v>
      </c>
      <c r="I58" s="68"/>
      <c r="J58" s="69"/>
      <c r="K58" s="87"/>
      <c r="L58" s="71"/>
      <c r="M58" s="72" t="s">
        <v>339</v>
      </c>
      <c r="N58" s="90">
        <v>560.0</v>
      </c>
      <c r="O58" s="74" t="s">
        <v>1135</v>
      </c>
      <c r="P58" s="75">
        <v>0.6506944444444445</v>
      </c>
      <c r="R58" s="39"/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45786.0</v>
      </c>
      <c r="I59" s="68" t="s">
        <v>1117</v>
      </c>
      <c r="J59" s="69">
        <v>4185.0</v>
      </c>
      <c r="K59" s="70" t="s">
        <v>1136</v>
      </c>
      <c r="L59" s="71">
        <v>0.6763888888888889</v>
      </c>
      <c r="M59" s="72" t="s">
        <v>1002</v>
      </c>
      <c r="N59" s="90">
        <v>505.0</v>
      </c>
      <c r="O59" s="74" t="s">
        <v>127</v>
      </c>
      <c r="P59" s="75">
        <v>0.7013888888888888</v>
      </c>
      <c r="R59" s="39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45786.0</v>
      </c>
      <c r="I60" s="68" t="s">
        <v>1119</v>
      </c>
      <c r="J60" s="69">
        <v>50000.0</v>
      </c>
      <c r="K60" s="85"/>
      <c r="L60" s="71">
        <v>0.7243055555555555</v>
      </c>
      <c r="M60" s="72" t="s">
        <v>864</v>
      </c>
      <c r="N60" s="90">
        <v>5940.0</v>
      </c>
      <c r="O60" s="74"/>
      <c r="P60" s="75">
        <v>0.7388888888888889</v>
      </c>
      <c r="R60" s="39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45786.0</v>
      </c>
      <c r="I61" s="68" t="s">
        <v>339</v>
      </c>
      <c r="J61" s="69">
        <v>1099.0</v>
      </c>
      <c r="K61" s="70" t="s">
        <v>155</v>
      </c>
      <c r="L61" s="71">
        <v>0.8090277777777778</v>
      </c>
      <c r="M61" s="72" t="s">
        <v>20</v>
      </c>
      <c r="N61" s="90">
        <v>165.0</v>
      </c>
      <c r="O61" s="74" t="s">
        <v>1137</v>
      </c>
      <c r="P61" s="75">
        <v>0.89375</v>
      </c>
      <c r="Q61" s="125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45787.0</v>
      </c>
      <c r="I62" s="68"/>
      <c r="J62" s="69"/>
      <c r="K62" s="87"/>
      <c r="L62" s="71"/>
      <c r="M62" s="72" t="s">
        <v>1110</v>
      </c>
      <c r="N62" s="90">
        <v>7040.0</v>
      </c>
      <c r="O62" s="126"/>
      <c r="P62" s="75">
        <v>0.5027777777777778</v>
      </c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45787.0</v>
      </c>
      <c r="I63" s="68"/>
      <c r="J63" s="69"/>
      <c r="K63" s="87"/>
      <c r="L63" s="71"/>
      <c r="M63" s="72" t="s">
        <v>20</v>
      </c>
      <c r="N63" s="90">
        <v>225.0</v>
      </c>
      <c r="O63" s="74" t="s">
        <v>45</v>
      </c>
      <c r="P63" s="75">
        <v>0.5083333333333333</v>
      </c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45787.0</v>
      </c>
      <c r="I64" s="68"/>
      <c r="J64" s="69"/>
      <c r="K64" s="87"/>
      <c r="L64" s="71"/>
      <c r="M64" s="72" t="s">
        <v>69</v>
      </c>
      <c r="N64" s="90">
        <v>484.8</v>
      </c>
      <c r="O64" s="74"/>
      <c r="P64" s="75">
        <v>0.5104166666666666</v>
      </c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45787.0</v>
      </c>
      <c r="I65" s="68"/>
      <c r="J65" s="69"/>
      <c r="K65" s="70"/>
      <c r="L65" s="88"/>
      <c r="M65" s="72" t="s">
        <v>864</v>
      </c>
      <c r="N65" s="90">
        <v>4950.0</v>
      </c>
      <c r="O65" s="74"/>
      <c r="P65" s="75">
        <v>0.5729166666666666</v>
      </c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45787.0</v>
      </c>
      <c r="I66" s="68"/>
      <c r="J66" s="69"/>
      <c r="K66" s="70"/>
      <c r="L66" s="88"/>
      <c r="M66" s="72" t="s">
        <v>339</v>
      </c>
      <c r="N66" s="90">
        <v>560.0</v>
      </c>
      <c r="O66" s="74" t="s">
        <v>1138</v>
      </c>
      <c r="P66" s="75">
        <v>0.5916666666666667</v>
      </c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45787.0</v>
      </c>
      <c r="I67" s="68"/>
      <c r="J67" s="69"/>
      <c r="K67" s="87"/>
      <c r="L67" s="71"/>
      <c r="M67" s="72" t="s">
        <v>20</v>
      </c>
      <c r="N67" s="90">
        <v>100.0</v>
      </c>
      <c r="O67" s="74" t="s">
        <v>768</v>
      </c>
      <c r="P67" s="75">
        <v>0.5965277777777778</v>
      </c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45787.0</v>
      </c>
      <c r="I68" s="84"/>
      <c r="J68" s="17"/>
      <c r="K68" s="85"/>
      <c r="L68" s="86"/>
      <c r="M68" s="72" t="s">
        <v>469</v>
      </c>
      <c r="N68" s="90">
        <v>11796.79</v>
      </c>
      <c r="O68" s="126"/>
      <c r="P68" s="75">
        <v>0.6069444444444444</v>
      </c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45787.0</v>
      </c>
      <c r="I69" s="68" t="s">
        <v>1120</v>
      </c>
      <c r="J69" s="69">
        <v>22400.0</v>
      </c>
      <c r="K69" s="85"/>
      <c r="L69" s="71">
        <v>0.6104166666666667</v>
      </c>
      <c r="M69" s="72"/>
      <c r="N69" s="90"/>
      <c r="O69" s="74"/>
      <c r="P69" s="75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45787.0</v>
      </c>
      <c r="I70" s="68" t="s">
        <v>1117</v>
      </c>
      <c r="J70" s="69">
        <v>4185.0</v>
      </c>
      <c r="K70" s="70" t="s">
        <v>1139</v>
      </c>
      <c r="L70" s="71">
        <v>0.7090277777777778</v>
      </c>
      <c r="M70" s="72" t="s">
        <v>469</v>
      </c>
      <c r="N70" s="90">
        <v>16664.55</v>
      </c>
      <c r="O70" s="74" t="s">
        <v>1140</v>
      </c>
      <c r="P70" s="75">
        <v>0.6993055555555555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45787.0</v>
      </c>
      <c r="I71" s="68" t="s">
        <v>1003</v>
      </c>
      <c r="J71" s="69">
        <v>3645.0</v>
      </c>
      <c r="K71" s="70" t="s">
        <v>1141</v>
      </c>
      <c r="L71" s="71">
        <v>0.7923611111111111</v>
      </c>
      <c r="M71" s="72"/>
      <c r="N71" s="90"/>
      <c r="O71" s="74"/>
      <c r="P71" s="75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45788.0</v>
      </c>
      <c r="I72" s="68"/>
      <c r="J72" s="69"/>
      <c r="K72" s="87"/>
      <c r="L72" s="71"/>
      <c r="M72" s="72" t="s">
        <v>469</v>
      </c>
      <c r="N72" s="90">
        <v>11110.0</v>
      </c>
      <c r="O72" s="74" t="s">
        <v>1026</v>
      </c>
      <c r="P72" s="75">
        <v>0.4930555555555556</v>
      </c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45788.0</v>
      </c>
      <c r="I73" s="68" t="s">
        <v>1117</v>
      </c>
      <c r="J73" s="69">
        <v>6885.0</v>
      </c>
      <c r="K73" s="70" t="s">
        <v>1142</v>
      </c>
      <c r="L73" s="71">
        <v>0.6111111111111112</v>
      </c>
      <c r="M73" s="72" t="s">
        <v>864</v>
      </c>
      <c r="N73" s="90">
        <v>5610.0</v>
      </c>
      <c r="O73" s="126"/>
      <c r="P73" s="75">
        <v>0.6722222222222223</v>
      </c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45789.0</v>
      </c>
      <c r="I74" s="154"/>
      <c r="J74" s="69"/>
      <c r="K74" s="93"/>
      <c r="L74" s="71"/>
      <c r="M74" s="72" t="s">
        <v>469</v>
      </c>
      <c r="N74" s="90">
        <v>22220.01</v>
      </c>
      <c r="O74" s="74" t="s">
        <v>1143</v>
      </c>
      <c r="P74" s="75">
        <v>0.5826388888888889</v>
      </c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45789.0</v>
      </c>
      <c r="I75" s="68" t="s">
        <v>1117</v>
      </c>
      <c r="J75" s="69">
        <v>4185.0</v>
      </c>
      <c r="K75" s="70" t="s">
        <v>1144</v>
      </c>
      <c r="L75" s="71">
        <v>0.7284722222222222</v>
      </c>
      <c r="M75" s="72" t="s">
        <v>469</v>
      </c>
      <c r="N75" s="90">
        <v>1830.92</v>
      </c>
      <c r="O75" s="74" t="s">
        <v>1145</v>
      </c>
      <c r="P75" s="75">
        <v>0.7</v>
      </c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45789.0</v>
      </c>
      <c r="I76" s="68" t="s">
        <v>1119</v>
      </c>
      <c r="J76" s="69">
        <v>50000.0</v>
      </c>
      <c r="K76" s="85"/>
      <c r="L76" s="71">
        <v>0.7645833333333333</v>
      </c>
      <c r="M76" s="72"/>
      <c r="N76" s="90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45790.0</v>
      </c>
      <c r="I77" s="68" t="s">
        <v>1120</v>
      </c>
      <c r="J77" s="69">
        <v>1176.0</v>
      </c>
      <c r="K77" s="87"/>
      <c r="L77" s="71">
        <v>0.5965277777777778</v>
      </c>
      <c r="M77" s="72" t="s">
        <v>1002</v>
      </c>
      <c r="N77" s="90">
        <v>1644.0</v>
      </c>
      <c r="O77" s="74" t="s">
        <v>1146</v>
      </c>
      <c r="P77" s="75">
        <v>0.6041666666666666</v>
      </c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45790.0</v>
      </c>
      <c r="I78" s="68"/>
      <c r="J78" s="69"/>
      <c r="K78" s="87"/>
      <c r="L78" s="71"/>
      <c r="M78" s="72" t="s">
        <v>469</v>
      </c>
      <c r="N78" s="90">
        <v>24442.0</v>
      </c>
      <c r="O78" s="74" t="s">
        <v>1147</v>
      </c>
      <c r="P78" s="75">
        <v>0.6215277777777778</v>
      </c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45790.0</v>
      </c>
      <c r="I79" s="68"/>
      <c r="J79" s="69"/>
      <c r="K79" s="70"/>
      <c r="L79" s="71"/>
      <c r="M79" s="72" t="s">
        <v>30</v>
      </c>
      <c r="N79" s="90">
        <v>81.8</v>
      </c>
      <c r="O79" s="74" t="s">
        <v>1148</v>
      </c>
      <c r="P79" s="75">
        <v>0.7006944444444444</v>
      </c>
      <c r="Q79" s="41"/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45790.0</v>
      </c>
      <c r="I80" s="154"/>
      <c r="J80" s="17"/>
      <c r="K80" s="92"/>
      <c r="L80" s="173"/>
      <c r="M80" s="72" t="s">
        <v>864</v>
      </c>
      <c r="N80" s="90">
        <v>5170.0</v>
      </c>
      <c r="O80" s="74"/>
      <c r="P80" s="75">
        <v>0.7263888888888889</v>
      </c>
      <c r="Q80" s="41"/>
      <c r="R80" s="39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45790.0</v>
      </c>
      <c r="I81" s="68"/>
      <c r="J81" s="69"/>
      <c r="K81" s="87"/>
      <c r="L81" s="71"/>
      <c r="M81" s="72" t="s">
        <v>671</v>
      </c>
      <c r="N81" s="90">
        <v>3243.0</v>
      </c>
      <c r="O81" s="74"/>
      <c r="P81" s="75">
        <v>0.8701388888888889</v>
      </c>
      <c r="Q81" s="41"/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45790.0</v>
      </c>
      <c r="I82" s="68"/>
      <c r="J82" s="69"/>
      <c r="K82" s="87"/>
      <c r="L82" s="71"/>
      <c r="M82" s="72" t="s">
        <v>69</v>
      </c>
      <c r="N82" s="90">
        <v>776.98</v>
      </c>
      <c r="O82" s="126"/>
      <c r="P82" s="75">
        <v>0.9402777777777778</v>
      </c>
      <c r="Q82" s="41"/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45791.0</v>
      </c>
      <c r="I83" s="68"/>
      <c r="J83" s="69"/>
      <c r="K83" s="87"/>
      <c r="L83" s="71"/>
      <c r="M83" s="72" t="s">
        <v>20</v>
      </c>
      <c r="N83" s="90">
        <v>208.15</v>
      </c>
      <c r="O83" s="74" t="s">
        <v>275</v>
      </c>
      <c r="P83" s="75">
        <v>0.5319444444444444</v>
      </c>
      <c r="Q83" s="41"/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45791.0</v>
      </c>
      <c r="I84" s="68"/>
      <c r="J84" s="69"/>
      <c r="K84" s="70"/>
      <c r="L84" s="88"/>
      <c r="M84" s="72" t="s">
        <v>469</v>
      </c>
      <c r="N84" s="90">
        <v>9918.3</v>
      </c>
      <c r="O84" s="74" t="s">
        <v>1149</v>
      </c>
      <c r="P84" s="75">
        <v>0.5847222222222223</v>
      </c>
      <c r="Q84" s="41"/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45791.0</v>
      </c>
      <c r="I85" s="68"/>
      <c r="J85" s="69"/>
      <c r="K85" s="70"/>
      <c r="L85" s="71"/>
      <c r="M85" s="72" t="s">
        <v>1094</v>
      </c>
      <c r="N85" s="90">
        <v>454.04</v>
      </c>
      <c r="O85" s="74" t="s">
        <v>1150</v>
      </c>
      <c r="P85" s="75">
        <v>0.5979166666666667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45791.0</v>
      </c>
      <c r="I86" s="68" t="s">
        <v>1121</v>
      </c>
      <c r="J86" s="69">
        <v>20000.0</v>
      </c>
      <c r="K86" s="85"/>
      <c r="L86" s="71">
        <v>0.6472222222222223</v>
      </c>
      <c r="M86" s="147"/>
      <c r="N86" s="90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45791.0</v>
      </c>
      <c r="I87" s="68" t="s">
        <v>1117</v>
      </c>
      <c r="J87" s="69">
        <v>8505.0</v>
      </c>
      <c r="K87" s="70" t="s">
        <v>1151</v>
      </c>
      <c r="L87" s="71">
        <v>0.5923611111111111</v>
      </c>
      <c r="M87" s="72"/>
      <c r="N87" s="90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45791.0</v>
      </c>
      <c r="I88" s="68" t="s">
        <v>1119</v>
      </c>
      <c r="J88" s="69">
        <v>50000.0</v>
      </c>
      <c r="K88" s="85"/>
      <c r="L88" s="71">
        <v>0.7777777777777778</v>
      </c>
      <c r="M88" s="72" t="s">
        <v>827</v>
      </c>
      <c r="N88" s="90">
        <v>1357.29</v>
      </c>
      <c r="O88" s="126"/>
      <c r="P88" s="75">
        <v>0.8263888888888888</v>
      </c>
      <c r="Q88" s="41"/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45792.0</v>
      </c>
      <c r="I89" s="68"/>
      <c r="J89" s="69"/>
      <c r="K89" s="70"/>
      <c r="L89" s="88"/>
      <c r="M89" s="72" t="s">
        <v>469</v>
      </c>
      <c r="N89" s="90">
        <v>18967.8</v>
      </c>
      <c r="O89" s="74" t="s">
        <v>1152</v>
      </c>
      <c r="P89" s="75">
        <v>0.5680555555555555</v>
      </c>
      <c r="Q89" s="41"/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45792.0</v>
      </c>
      <c r="I90" s="84"/>
      <c r="J90" s="17"/>
      <c r="K90" s="85"/>
      <c r="L90" s="86"/>
      <c r="M90" s="72" t="s">
        <v>469</v>
      </c>
      <c r="N90" s="90">
        <v>1111.0</v>
      </c>
      <c r="O90" s="74" t="s">
        <v>1153</v>
      </c>
      <c r="P90" s="75">
        <v>0.5930555555555556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45792.0</v>
      </c>
      <c r="I91" s="68" t="s">
        <v>1116</v>
      </c>
      <c r="J91" s="69">
        <v>3000.0</v>
      </c>
      <c r="K91" s="87"/>
      <c r="L91" s="71">
        <v>0.6618055555555555</v>
      </c>
      <c r="M91" s="72" t="s">
        <v>1110</v>
      </c>
      <c r="N91" s="90">
        <v>3520.0</v>
      </c>
      <c r="O91" s="74"/>
      <c r="P91" s="75">
        <v>0.6222222222222222</v>
      </c>
      <c r="Q91" s="41"/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45792.0</v>
      </c>
      <c r="I92" s="84"/>
      <c r="J92" s="17"/>
      <c r="K92" s="85"/>
      <c r="L92" s="86"/>
      <c r="M92" s="72" t="s">
        <v>1002</v>
      </c>
      <c r="N92" s="90">
        <v>178.45</v>
      </c>
      <c r="O92" s="74" t="s">
        <v>1154</v>
      </c>
      <c r="P92" s="75">
        <v>0.6465277777777778</v>
      </c>
      <c r="Q92" s="41"/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45792.0</v>
      </c>
      <c r="I93" s="68"/>
      <c r="J93" s="69"/>
      <c r="K93" s="70"/>
      <c r="L93" s="88"/>
      <c r="M93" s="72" t="s">
        <v>69</v>
      </c>
      <c r="N93" s="90">
        <v>624.98</v>
      </c>
      <c r="O93" s="74" t="s">
        <v>1155</v>
      </c>
      <c r="P93" s="75">
        <v>0.6722222222222223</v>
      </c>
      <c r="Q93" s="41"/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45792.0</v>
      </c>
      <c r="I94" s="68"/>
      <c r="J94" s="69"/>
      <c r="K94" s="70"/>
      <c r="L94" s="71"/>
      <c r="M94" s="72" t="s">
        <v>20</v>
      </c>
      <c r="N94" s="90">
        <v>18.0</v>
      </c>
      <c r="O94" s="74" t="s">
        <v>1156</v>
      </c>
      <c r="P94" s="75">
        <v>0.675</v>
      </c>
      <c r="Q94" s="41"/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45792.0</v>
      </c>
      <c r="I95" s="68" t="s">
        <v>1003</v>
      </c>
      <c r="J95" s="69">
        <v>4860.0</v>
      </c>
      <c r="K95" s="70" t="s">
        <v>1157</v>
      </c>
      <c r="L95" s="71">
        <v>0.6784722222222223</v>
      </c>
      <c r="M95" s="72" t="s">
        <v>1094</v>
      </c>
      <c r="N95" s="90">
        <v>545.4</v>
      </c>
      <c r="O95" s="74" t="s">
        <v>415</v>
      </c>
      <c r="P95" s="75">
        <v>0.7868055555555555</v>
      </c>
      <c r="Q95" s="41"/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45792.0</v>
      </c>
      <c r="I96" s="68" t="s">
        <v>1119</v>
      </c>
      <c r="J96" s="69">
        <v>50000.0</v>
      </c>
      <c r="K96" s="87"/>
      <c r="L96" s="71">
        <v>0.7986111111111112</v>
      </c>
      <c r="M96" s="72"/>
      <c r="N96" s="90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45793.0</v>
      </c>
      <c r="I97" s="84"/>
      <c r="J97" s="17"/>
      <c r="K97" s="85"/>
      <c r="L97" s="86"/>
      <c r="M97" s="72" t="s">
        <v>469</v>
      </c>
      <c r="N97" s="90">
        <v>26664.0</v>
      </c>
      <c r="O97" s="74" t="s">
        <v>1158</v>
      </c>
      <c r="P97" s="75">
        <v>0.5743055555555555</v>
      </c>
      <c r="Q97" s="41"/>
      <c r="R97" s="39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45793.0</v>
      </c>
      <c r="I98" s="84"/>
      <c r="J98" s="17"/>
      <c r="K98" s="85"/>
      <c r="L98" s="86"/>
      <c r="M98" s="72" t="s">
        <v>469</v>
      </c>
      <c r="N98" s="90">
        <v>11110.0</v>
      </c>
      <c r="O98" s="74" t="s">
        <v>1159</v>
      </c>
      <c r="P98" s="75">
        <v>0.7090277777777778</v>
      </c>
      <c r="Q98" s="41"/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45793.0</v>
      </c>
      <c r="I99" s="68" t="s">
        <v>1121</v>
      </c>
      <c r="J99" s="69">
        <v>30000.0</v>
      </c>
      <c r="K99" s="92"/>
      <c r="L99" s="88" t="s">
        <v>1160</v>
      </c>
      <c r="M99" s="72" t="s">
        <v>69</v>
      </c>
      <c r="N99" s="90">
        <v>1599.0</v>
      </c>
      <c r="O99" s="74" t="s">
        <v>1161</v>
      </c>
      <c r="P99" s="75">
        <v>0.7631944444444444</v>
      </c>
      <c r="Q99" s="41"/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45793.0</v>
      </c>
      <c r="I100" s="84"/>
      <c r="J100" s="17"/>
      <c r="K100" s="85"/>
      <c r="L100" s="86"/>
      <c r="M100" s="72" t="s">
        <v>1002</v>
      </c>
      <c r="N100" s="90">
        <v>1010.0</v>
      </c>
      <c r="O100" s="74" t="s">
        <v>129</v>
      </c>
      <c r="P100" s="75">
        <v>0.8861111111111111</v>
      </c>
      <c r="Q100" s="41"/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45793.0</v>
      </c>
      <c r="I101" s="84"/>
      <c r="J101" s="17"/>
      <c r="K101" s="87"/>
      <c r="L101" s="71"/>
      <c r="M101" s="72" t="s">
        <v>20</v>
      </c>
      <c r="N101" s="90">
        <v>11.0</v>
      </c>
      <c r="O101" s="74" t="s">
        <v>1162</v>
      </c>
      <c r="P101" s="75">
        <v>0.8951388888888889</v>
      </c>
      <c r="Q101" s="41"/>
      <c r="R101" s="39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45793.0</v>
      </c>
      <c r="I102" s="68"/>
      <c r="J102" s="69"/>
      <c r="K102" s="87"/>
      <c r="L102" s="71"/>
      <c r="M102" s="72" t="s">
        <v>1094</v>
      </c>
      <c r="N102" s="90">
        <v>605.4</v>
      </c>
      <c r="O102" s="74" t="s">
        <v>1163</v>
      </c>
      <c r="P102" s="75">
        <v>0.9263888888888889</v>
      </c>
      <c r="Q102" s="41"/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45794.0</v>
      </c>
      <c r="I103" s="68"/>
      <c r="J103" s="69"/>
      <c r="K103" s="87"/>
      <c r="L103" s="71"/>
      <c r="M103" s="72" t="s">
        <v>1002</v>
      </c>
      <c r="N103" s="90">
        <v>505.0</v>
      </c>
      <c r="O103" s="74" t="s">
        <v>127</v>
      </c>
      <c r="P103" s="75">
        <v>0.49236111111111114</v>
      </c>
      <c r="Q103" s="41"/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45794.0</v>
      </c>
      <c r="I104" s="84"/>
      <c r="J104" s="17"/>
      <c r="K104" s="93"/>
      <c r="L104" s="155"/>
      <c r="M104" s="72" t="s">
        <v>469</v>
      </c>
      <c r="N104" s="90">
        <v>13332.0</v>
      </c>
      <c r="O104" s="74" t="s">
        <v>1164</v>
      </c>
      <c r="P104" s="75">
        <v>0.5013888888888889</v>
      </c>
      <c r="Q104" s="41"/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45794.0</v>
      </c>
      <c r="I105" s="68" t="s">
        <v>339</v>
      </c>
      <c r="J105" s="69">
        <f>7816.98+898.6</f>
        <v>8715.58</v>
      </c>
      <c r="K105" s="70" t="s">
        <v>155</v>
      </c>
      <c r="L105" s="71">
        <v>0.6333333333333333</v>
      </c>
      <c r="M105" s="72"/>
      <c r="N105" s="90"/>
      <c r="O105" s="74"/>
      <c r="P105" s="75"/>
      <c r="Q105" s="41"/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45794.0</v>
      </c>
      <c r="I106" s="68" t="s">
        <v>1117</v>
      </c>
      <c r="J106" s="69">
        <v>1080.0</v>
      </c>
      <c r="K106" s="70" t="s">
        <v>1165</v>
      </c>
      <c r="L106" s="88" t="s">
        <v>1166</v>
      </c>
      <c r="M106" s="72"/>
      <c r="N106" s="90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45794.0</v>
      </c>
      <c r="I107" s="68" t="s">
        <v>1113</v>
      </c>
      <c r="J107" s="69">
        <v>30000.0</v>
      </c>
      <c r="K107" s="93"/>
      <c r="L107" s="88" t="s">
        <v>1167</v>
      </c>
      <c r="M107" s="147"/>
      <c r="N107" s="90"/>
      <c r="O107" s="126"/>
      <c r="P107" s="75"/>
      <c r="Q107" s="41"/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45794.0</v>
      </c>
      <c r="I108" s="68" t="s">
        <v>1121</v>
      </c>
      <c r="J108" s="69">
        <v>20000.0</v>
      </c>
      <c r="K108" s="85"/>
      <c r="L108" s="71">
        <v>0.8638888888888889</v>
      </c>
      <c r="M108" s="72"/>
      <c r="N108" s="90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45794.0</v>
      </c>
      <c r="I109" s="68" t="s">
        <v>1106</v>
      </c>
      <c r="J109" s="69">
        <v>6500.0</v>
      </c>
      <c r="K109" s="70"/>
      <c r="L109" s="71">
        <v>0.9159722222222222</v>
      </c>
      <c r="M109" s="72"/>
      <c r="N109" s="90"/>
      <c r="O109" s="74"/>
      <c r="P109" s="94"/>
      <c r="Q109" s="41"/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45795.0</v>
      </c>
      <c r="I110" s="68"/>
      <c r="J110" s="69"/>
      <c r="K110" s="70"/>
      <c r="L110" s="71"/>
      <c r="M110" s="72" t="s">
        <v>469</v>
      </c>
      <c r="N110" s="90">
        <v>26664.0</v>
      </c>
      <c r="O110" s="74" t="s">
        <v>1168</v>
      </c>
      <c r="P110" s="75">
        <v>0.46319444444444446</v>
      </c>
      <c r="Q110" s="41"/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45795.0</v>
      </c>
      <c r="I111" s="154"/>
      <c r="J111" s="17"/>
      <c r="K111" s="92"/>
      <c r="L111" s="173"/>
      <c r="M111" s="72" t="s">
        <v>1098</v>
      </c>
      <c r="N111" s="90">
        <v>665.0</v>
      </c>
      <c r="O111" s="74" t="s">
        <v>1169</v>
      </c>
      <c r="P111" s="75">
        <v>0.525</v>
      </c>
      <c r="Q111" s="41"/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45795.0</v>
      </c>
      <c r="I112" s="84"/>
      <c r="J112" s="17"/>
      <c r="K112" s="85"/>
      <c r="L112" s="86"/>
      <c r="M112" s="72" t="s">
        <v>1002</v>
      </c>
      <c r="N112" s="90">
        <v>505.0</v>
      </c>
      <c r="O112" s="74" t="s">
        <v>127</v>
      </c>
      <c r="P112" s="75">
        <v>0.5430555555555555</v>
      </c>
      <c r="Q112" s="41"/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45795.0</v>
      </c>
      <c r="I113" s="68" t="s">
        <v>1122</v>
      </c>
      <c r="J113" s="69">
        <v>50000.0</v>
      </c>
      <c r="K113" s="70"/>
      <c r="L113" s="71">
        <v>0.7430555555555556</v>
      </c>
      <c r="M113" s="147"/>
      <c r="N113" s="19"/>
      <c r="O113" s="126"/>
      <c r="P113" s="172"/>
      <c r="Q113" s="41"/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45796.0</v>
      </c>
      <c r="I114" s="154"/>
      <c r="J114" s="17"/>
      <c r="K114" s="93"/>
      <c r="L114" s="155"/>
      <c r="M114" s="72" t="s">
        <v>469</v>
      </c>
      <c r="N114" s="90">
        <v>13332.0</v>
      </c>
      <c r="O114" s="74" t="s">
        <v>1164</v>
      </c>
      <c r="P114" s="75">
        <v>0.5875</v>
      </c>
      <c r="Q114" s="41"/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45796.0</v>
      </c>
      <c r="I115" s="84"/>
      <c r="J115" s="17"/>
      <c r="K115" s="85"/>
      <c r="L115" s="86"/>
      <c r="M115" s="72" t="s">
        <v>1002</v>
      </c>
      <c r="N115" s="90">
        <v>1515.0</v>
      </c>
      <c r="O115" s="74" t="s">
        <v>1170</v>
      </c>
      <c r="P115" s="75">
        <v>0.6631944444444444</v>
      </c>
      <c r="Q115" s="41"/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45796.0</v>
      </c>
      <c r="I116" s="154"/>
      <c r="J116" s="17"/>
      <c r="K116" s="92"/>
      <c r="L116" s="155"/>
      <c r="M116" s="72" t="s">
        <v>469</v>
      </c>
      <c r="N116" s="90">
        <v>4835.08</v>
      </c>
      <c r="O116" s="74" t="s">
        <v>1171</v>
      </c>
      <c r="P116" s="75">
        <v>0.7458333333333333</v>
      </c>
      <c r="Q116" s="41"/>
      <c r="R116" s="39"/>
      <c r="S116" s="125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45796.0</v>
      </c>
      <c r="I117" s="68" t="s">
        <v>1119</v>
      </c>
      <c r="J117" s="69">
        <v>2256.0</v>
      </c>
      <c r="K117" s="70" t="s">
        <v>981</v>
      </c>
      <c r="L117" s="71">
        <v>0.7569444444444444</v>
      </c>
      <c r="M117" s="147"/>
      <c r="N117" s="19"/>
      <c r="O117" s="126"/>
      <c r="P117" s="172"/>
      <c r="Q117" s="41"/>
      <c r="R117" s="39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45796.0</v>
      </c>
      <c r="I118" s="68" t="s">
        <v>1121</v>
      </c>
      <c r="J118" s="69">
        <v>21756.0</v>
      </c>
      <c r="K118" s="70" t="s">
        <v>981</v>
      </c>
      <c r="L118" s="71">
        <v>0.8347222222222223</v>
      </c>
      <c r="M118" s="72"/>
      <c r="N118" s="90"/>
      <c r="O118" s="126"/>
      <c r="P118" s="174"/>
      <c r="Q118" s="41"/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45797.0</v>
      </c>
      <c r="I119" s="154"/>
      <c r="J119" s="17"/>
      <c r="K119" s="93"/>
      <c r="L119" s="155"/>
      <c r="M119" s="72" t="s">
        <v>671</v>
      </c>
      <c r="N119" s="90">
        <v>644.0</v>
      </c>
      <c r="O119" s="126"/>
      <c r="P119" s="75">
        <v>0.48819444444444443</v>
      </c>
      <c r="Q119" s="41"/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45797.0</v>
      </c>
      <c r="I120" s="68"/>
      <c r="J120" s="69"/>
      <c r="K120" s="87"/>
      <c r="L120" s="71"/>
      <c r="M120" s="72" t="s">
        <v>469</v>
      </c>
      <c r="N120" s="90">
        <v>29997.0</v>
      </c>
      <c r="O120" s="74" t="s">
        <v>1172</v>
      </c>
      <c r="P120" s="75">
        <v>0.5701388888888889</v>
      </c>
      <c r="Q120" s="41"/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45797.0</v>
      </c>
      <c r="I121" s="68" t="s">
        <v>1122</v>
      </c>
      <c r="J121" s="69">
        <v>50000.0</v>
      </c>
      <c r="K121" s="70"/>
      <c r="L121" s="71">
        <v>0.5895833333333333</v>
      </c>
      <c r="M121" s="72" t="s">
        <v>20</v>
      </c>
      <c r="N121" s="90">
        <v>25.0</v>
      </c>
      <c r="O121" s="74" t="s">
        <v>1173</v>
      </c>
      <c r="P121" s="75">
        <v>0.6347222222222222</v>
      </c>
      <c r="Q121" s="41"/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45797.0</v>
      </c>
      <c r="I122" s="68"/>
      <c r="J122" s="69"/>
      <c r="K122" s="70"/>
      <c r="L122" s="88"/>
      <c r="M122" s="72" t="s">
        <v>20</v>
      </c>
      <c r="N122" s="90">
        <v>48.0</v>
      </c>
      <c r="O122" s="74" t="s">
        <v>1174</v>
      </c>
      <c r="P122" s="75">
        <v>0.7819444444444444</v>
      </c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45797.0</v>
      </c>
      <c r="I123" s="68"/>
      <c r="J123" s="69"/>
      <c r="K123" s="70"/>
      <c r="L123" s="71"/>
      <c r="M123" s="72" t="s">
        <v>827</v>
      </c>
      <c r="N123" s="90">
        <v>1191.68</v>
      </c>
      <c r="O123" s="74" t="s">
        <v>1175</v>
      </c>
      <c r="P123" s="75">
        <v>0.8826388888888889</v>
      </c>
      <c r="Q123" s="41"/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45798.0</v>
      </c>
      <c r="I124" s="68"/>
      <c r="J124" s="69"/>
      <c r="K124" s="70"/>
      <c r="L124" s="88"/>
      <c r="M124" s="72" t="s">
        <v>469</v>
      </c>
      <c r="N124" s="90">
        <v>33249.2</v>
      </c>
      <c r="O124" s="74" t="s">
        <v>1176</v>
      </c>
      <c r="P124" s="75">
        <v>0.5826388888888889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45798.0</v>
      </c>
      <c r="I125" s="84"/>
      <c r="J125" s="17"/>
      <c r="K125" s="85"/>
      <c r="L125" s="86"/>
      <c r="M125" s="72" t="s">
        <v>823</v>
      </c>
      <c r="N125" s="90">
        <v>3242.2</v>
      </c>
      <c r="O125" s="74" t="s">
        <v>1177</v>
      </c>
      <c r="P125" s="75">
        <v>0.5965277777777778</v>
      </c>
      <c r="Q125" s="41"/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45798.0</v>
      </c>
      <c r="I126" s="84"/>
      <c r="J126" s="17"/>
      <c r="K126" s="85"/>
      <c r="L126" s="86"/>
      <c r="M126" s="72" t="s">
        <v>469</v>
      </c>
      <c r="N126" s="90">
        <v>3333.0</v>
      </c>
      <c r="O126" s="74" t="s">
        <v>1178</v>
      </c>
      <c r="P126" s="75">
        <v>0.6333333333333333</v>
      </c>
      <c r="Q126" s="41"/>
      <c r="R126" s="39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45798.0</v>
      </c>
      <c r="I127" s="68" t="s">
        <v>1123</v>
      </c>
      <c r="J127" s="69">
        <v>30000.0</v>
      </c>
      <c r="K127" s="87"/>
      <c r="L127" s="71">
        <v>0.6625</v>
      </c>
      <c r="M127" s="72" t="s">
        <v>1098</v>
      </c>
      <c r="N127" s="90">
        <v>720.0</v>
      </c>
      <c r="O127" s="74" t="s">
        <v>1179</v>
      </c>
      <c r="P127" s="75">
        <v>0.7826388888888889</v>
      </c>
      <c r="Q127" s="41"/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45799.0</v>
      </c>
      <c r="I128" s="68" t="s">
        <v>1123</v>
      </c>
      <c r="J128" s="69">
        <v>50000.0</v>
      </c>
      <c r="K128" s="70"/>
      <c r="L128" s="71">
        <v>0.5222222222222223</v>
      </c>
      <c r="M128" s="72" t="s">
        <v>823</v>
      </c>
      <c r="N128" s="90">
        <v>11600.0</v>
      </c>
      <c r="O128" s="74" t="s">
        <v>1180</v>
      </c>
      <c r="P128" s="75">
        <v>0.5298611111111111</v>
      </c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45799.0</v>
      </c>
      <c r="I129" s="68"/>
      <c r="J129" s="69"/>
      <c r="K129" s="70"/>
      <c r="L129" s="71"/>
      <c r="M129" s="72" t="s">
        <v>14</v>
      </c>
      <c r="N129" s="90">
        <v>52310.7</v>
      </c>
      <c r="O129" s="74" t="s">
        <v>1181</v>
      </c>
      <c r="P129" s="75">
        <v>0.5347222222222222</v>
      </c>
      <c r="Q129" s="41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45799.0</v>
      </c>
      <c r="I130" s="84"/>
      <c r="J130" s="17"/>
      <c r="K130" s="85"/>
      <c r="L130" s="86"/>
      <c r="M130" s="72" t="s">
        <v>469</v>
      </c>
      <c r="N130" s="90">
        <v>33330.0</v>
      </c>
      <c r="O130" s="74" t="s">
        <v>1182</v>
      </c>
      <c r="P130" s="75">
        <v>0.5722222222222222</v>
      </c>
      <c r="Q130" s="41"/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45799.0</v>
      </c>
      <c r="I131" s="68" t="s">
        <v>1118</v>
      </c>
      <c r="J131" s="69">
        <v>1934.0</v>
      </c>
      <c r="K131" s="70" t="s">
        <v>1183</v>
      </c>
      <c r="L131" s="71">
        <v>0.5958333333333333</v>
      </c>
      <c r="M131" s="72" t="s">
        <v>827</v>
      </c>
      <c r="N131" s="90">
        <v>1996.67</v>
      </c>
      <c r="O131" s="74" t="s">
        <v>1184</v>
      </c>
      <c r="P131" s="75">
        <v>0.6298611111111111</v>
      </c>
      <c r="Q131" s="41"/>
      <c r="R131" s="39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45799.0</v>
      </c>
      <c r="I132" s="84"/>
      <c r="J132" s="17"/>
      <c r="K132" s="85"/>
      <c r="L132" s="86"/>
      <c r="M132" s="72" t="s">
        <v>20</v>
      </c>
      <c r="N132" s="90">
        <v>200.0</v>
      </c>
      <c r="O132" s="74" t="s">
        <v>45</v>
      </c>
      <c r="P132" s="75">
        <v>0.6597222222222222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45799.0</v>
      </c>
      <c r="I133" s="68" t="s">
        <v>1122</v>
      </c>
      <c r="J133" s="69">
        <v>50000.0</v>
      </c>
      <c r="K133" s="70"/>
      <c r="L133" s="71">
        <v>0.7833333333333333</v>
      </c>
      <c r="M133" s="72"/>
      <c r="N133" s="90"/>
      <c r="O133" s="74"/>
      <c r="P133" s="75"/>
      <c r="Q133" s="41"/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45800.0</v>
      </c>
      <c r="I134" s="68"/>
      <c r="J134" s="69"/>
      <c r="K134" s="70"/>
      <c r="L134" s="88"/>
      <c r="M134" s="72" t="s">
        <v>469</v>
      </c>
      <c r="N134" s="90">
        <v>27270.0</v>
      </c>
      <c r="O134" s="74" t="s">
        <v>1185</v>
      </c>
      <c r="P134" s="75">
        <v>0.5902777777777778</v>
      </c>
      <c r="Q134" s="41"/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45800.0</v>
      </c>
      <c r="I135" s="68"/>
      <c r="J135" s="69"/>
      <c r="K135" s="85"/>
      <c r="L135" s="71"/>
      <c r="M135" s="72" t="s">
        <v>69</v>
      </c>
      <c r="N135" s="90">
        <v>968.82</v>
      </c>
      <c r="O135" s="74" t="s">
        <v>1186</v>
      </c>
      <c r="P135" s="75">
        <v>0.6090277777777777</v>
      </c>
      <c r="Q135" s="41"/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45800.0</v>
      </c>
      <c r="I136" s="68"/>
      <c r="J136" s="69"/>
      <c r="K136" s="70"/>
      <c r="L136" s="71"/>
      <c r="M136" s="72" t="s">
        <v>20</v>
      </c>
      <c r="N136" s="90">
        <v>68.0</v>
      </c>
      <c r="O136" s="74" t="s">
        <v>1174</v>
      </c>
      <c r="P136" s="75">
        <v>0.6993055555555555</v>
      </c>
      <c r="Q136" s="41"/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45801.0</v>
      </c>
      <c r="I137" s="84"/>
      <c r="J137" s="17"/>
      <c r="K137" s="85"/>
      <c r="L137" s="86"/>
      <c r="M137" s="72" t="s">
        <v>1002</v>
      </c>
      <c r="N137" s="90">
        <v>451.75</v>
      </c>
      <c r="O137" s="74" t="s">
        <v>1187</v>
      </c>
      <c r="P137" s="75">
        <v>0.4666666666666667</v>
      </c>
      <c r="Q137" s="41"/>
      <c r="R137" s="39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45801.0</v>
      </c>
      <c r="I138" s="68"/>
      <c r="J138" s="69"/>
      <c r="K138" s="70"/>
      <c r="L138" s="71"/>
      <c r="M138" s="72" t="s">
        <v>823</v>
      </c>
      <c r="N138" s="90">
        <v>5800.0</v>
      </c>
      <c r="O138" s="74" t="s">
        <v>1188</v>
      </c>
      <c r="P138" s="75">
        <v>0.5368055555555555</v>
      </c>
      <c r="Q138" s="41"/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45801.0</v>
      </c>
      <c r="I139" s="68"/>
      <c r="J139" s="69"/>
      <c r="K139" s="70"/>
      <c r="L139" s="71"/>
      <c r="M139" s="72" t="s">
        <v>469</v>
      </c>
      <c r="N139" s="90">
        <v>16665.0</v>
      </c>
      <c r="O139" s="74" t="s">
        <v>1008</v>
      </c>
      <c r="P139" s="75">
        <v>0.5881944444444445</v>
      </c>
      <c r="Q139" s="41"/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45801.0</v>
      </c>
      <c r="I140" s="68"/>
      <c r="J140" s="69"/>
      <c r="K140" s="70"/>
      <c r="L140" s="88"/>
      <c r="M140" s="72" t="s">
        <v>69</v>
      </c>
      <c r="N140" s="90">
        <v>966.15</v>
      </c>
      <c r="O140" s="74" t="s">
        <v>1189</v>
      </c>
      <c r="P140" s="75">
        <v>0.6340277777777777</v>
      </c>
      <c r="Q140" s="41"/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45801.0</v>
      </c>
      <c r="I141" s="84"/>
      <c r="J141" s="17"/>
      <c r="K141" s="85"/>
      <c r="L141" s="86"/>
      <c r="M141" s="72" t="s">
        <v>1002</v>
      </c>
      <c r="N141" s="90">
        <v>505.0</v>
      </c>
      <c r="O141" s="74" t="s">
        <v>127</v>
      </c>
      <c r="P141" s="75">
        <v>0.6576388888888889</v>
      </c>
      <c r="Q141" s="41"/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45801.0</v>
      </c>
      <c r="I142" s="154"/>
      <c r="J142" s="17"/>
      <c r="K142" s="93"/>
      <c r="L142" s="155"/>
      <c r="M142" s="72" t="s">
        <v>1099</v>
      </c>
      <c r="N142" s="90">
        <v>1100.0</v>
      </c>
      <c r="O142" s="74" t="s">
        <v>1190</v>
      </c>
      <c r="P142" s="75">
        <v>0.6916666666666667</v>
      </c>
      <c r="Q142" s="41"/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45802.0</v>
      </c>
      <c r="I143" s="68" t="s">
        <v>1123</v>
      </c>
      <c r="J143" s="69">
        <v>44572.0</v>
      </c>
      <c r="K143" s="70" t="s">
        <v>981</v>
      </c>
      <c r="L143" s="71">
        <v>0.5131944444444444</v>
      </c>
      <c r="M143" s="72" t="s">
        <v>469</v>
      </c>
      <c r="N143" s="90">
        <v>16665.0</v>
      </c>
      <c r="O143" s="74" t="s">
        <v>1008</v>
      </c>
      <c r="P143" s="75">
        <v>0.5840277777777778</v>
      </c>
      <c r="Q143" s="41"/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45802.0</v>
      </c>
      <c r="I144" s="68"/>
      <c r="J144" s="69"/>
      <c r="K144" s="85"/>
      <c r="L144" s="71"/>
      <c r="M144" s="72" t="s">
        <v>69</v>
      </c>
      <c r="N144" s="90">
        <v>1111.0</v>
      </c>
      <c r="O144" s="74" t="s">
        <v>1191</v>
      </c>
      <c r="P144" s="75">
        <v>0.8958333333333334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45803.0</v>
      </c>
      <c r="I145" s="68" t="s">
        <v>1127</v>
      </c>
      <c r="J145" s="69">
        <v>1745.86</v>
      </c>
      <c r="K145" s="70" t="s">
        <v>155</v>
      </c>
      <c r="L145" s="71">
        <v>0.44305555555555554</v>
      </c>
      <c r="M145" s="72"/>
      <c r="N145" s="90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45803.0</v>
      </c>
      <c r="I146" s="68" t="s">
        <v>1118</v>
      </c>
      <c r="J146" s="69">
        <v>2160.0</v>
      </c>
      <c r="K146" s="70" t="s">
        <v>1192</v>
      </c>
      <c r="L146" s="71">
        <v>0.48333333333333334</v>
      </c>
      <c r="M146" s="72" t="s">
        <v>469</v>
      </c>
      <c r="N146" s="90">
        <v>16169.84</v>
      </c>
      <c r="O146" s="74" t="s">
        <v>1193</v>
      </c>
      <c r="P146" s="75">
        <v>0.575</v>
      </c>
      <c r="Q146" s="41"/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45803.0</v>
      </c>
      <c r="I147" s="84"/>
      <c r="J147" s="17"/>
      <c r="K147" s="85"/>
      <c r="L147" s="86"/>
      <c r="M147" s="72" t="s">
        <v>864</v>
      </c>
      <c r="N147" s="90">
        <v>330.0</v>
      </c>
      <c r="O147" s="74"/>
      <c r="P147" s="75">
        <v>0.6611111111111111</v>
      </c>
      <c r="Q147" s="41"/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45803.0</v>
      </c>
      <c r="I148" s="68"/>
      <c r="J148" s="69"/>
      <c r="K148" s="85"/>
      <c r="L148" s="71"/>
      <c r="M148" s="72" t="s">
        <v>20</v>
      </c>
      <c r="N148" s="90">
        <v>46.0</v>
      </c>
      <c r="O148" s="74" t="s">
        <v>404</v>
      </c>
      <c r="P148" s="75">
        <v>0.6875</v>
      </c>
      <c r="Q148" s="41"/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45803.0</v>
      </c>
      <c r="I149" s="68" t="s">
        <v>1122</v>
      </c>
      <c r="J149" s="69">
        <v>100000.0</v>
      </c>
      <c r="K149" s="85"/>
      <c r="L149" s="71">
        <v>0.7069444444444445</v>
      </c>
      <c r="M149" s="72" t="s">
        <v>69</v>
      </c>
      <c r="N149" s="90">
        <v>1414.0</v>
      </c>
      <c r="O149" s="74" t="s">
        <v>1194</v>
      </c>
      <c r="P149" s="75">
        <v>0.7125</v>
      </c>
      <c r="Q149" s="41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45803.0</v>
      </c>
      <c r="I150" s="84"/>
      <c r="J150" s="17"/>
      <c r="K150" s="85"/>
      <c r="L150" s="86"/>
      <c r="M150" s="72" t="s">
        <v>1094</v>
      </c>
      <c r="N150" s="90">
        <v>742.29</v>
      </c>
      <c r="O150" s="74" t="s">
        <v>1195</v>
      </c>
      <c r="P150" s="75">
        <v>0.9909722222222223</v>
      </c>
      <c r="Q150" s="41"/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45804.0</v>
      </c>
      <c r="I151" s="68"/>
      <c r="J151" s="69"/>
      <c r="K151" s="70"/>
      <c r="L151" s="88"/>
      <c r="M151" s="72" t="s">
        <v>1094</v>
      </c>
      <c r="N151" s="90">
        <v>545.4</v>
      </c>
      <c r="O151" s="74" t="s">
        <v>415</v>
      </c>
      <c r="P151" s="75">
        <v>0.5423611111111111</v>
      </c>
      <c r="Q151" s="41"/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45804.0</v>
      </c>
      <c r="I152" s="68"/>
      <c r="J152" s="69"/>
      <c r="K152" s="87"/>
      <c r="L152" s="71"/>
      <c r="M152" s="72" t="s">
        <v>20</v>
      </c>
      <c r="N152" s="90">
        <v>36.0</v>
      </c>
      <c r="O152" s="74" t="s">
        <v>1196</v>
      </c>
      <c r="P152" s="75">
        <v>0.5729166666666666</v>
      </c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45804.0</v>
      </c>
      <c r="I153" s="68"/>
      <c r="J153" s="69"/>
      <c r="K153" s="85"/>
      <c r="L153" s="71"/>
      <c r="M153" s="72" t="s">
        <v>469</v>
      </c>
      <c r="N153" s="90">
        <v>16665.0</v>
      </c>
      <c r="O153" s="74" t="s">
        <v>1008</v>
      </c>
      <c r="P153" s="75">
        <v>0.5930555555555556</v>
      </c>
      <c r="Q153" s="41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45804.0</v>
      </c>
      <c r="I154" s="84"/>
      <c r="J154" s="17"/>
      <c r="K154" s="85"/>
      <c r="L154" s="86"/>
      <c r="M154" s="72" t="s">
        <v>1012</v>
      </c>
      <c r="N154" s="90">
        <v>759.0</v>
      </c>
      <c r="O154" s="74"/>
      <c r="P154" s="94" t="s">
        <v>1197</v>
      </c>
      <c r="Q154" s="41"/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45804.0</v>
      </c>
      <c r="I155" s="68" t="s">
        <v>1099</v>
      </c>
      <c r="J155" s="69">
        <v>971.0</v>
      </c>
      <c r="K155" s="70" t="s">
        <v>155</v>
      </c>
      <c r="L155" s="71">
        <v>0.6666666666666666</v>
      </c>
      <c r="M155" s="72" t="s">
        <v>864</v>
      </c>
      <c r="N155" s="90">
        <v>3300.0</v>
      </c>
      <c r="O155" s="74"/>
      <c r="P155" s="75">
        <v>0.7270833333333333</v>
      </c>
      <c r="Q155" s="41"/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45804.0</v>
      </c>
      <c r="I156" s="84"/>
      <c r="J156" s="17"/>
      <c r="K156" s="85"/>
      <c r="L156" s="86"/>
      <c r="M156" s="72" t="s">
        <v>1094</v>
      </c>
      <c r="N156" s="90">
        <v>1090.8</v>
      </c>
      <c r="O156" s="74" t="s">
        <v>1198</v>
      </c>
      <c r="P156" s="75">
        <v>0.5048611111111111</v>
      </c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45805.0</v>
      </c>
      <c r="I157" s="68"/>
      <c r="J157" s="69"/>
      <c r="K157" s="87"/>
      <c r="L157" s="71"/>
      <c r="M157" s="72" t="s">
        <v>469</v>
      </c>
      <c r="N157" s="90">
        <v>16665.0</v>
      </c>
      <c r="O157" s="74" t="s">
        <v>1008</v>
      </c>
      <c r="P157" s="75">
        <v>0.5895833333333333</v>
      </c>
      <c r="Q157" s="41"/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45805.0</v>
      </c>
      <c r="I158" s="68"/>
      <c r="J158" s="69"/>
      <c r="K158" s="87"/>
      <c r="L158" s="71"/>
      <c r="M158" s="72" t="s">
        <v>1002</v>
      </c>
      <c r="N158" s="90">
        <v>1010.0</v>
      </c>
      <c r="O158" s="74" t="s">
        <v>129</v>
      </c>
      <c r="P158" s="75">
        <v>0.6159722222222223</v>
      </c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45805.0</v>
      </c>
      <c r="I159" s="68"/>
      <c r="J159" s="69"/>
      <c r="K159" s="85"/>
      <c r="L159" s="71"/>
      <c r="M159" s="72" t="s">
        <v>1002</v>
      </c>
      <c r="N159" s="90">
        <v>1010.0</v>
      </c>
      <c r="O159" s="74" t="s">
        <v>129</v>
      </c>
      <c r="P159" s="75">
        <v>0.7263888888888889</v>
      </c>
      <c r="Q159" s="41"/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45805.0</v>
      </c>
      <c r="I160" s="154"/>
      <c r="J160" s="17"/>
      <c r="K160" s="93"/>
      <c r="L160" s="155"/>
      <c r="M160" s="72" t="s">
        <v>69</v>
      </c>
      <c r="N160" s="90">
        <v>956.0</v>
      </c>
      <c r="O160" s="74" t="s">
        <v>1199</v>
      </c>
      <c r="P160" s="75">
        <v>0.9395833333333333</v>
      </c>
      <c r="Q160" s="41"/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45806.0</v>
      </c>
      <c r="I161" s="84"/>
      <c r="J161" s="17"/>
      <c r="K161" s="93"/>
      <c r="L161" s="155"/>
      <c r="M161" s="72" t="s">
        <v>469</v>
      </c>
      <c r="N161" s="90">
        <v>16665.0</v>
      </c>
      <c r="O161" s="74" t="s">
        <v>1008</v>
      </c>
      <c r="P161" s="75">
        <v>0.4534722222222222</v>
      </c>
      <c r="Q161" s="41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45806.0</v>
      </c>
      <c r="I162" s="84"/>
      <c r="J162" s="69"/>
      <c r="K162" s="87"/>
      <c r="L162" s="71"/>
      <c r="M162" s="72" t="s">
        <v>69</v>
      </c>
      <c r="N162" s="90">
        <v>813.0</v>
      </c>
      <c r="O162" s="74" t="s">
        <v>1200</v>
      </c>
      <c r="P162" s="75">
        <v>0.6222222222222222</v>
      </c>
      <c r="Q162" s="41"/>
      <c r="R162" s="39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45806.0</v>
      </c>
      <c r="I163" s="68" t="s">
        <v>1118</v>
      </c>
      <c r="J163" s="69">
        <v>1620.0</v>
      </c>
      <c r="K163" s="70" t="s">
        <v>1201</v>
      </c>
      <c r="L163" s="71">
        <v>0.6618055555555555</v>
      </c>
      <c r="M163" s="72" t="s">
        <v>20</v>
      </c>
      <c r="N163" s="90">
        <v>124.93</v>
      </c>
      <c r="O163" s="74" t="s">
        <v>1202</v>
      </c>
      <c r="P163" s="75">
        <v>0.6798611111111111</v>
      </c>
      <c r="Q163" s="41"/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45806.0</v>
      </c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45806.0</v>
      </c>
      <c r="I165" s="68" t="s">
        <v>1122</v>
      </c>
      <c r="J165" s="69">
        <v>63056.0</v>
      </c>
      <c r="K165" s="70" t="s">
        <v>981</v>
      </c>
      <c r="L165" s="71">
        <v>0.7722222222222223</v>
      </c>
      <c r="M165" s="147"/>
      <c r="N165" s="90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45806.0</v>
      </c>
      <c r="I166" s="68" t="s">
        <v>1125</v>
      </c>
      <c r="J166" s="69">
        <v>50000.0</v>
      </c>
      <c r="K166" s="87"/>
      <c r="L166" s="71">
        <v>0.7722222222222223</v>
      </c>
      <c r="M166" s="147"/>
      <c r="N166" s="90"/>
      <c r="O166" s="126"/>
      <c r="P166" s="75"/>
      <c r="Q166" s="41"/>
      <c r="R166" s="39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45806.0</v>
      </c>
      <c r="I167" s="68" t="s">
        <v>1003</v>
      </c>
      <c r="J167" s="69">
        <v>405.0</v>
      </c>
      <c r="K167" s="70" t="s">
        <v>1203</v>
      </c>
      <c r="L167" s="71">
        <v>0.8034722222222223</v>
      </c>
      <c r="M167" s="72" t="s">
        <v>469</v>
      </c>
      <c r="N167" s="90">
        <v>611.05</v>
      </c>
      <c r="O167" s="74" t="s">
        <v>1204</v>
      </c>
      <c r="P167" s="75">
        <v>0.8027777777777778</v>
      </c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45806.0</v>
      </c>
      <c r="I168" s="84"/>
      <c r="J168" s="17"/>
      <c r="K168" s="85"/>
      <c r="L168" s="86"/>
      <c r="M168" s="72" t="s">
        <v>1106</v>
      </c>
      <c r="N168" s="90">
        <v>130.0</v>
      </c>
      <c r="O168" s="74" t="s">
        <v>155</v>
      </c>
      <c r="P168" s="75">
        <v>0.9284722222222223</v>
      </c>
      <c r="Q168" s="41"/>
      <c r="R168" s="39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45807.0</v>
      </c>
      <c r="I169" s="84"/>
      <c r="J169" s="17"/>
      <c r="K169" s="85"/>
      <c r="L169" s="86"/>
      <c r="M169" s="72" t="s">
        <v>469</v>
      </c>
      <c r="N169" s="90">
        <v>16665.0</v>
      </c>
      <c r="O169" s="74" t="s">
        <v>1008</v>
      </c>
      <c r="P169" s="75">
        <v>0.45</v>
      </c>
      <c r="Q169" s="41"/>
      <c r="R169" s="39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45807.0</v>
      </c>
      <c r="I170" s="84"/>
      <c r="J170" s="17"/>
      <c r="K170" s="85"/>
      <c r="L170" s="86"/>
      <c r="M170" s="72" t="s">
        <v>469</v>
      </c>
      <c r="N170" s="90">
        <v>23122.01</v>
      </c>
      <c r="O170" s="74" t="s">
        <v>1205</v>
      </c>
      <c r="P170" s="75">
        <v>0.49166666666666664</v>
      </c>
      <c r="Q170" s="41"/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45807.0</v>
      </c>
      <c r="I171" s="84"/>
      <c r="J171" s="17"/>
      <c r="K171" s="85"/>
      <c r="L171" s="86"/>
      <c r="M171" s="72" t="s">
        <v>1002</v>
      </c>
      <c r="N171" s="90">
        <v>74.08</v>
      </c>
      <c r="O171" s="74" t="s">
        <v>1206</v>
      </c>
      <c r="P171" s="75">
        <v>0.5944444444444444</v>
      </c>
      <c r="Q171" s="41"/>
      <c r="R171" s="39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45807.0</v>
      </c>
      <c r="I172" s="68"/>
      <c r="J172" s="69"/>
      <c r="K172" s="87"/>
      <c r="L172" s="71"/>
      <c r="M172" s="72" t="s">
        <v>20</v>
      </c>
      <c r="N172" s="90">
        <v>450.0</v>
      </c>
      <c r="O172" s="74" t="s">
        <v>965</v>
      </c>
      <c r="P172" s="75">
        <v>0.7131944444444445</v>
      </c>
      <c r="Q172" s="41"/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45807.0</v>
      </c>
      <c r="I173" s="68" t="s">
        <v>1001</v>
      </c>
      <c r="J173" s="69">
        <v>22400.0</v>
      </c>
      <c r="K173" s="70"/>
      <c r="L173" s="71">
        <v>0.7541666666666667</v>
      </c>
      <c r="M173" s="72"/>
      <c r="N173" s="90"/>
      <c r="O173" s="74"/>
      <c r="P173" s="75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45807.0</v>
      </c>
      <c r="I174" s="68" t="s">
        <v>30</v>
      </c>
      <c r="J174" s="69">
        <v>2853.5</v>
      </c>
      <c r="K174" s="70" t="s">
        <v>155</v>
      </c>
      <c r="L174" s="71">
        <v>0.7715277777777778</v>
      </c>
      <c r="M174" s="72"/>
      <c r="N174" s="90"/>
      <c r="O174" s="74"/>
      <c r="P174" s="75"/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45808.0</v>
      </c>
      <c r="I175" s="84"/>
      <c r="J175" s="69"/>
      <c r="K175" s="87"/>
      <c r="L175" s="71"/>
      <c r="M175" s="72" t="s">
        <v>20</v>
      </c>
      <c r="N175" s="90">
        <v>208.0</v>
      </c>
      <c r="O175" s="74" t="s">
        <v>1207</v>
      </c>
      <c r="P175" s="75">
        <v>0.76875</v>
      </c>
      <c r="Q175" s="41"/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45808.0</v>
      </c>
      <c r="I176" s="68"/>
      <c r="J176" s="69"/>
      <c r="K176" s="85"/>
      <c r="L176" s="71"/>
      <c r="M176" s="72" t="s">
        <v>69</v>
      </c>
      <c r="N176" s="90">
        <v>930.0</v>
      </c>
      <c r="O176" s="74" t="s">
        <v>1208</v>
      </c>
      <c r="P176" s="75">
        <v>0.8222222222222222</v>
      </c>
      <c r="Q176" s="41"/>
      <c r="R176" s="39"/>
      <c r="S176" s="125" t="s">
        <v>1209</v>
      </c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75"/>
      <c r="I177" s="176"/>
      <c r="J177" s="177"/>
      <c r="K177" s="178"/>
      <c r="L177" s="179"/>
      <c r="M177" s="80"/>
      <c r="N177" s="102"/>
      <c r="O177" s="180"/>
      <c r="P177" s="181"/>
      <c r="Q177" s="41"/>
      <c r="R177" s="39"/>
      <c r="S177" s="143"/>
      <c r="T177" s="143"/>
      <c r="U177" s="143"/>
      <c r="V177" s="143"/>
      <c r="W177" s="143"/>
      <c r="X177" s="144"/>
      <c r="Y177" s="145"/>
      <c r="Z177" s="145"/>
      <c r="AA177" s="145"/>
      <c r="AB177" s="145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69"/>
      <c r="K178" s="87"/>
      <c r="L178" s="71"/>
      <c r="M178" s="72"/>
      <c r="N178" s="90"/>
      <c r="O178" s="74"/>
      <c r="P178" s="94"/>
      <c r="Q178" s="41"/>
      <c r="R178" s="39"/>
      <c r="S178" s="76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69"/>
      <c r="K179" s="87"/>
      <c r="L179" s="71"/>
      <c r="M179" s="72"/>
      <c r="N179" s="90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17"/>
      <c r="K180" s="85"/>
      <c r="L180" s="86"/>
      <c r="M180" s="72"/>
      <c r="N180" s="90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76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28:AB28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8.75"/>
    <col customWidth="1" min="22" max="22" width="14.0"/>
    <col customWidth="1" min="23" max="28" width="6.88"/>
  </cols>
  <sheetData>
    <row r="1" ht="48.75" customHeight="1">
      <c r="A1" s="9"/>
      <c r="B1" s="2"/>
      <c r="C1" s="3" t="s">
        <v>1210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1211</v>
      </c>
      <c r="D4" s="21"/>
      <c r="E4" s="20"/>
      <c r="F4" s="21"/>
      <c r="G4" s="23" t="s">
        <v>1212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3018.52</v>
      </c>
      <c r="T4" s="26" t="s">
        <v>4</v>
      </c>
      <c r="U4" s="6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259984.8663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1213</v>
      </c>
      <c r="D7" s="54" t="s">
        <v>16</v>
      </c>
      <c r="E7" s="29"/>
      <c r="F7" s="30"/>
      <c r="G7" s="55">
        <v>1.0</v>
      </c>
      <c r="H7" s="56">
        <v>45748.0</v>
      </c>
      <c r="I7" s="57" t="s">
        <v>1214</v>
      </c>
      <c r="J7" s="58">
        <f>'2025年3月收支财务报表'!C13</f>
        <v>323365.1446</v>
      </c>
      <c r="K7" s="59"/>
      <c r="L7" s="60"/>
      <c r="M7" s="63" t="s">
        <v>1094</v>
      </c>
      <c r="N7" s="62">
        <v>545.4</v>
      </c>
      <c r="O7" s="63" t="s">
        <v>415</v>
      </c>
      <c r="P7" s="64">
        <v>0.48333333333333334</v>
      </c>
      <c r="Q7" s="41"/>
      <c r="R7" s="39"/>
      <c r="S7" s="25">
        <f>SUMIF(M:M,"海总-黑泽-欧洲户对接",N:N)</f>
        <v>4543.2</v>
      </c>
      <c r="T7" s="26" t="s">
        <v>1094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45748.0</v>
      </c>
      <c r="I8" s="68" t="s">
        <v>1215</v>
      </c>
      <c r="J8" s="69">
        <v>100.0</v>
      </c>
      <c r="K8" s="70"/>
      <c r="L8" s="71">
        <v>0.4875</v>
      </c>
      <c r="M8" s="72"/>
      <c r="N8" s="90"/>
      <c r="O8" s="74"/>
      <c r="P8" s="75"/>
      <c r="R8" s="39"/>
      <c r="S8" s="25">
        <f>SUMIF(M:M,"海总- BM户对接",N:N)</f>
        <v>530</v>
      </c>
      <c r="T8" s="101" t="s">
        <v>1216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1286870.495</v>
      </c>
      <c r="D9" s="30"/>
      <c r="E9" s="29"/>
      <c r="F9" s="30"/>
      <c r="G9" s="66">
        <v>3.0</v>
      </c>
      <c r="H9" s="67">
        <v>45748.0</v>
      </c>
      <c r="I9" s="68" t="s">
        <v>1215</v>
      </c>
      <c r="J9" s="69">
        <v>17900.0</v>
      </c>
      <c r="K9" s="70" t="s">
        <v>1217</v>
      </c>
      <c r="L9" s="71">
        <v>0.4930555555555556</v>
      </c>
      <c r="M9" s="72" t="s">
        <v>1218</v>
      </c>
      <c r="N9" s="90">
        <v>10.0</v>
      </c>
      <c r="O9" s="74"/>
      <c r="P9" s="75">
        <v>0.5777777777777777</v>
      </c>
      <c r="R9" s="39"/>
      <c r="S9" s="25">
        <f>SUMIF(M:M,"海总-全球户",N:N)</f>
        <v>3260</v>
      </c>
      <c r="T9" s="101" t="s">
        <v>1219</v>
      </c>
      <c r="U9" s="40"/>
      <c r="V9" s="76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45748.0</v>
      </c>
      <c r="I10" s="68"/>
      <c r="J10" s="69"/>
      <c r="K10" s="70"/>
      <c r="L10" s="71"/>
      <c r="M10" s="72" t="s">
        <v>1218</v>
      </c>
      <c r="N10" s="90">
        <f>1400-N9</f>
        <v>1390</v>
      </c>
      <c r="O10" s="74"/>
      <c r="P10" s="75">
        <v>0.5784722222222223</v>
      </c>
      <c r="Q10" s="41"/>
      <c r="R10" s="39"/>
      <c r="S10" s="25">
        <f>SUMIF(M:M,"深圳芳林子",N:N)</f>
        <v>320642.63</v>
      </c>
      <c r="T10" s="101" t="s">
        <v>469</v>
      </c>
      <c r="U10" s="40"/>
      <c r="V10" s="76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1051967.286</v>
      </c>
      <c r="D11" s="30"/>
      <c r="E11" s="29"/>
      <c r="F11" s="30"/>
      <c r="G11" s="66">
        <v>5.0</v>
      </c>
      <c r="H11" s="67">
        <v>45748.0</v>
      </c>
      <c r="I11" s="68"/>
      <c r="J11" s="69"/>
      <c r="K11" s="70"/>
      <c r="L11" s="71"/>
      <c r="M11" s="63" t="s">
        <v>1094</v>
      </c>
      <c r="N11" s="62">
        <v>545.4</v>
      </c>
      <c r="O11" s="63" t="s">
        <v>415</v>
      </c>
      <c r="P11" s="75">
        <v>0.5972222222222222</v>
      </c>
      <c r="R11" s="39"/>
      <c r="S11" s="25">
        <f>SUMIF(M:M,"Y-5208 FB欧/美户",N:N)</f>
        <v>12009.9</v>
      </c>
      <c r="T11" s="101" t="s">
        <v>30</v>
      </c>
      <c r="U11" s="76"/>
      <c r="V11" s="76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45748.0</v>
      </c>
      <c r="I12" s="68"/>
      <c r="J12" s="69"/>
      <c r="K12" s="87"/>
      <c r="L12" s="71"/>
      <c r="M12" s="72" t="s">
        <v>1218</v>
      </c>
      <c r="N12" s="90">
        <v>3000.0</v>
      </c>
      <c r="O12" s="74"/>
      <c r="P12" s="75">
        <v>0.6520833333333333</v>
      </c>
      <c r="R12" s="39"/>
      <c r="S12" s="25">
        <f>SUMIF(M:M,"十月二不限——（泰华）",N:N)</f>
        <v>9282</v>
      </c>
      <c r="T12" s="101" t="s">
        <v>69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234903.2083</v>
      </c>
      <c r="D13" s="30"/>
      <c r="E13" s="29"/>
      <c r="F13" s="30"/>
      <c r="G13" s="66">
        <v>7.0</v>
      </c>
      <c r="H13" s="67">
        <v>45748.0</v>
      </c>
      <c r="I13" s="68"/>
      <c r="J13" s="69"/>
      <c r="K13" s="87"/>
      <c r="L13" s="71"/>
      <c r="M13" s="72" t="s">
        <v>1216</v>
      </c>
      <c r="N13" s="90">
        <v>530.0</v>
      </c>
      <c r="O13" s="74" t="s">
        <v>1220</v>
      </c>
      <c r="P13" s="75">
        <v>0.6722222222222223</v>
      </c>
      <c r="R13" s="39"/>
      <c r="S13" s="25">
        <f>SUMIF(M:M,"启航广告费",N:N)</f>
        <v>1268.25</v>
      </c>
      <c r="T13" s="101" t="s">
        <v>827</v>
      </c>
      <c r="U13" s="76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45748.0</v>
      </c>
      <c r="I14" s="68" t="s">
        <v>855</v>
      </c>
      <c r="J14" s="69">
        <v>11172.0</v>
      </c>
      <c r="K14" s="70" t="s">
        <v>1221</v>
      </c>
      <c r="L14" s="71">
        <v>0.7666666666666667</v>
      </c>
      <c r="M14" s="72" t="s">
        <v>20</v>
      </c>
      <c r="N14" s="90">
        <v>13.0</v>
      </c>
      <c r="O14" s="74" t="s">
        <v>1222</v>
      </c>
      <c r="P14" s="75">
        <v>0.8333333333333334</v>
      </c>
      <c r="R14" s="39"/>
      <c r="S14" s="25">
        <f>SUMIF(M:M,"账单户充值",N:N)</f>
        <v>9003.62</v>
      </c>
      <c r="T14" s="101" t="s">
        <v>1223</v>
      </c>
      <c r="U14" s="182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45749.0</v>
      </c>
      <c r="I15" s="68"/>
      <c r="J15" s="69"/>
      <c r="K15" s="87"/>
      <c r="L15" s="71"/>
      <c r="M15" s="72" t="s">
        <v>1224</v>
      </c>
      <c r="N15" s="90">
        <v>1300.0</v>
      </c>
      <c r="O15" s="126"/>
      <c r="P15" s="75">
        <v>0.5659722222222222</v>
      </c>
      <c r="R15" s="39"/>
      <c r="S15" s="25">
        <f>SUMIF(M:M,"印度企业户 欧洲美金户",N:N)</f>
        <v>78938.92</v>
      </c>
      <c r="T15" s="101" t="s">
        <v>339</v>
      </c>
      <c r="U15" s="183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45749.0</v>
      </c>
      <c r="I16" s="154"/>
      <c r="J16" s="17"/>
      <c r="K16" s="92"/>
      <c r="L16" s="173"/>
      <c r="M16" s="72" t="s">
        <v>1225</v>
      </c>
      <c r="N16" s="90">
        <v>4301.0</v>
      </c>
      <c r="O16" s="74"/>
      <c r="P16" s="75">
        <v>0.5722222222222222</v>
      </c>
      <c r="R16" s="39"/>
      <c r="S16" s="25">
        <f>SUMIF(M:M,"CH加白户14➕1-Nancy",N:N)</f>
        <v>48788.5</v>
      </c>
      <c r="T16" s="101" t="s">
        <v>1130</v>
      </c>
      <c r="U16" s="183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45749.0</v>
      </c>
      <c r="I17" s="68"/>
      <c r="J17" s="69"/>
      <c r="K17" s="92"/>
      <c r="L17" s="71"/>
      <c r="M17" s="72" t="s">
        <v>14</v>
      </c>
      <c r="N17" s="90">
        <v>100514.3175</v>
      </c>
      <c r="O17" s="74" t="s">
        <v>1226</v>
      </c>
      <c r="P17" s="75">
        <v>0.6076388888888888</v>
      </c>
      <c r="R17" s="39"/>
      <c r="S17" s="25">
        <f>SUMIF(M:M,"HY&amp;papa 二不限",N:N)</f>
        <v>3814.28</v>
      </c>
      <c r="T17" s="101" t="s">
        <v>1227</v>
      </c>
      <c r="U17" s="183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45749.0</v>
      </c>
      <c r="I18" s="68"/>
      <c r="J18" s="69"/>
      <c r="K18" s="70"/>
      <c r="L18" s="71"/>
      <c r="M18" s="72" t="s">
        <v>1219</v>
      </c>
      <c r="N18" s="90">
        <v>270.0</v>
      </c>
      <c r="O18" s="74"/>
      <c r="P18" s="75">
        <v>0.6333333333333333</v>
      </c>
      <c r="R18" s="39"/>
      <c r="S18" s="25">
        <f>SUMIF(M:M,"MY &amp;Shen SSS户 70+13%U1",N:N)</f>
        <v>3101.6</v>
      </c>
      <c r="T18" s="101" t="s">
        <v>1228</v>
      </c>
      <c r="U18" s="183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45749.0</v>
      </c>
      <c r="I19" s="154"/>
      <c r="J19" s="17"/>
      <c r="K19" s="93"/>
      <c r="L19" s="155"/>
      <c r="M19" s="72" t="s">
        <v>1229</v>
      </c>
      <c r="N19" s="90">
        <v>10.0</v>
      </c>
      <c r="O19" s="74"/>
      <c r="P19" s="75">
        <v>0.6472222222222223</v>
      </c>
      <c r="R19" s="39"/>
      <c r="S19" s="25">
        <f>SUMIF(M:M,"R9GT&amp;SHEN 欧 ",N:N)</f>
        <v>1090</v>
      </c>
      <c r="T19" s="101" t="s">
        <v>1230</v>
      </c>
      <c r="U19" s="183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45749.0</v>
      </c>
      <c r="I20" s="68"/>
      <c r="J20" s="69"/>
      <c r="K20" s="93"/>
      <c r="L20" s="71"/>
      <c r="M20" s="72" t="s">
        <v>1229</v>
      </c>
      <c r="N20" s="90">
        <f>1400-N19</f>
        <v>1390</v>
      </c>
      <c r="O20" s="74"/>
      <c r="P20" s="75">
        <v>0.6618055555555555</v>
      </c>
      <c r="R20" s="39"/>
      <c r="S20" s="25">
        <f>SUMIF(M:M,"Andy- 美金谷歌户25+5%",N:N)</f>
        <v>321</v>
      </c>
      <c r="T20" s="101" t="s">
        <v>1231</v>
      </c>
      <c r="U20" s="183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1286870.495</v>
      </c>
      <c r="D21" s="30"/>
      <c r="E21" s="29"/>
      <c r="F21" s="30"/>
      <c r="G21" s="66">
        <v>15.0</v>
      </c>
      <c r="H21" s="67">
        <v>45749.0</v>
      </c>
      <c r="I21" s="68"/>
      <c r="J21" s="69"/>
      <c r="K21" s="93"/>
      <c r="L21" s="71"/>
      <c r="M21" s="63" t="s">
        <v>1094</v>
      </c>
      <c r="N21" s="90">
        <v>120.0</v>
      </c>
      <c r="O21" s="74" t="s">
        <v>427</v>
      </c>
      <c r="P21" s="75">
        <v>0.7111111111111111</v>
      </c>
      <c r="R21" s="39"/>
      <c r="S21" s="25">
        <f>SUMIF(M:M,"欧洲户&amp;hz唐",N:N)</f>
        <v>2520</v>
      </c>
      <c r="T21" s="101" t="s">
        <v>1127</v>
      </c>
      <c r="U21" s="183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45749.0</v>
      </c>
      <c r="I22" s="68"/>
      <c r="J22" s="69"/>
      <c r="K22" s="70"/>
      <c r="L22" s="71"/>
      <c r="M22" s="72" t="s">
        <v>20</v>
      </c>
      <c r="N22" s="90">
        <v>31.0</v>
      </c>
      <c r="O22" s="74" t="s">
        <v>1232</v>
      </c>
      <c r="P22" s="75">
        <v>0.8118055555555556</v>
      </c>
      <c r="R22" s="39"/>
      <c r="S22" s="25">
        <f>SUMIF(M:M,"凤凰渠道-泰华",N:N)</f>
        <v>2474</v>
      </c>
      <c r="T22" s="101" t="s">
        <v>75</v>
      </c>
      <c r="V22" s="184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1051967.286</v>
      </c>
      <c r="D23" s="30"/>
      <c r="E23" s="29"/>
      <c r="F23" s="30"/>
      <c r="G23" s="66">
        <v>17.0</v>
      </c>
      <c r="H23" s="67">
        <v>45749.0</v>
      </c>
      <c r="I23" s="68"/>
      <c r="J23" s="69"/>
      <c r="K23" s="87"/>
      <c r="L23" s="71"/>
      <c r="M23" s="72" t="s">
        <v>1224</v>
      </c>
      <c r="N23" s="90">
        <v>3000.0</v>
      </c>
      <c r="O23" s="74"/>
      <c r="P23" s="75">
        <v>0.8618055555555556</v>
      </c>
      <c r="R23" s="39"/>
      <c r="S23" s="25">
        <f>SUMIF(M:M,"钱包转款小额测试",N:N)</f>
        <v>10</v>
      </c>
      <c r="T23" s="101" t="s">
        <v>1233</v>
      </c>
      <c r="U23" s="183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45749.0</v>
      </c>
      <c r="I24" s="68" t="s">
        <v>1234</v>
      </c>
      <c r="J24" s="69">
        <v>50000.0</v>
      </c>
      <c r="K24" s="70"/>
      <c r="L24" s="71">
        <v>0.9409722222222222</v>
      </c>
      <c r="M24" s="72"/>
      <c r="N24" s="90"/>
      <c r="O24" s="74"/>
      <c r="P24" s="75"/>
      <c r="Q24" s="41"/>
      <c r="R24" s="39"/>
      <c r="S24" s="25">
        <f>SUMIF(M:M,"大表哥 FB&amp;意大利",N:N)</f>
        <v>17100</v>
      </c>
      <c r="T24" s="26" t="s">
        <v>1218</v>
      </c>
      <c r="U24" s="182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234903.2083</v>
      </c>
      <c r="D25" s="30"/>
      <c r="E25" s="29"/>
      <c r="F25" s="30"/>
      <c r="G25" s="66">
        <v>19.0</v>
      </c>
      <c r="H25" s="67">
        <v>45750.0</v>
      </c>
      <c r="I25" s="68"/>
      <c r="J25" s="69"/>
      <c r="K25" s="70"/>
      <c r="L25" s="71"/>
      <c r="M25" s="72" t="s">
        <v>864</v>
      </c>
      <c r="N25" s="90">
        <v>5360.0</v>
      </c>
      <c r="O25" s="74"/>
      <c r="P25" s="75">
        <v>0.5638888888888889</v>
      </c>
      <c r="R25" s="39"/>
      <c r="S25" s="25">
        <f>SUMIF(M:M,"浩天 意大利对接群",N:N)</f>
        <v>19200</v>
      </c>
      <c r="T25" s="26" t="s">
        <v>1224</v>
      </c>
      <c r="U25" s="183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45750.0</v>
      </c>
      <c r="I26" s="68"/>
      <c r="J26" s="69"/>
      <c r="K26" s="70"/>
      <c r="L26" s="71"/>
      <c r="M26" s="72" t="s">
        <v>1235</v>
      </c>
      <c r="N26" s="90">
        <v>10.0</v>
      </c>
      <c r="O26" s="74"/>
      <c r="P26" s="75">
        <v>0.5659722222222222</v>
      </c>
      <c r="R26" s="39"/>
      <c r="S26" s="25">
        <f>SUMIF(M:M,"海总-德国🇩🇪粉",N:N)</f>
        <v>7900</v>
      </c>
      <c r="T26" s="101" t="s">
        <v>1229</v>
      </c>
      <c r="U26" s="76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45750.0</v>
      </c>
      <c r="I27" s="68"/>
      <c r="J27" s="69"/>
      <c r="K27" s="70"/>
      <c r="L27" s="71"/>
      <c r="M27" s="72" t="s">
        <v>1235</v>
      </c>
      <c r="N27" s="90">
        <f>4800-N26</f>
        <v>4790</v>
      </c>
      <c r="O27" s="74"/>
      <c r="P27" s="75">
        <v>0.5666666666666667</v>
      </c>
      <c r="R27" s="39"/>
      <c r="S27" s="25">
        <f>SUMIF(M:M,"老傅渠道",N:N)</f>
        <v>118680</v>
      </c>
      <c r="T27" s="101" t="s">
        <v>864</v>
      </c>
      <c r="U27" s="182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45750.0</v>
      </c>
      <c r="I28" s="68"/>
      <c r="J28" s="69"/>
      <c r="K28" s="85"/>
      <c r="L28" s="86"/>
      <c r="M28" s="72" t="s">
        <v>20</v>
      </c>
      <c r="N28" s="90">
        <v>270.0</v>
      </c>
      <c r="O28" s="74" t="s">
        <v>1236</v>
      </c>
      <c r="P28" s="75">
        <v>0.5694444444444444</v>
      </c>
      <c r="R28" s="39"/>
      <c r="S28" s="25">
        <f>SUMIF(M:M,"海总-🌙日本🇯🇵-岳",N:N)</f>
        <v>19072</v>
      </c>
      <c r="T28" s="101" t="s">
        <v>1235</v>
      </c>
      <c r="U28" s="185"/>
      <c r="V28" s="76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45750.0</v>
      </c>
      <c r="I29" s="154"/>
      <c r="J29" s="17"/>
      <c r="K29" s="70"/>
      <c r="L29" s="71"/>
      <c r="M29" s="72" t="s">
        <v>20</v>
      </c>
      <c r="N29" s="90">
        <v>15.0</v>
      </c>
      <c r="O29" s="74" t="s">
        <v>1237</v>
      </c>
      <c r="P29" s="75">
        <v>0.5840277777777778</v>
      </c>
      <c r="R29" s="39"/>
      <c r="S29" s="25">
        <f>SUMIF(M:M,"印度003对接—胖鱼",N:N)</f>
        <v>5014</v>
      </c>
      <c r="T29" s="101" t="s">
        <v>1225</v>
      </c>
      <c r="U29" s="186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45750.0</v>
      </c>
      <c r="I30" s="154"/>
      <c r="J30" s="17"/>
      <c r="K30" s="70"/>
      <c r="L30" s="71"/>
      <c r="M30" s="72" t="s">
        <v>469</v>
      </c>
      <c r="N30" s="90">
        <v>2686.6</v>
      </c>
      <c r="O30" s="74" t="s">
        <v>1238</v>
      </c>
      <c r="P30" s="75">
        <v>0.6569444444444444</v>
      </c>
      <c r="R30" s="39"/>
      <c r="S30" s="25">
        <f>SUMIF(M:M,"印度驻场-lala(郑总）",N:N)</f>
        <v>17411</v>
      </c>
      <c r="T30" s="101" t="s">
        <v>671</v>
      </c>
      <c r="U30" s="7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45750.0</v>
      </c>
      <c r="I31" s="68"/>
      <c r="J31" s="69"/>
      <c r="K31" s="70"/>
      <c r="L31" s="88"/>
      <c r="M31" s="72" t="s">
        <v>671</v>
      </c>
      <c r="N31" s="90">
        <v>6532.0</v>
      </c>
      <c r="O31" s="74"/>
      <c r="P31" s="75">
        <v>0.6736111111111112</v>
      </c>
      <c r="R31" s="39"/>
      <c r="S31" s="25">
        <f>SUMIF(M:M,"印度006对接—henry",N:N)</f>
        <v>5543</v>
      </c>
      <c r="T31" s="101" t="s">
        <v>1012</v>
      </c>
      <c r="U31" s="182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45750.0</v>
      </c>
      <c r="I32" s="84"/>
      <c r="J32" s="69"/>
      <c r="K32" s="85"/>
      <c r="L32" s="86"/>
      <c r="M32" s="72" t="s">
        <v>1224</v>
      </c>
      <c r="N32" s="90">
        <v>3400.0</v>
      </c>
      <c r="O32" s="74"/>
      <c r="P32" s="75">
        <v>0.6888888888888889</v>
      </c>
      <c r="R32" s="39"/>
      <c r="S32" s="25">
        <f>SUMIF(M:M,"渠道30 日股粉（张总） FB",N:N)</f>
        <v>52740</v>
      </c>
      <c r="T32" s="101" t="s">
        <v>1239</v>
      </c>
      <c r="U32" s="183" t="s">
        <v>1240</v>
      </c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45750.0</v>
      </c>
      <c r="I33" s="68"/>
      <c r="J33" s="69"/>
      <c r="K33" s="70"/>
      <c r="L33" s="71"/>
      <c r="M33" s="72" t="s">
        <v>20</v>
      </c>
      <c r="N33" s="90">
        <v>20.0</v>
      </c>
      <c r="O33" s="74" t="s">
        <v>1241</v>
      </c>
      <c r="P33" s="75">
        <v>0.8833333333333333</v>
      </c>
      <c r="R33" s="39"/>
      <c r="S33" s="25">
        <f>SUMIF(M:M,"德国股民单粉——summer",N:N)</f>
        <v>12150</v>
      </c>
      <c r="T33" s="26" t="s">
        <v>1242</v>
      </c>
      <c r="U33" s="76" t="s">
        <v>1243</v>
      </c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45751.0</v>
      </c>
      <c r="I34" s="68" t="s">
        <v>1215</v>
      </c>
      <c r="J34" s="69">
        <v>9000.0</v>
      </c>
      <c r="K34" s="70" t="s">
        <v>1244</v>
      </c>
      <c r="L34" s="71">
        <v>0.5055555555555555</v>
      </c>
      <c r="M34" s="72" t="s">
        <v>1224</v>
      </c>
      <c r="N34" s="90">
        <v>3000.0</v>
      </c>
      <c r="O34" s="74"/>
      <c r="P34" s="75">
        <v>0.6409722222222223</v>
      </c>
      <c r="R34" s="39"/>
      <c r="S34" s="25">
        <f>SUMIF(M:M,"海哥一期（印度1500）",N:N)</f>
        <v>12556</v>
      </c>
      <c r="T34" s="26" t="s">
        <v>1245</v>
      </c>
      <c r="U34" s="76" t="s">
        <v>1246</v>
      </c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45751.0</v>
      </c>
      <c r="I35" s="68"/>
      <c r="J35" s="69"/>
      <c r="K35" s="70"/>
      <c r="L35" s="87"/>
      <c r="M35" s="72" t="s">
        <v>864</v>
      </c>
      <c r="N35" s="90">
        <v>8640.0</v>
      </c>
      <c r="O35" s="74"/>
      <c r="P35" s="75">
        <v>0.8472222222222222</v>
      </c>
      <c r="R35" s="39"/>
      <c r="S35" s="106" t="s">
        <v>97</v>
      </c>
      <c r="T35" s="107"/>
      <c r="U35" s="107"/>
      <c r="V35" s="107"/>
      <c r="W35" s="107"/>
      <c r="X35" s="107"/>
      <c r="Y35" s="107"/>
      <c r="Z35" s="107"/>
      <c r="AA35" s="107"/>
      <c r="AB35" s="108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45751.0</v>
      </c>
      <c r="I36" s="68" t="s">
        <v>1092</v>
      </c>
      <c r="J36" s="69">
        <v>30000.0</v>
      </c>
      <c r="K36" s="87"/>
      <c r="L36" s="71">
        <v>0.9826388888888888</v>
      </c>
      <c r="M36" s="72"/>
      <c r="N36" s="90"/>
      <c r="O36" s="74"/>
      <c r="P36" s="94" t="s">
        <v>0</v>
      </c>
      <c r="R36" s="39"/>
      <c r="S36" s="187">
        <f>SUM(S4:S34)</f>
        <v>1051967.286</v>
      </c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45752.0</v>
      </c>
      <c r="I37" s="68"/>
      <c r="J37" s="69"/>
      <c r="K37" s="85"/>
      <c r="L37" s="86"/>
      <c r="M37" s="72" t="s">
        <v>14</v>
      </c>
      <c r="N37" s="90">
        <v>22336.515</v>
      </c>
      <c r="O37" s="74" t="s">
        <v>1247</v>
      </c>
      <c r="P37" s="75">
        <v>0.6006944444444444</v>
      </c>
      <c r="R37" s="39"/>
      <c r="S37" s="186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45752.0</v>
      </c>
      <c r="I38" s="68"/>
      <c r="J38" s="69"/>
      <c r="K38" s="85"/>
      <c r="L38" s="86"/>
      <c r="M38" s="72" t="s">
        <v>14</v>
      </c>
      <c r="N38" s="19">
        <v>5096.507907026057</v>
      </c>
      <c r="O38" s="96" t="s">
        <v>117</v>
      </c>
      <c r="P38" s="99">
        <v>0.6291666666666667</v>
      </c>
      <c r="R38" s="39"/>
      <c r="S38" s="109">
        <f>SUMIF(I:I,"海总-🌙日本🇯🇵-岳",J:J)</f>
        <v>7936</v>
      </c>
      <c r="T38" s="26" t="s">
        <v>1235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45752.0</v>
      </c>
      <c r="I39" s="68"/>
      <c r="J39" s="69"/>
      <c r="K39" s="70"/>
      <c r="L39" s="88"/>
      <c r="M39" s="72" t="s">
        <v>14</v>
      </c>
      <c r="N39" s="19">
        <v>3489.213230872917</v>
      </c>
      <c r="O39" s="96" t="s">
        <v>117</v>
      </c>
      <c r="P39" s="99">
        <v>0.6319444444444444</v>
      </c>
      <c r="R39" s="39"/>
      <c r="S39" s="109">
        <f>SUMIF(I:I,"浩天 意大利对接群",J:J)</f>
        <v>6300</v>
      </c>
      <c r="T39" s="26" t="s">
        <v>1224</v>
      </c>
      <c r="U39" s="76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45752.0</v>
      </c>
      <c r="I40" s="68"/>
      <c r="J40" s="69"/>
      <c r="K40" s="70"/>
      <c r="L40" s="88"/>
      <c r="M40" s="72" t="s">
        <v>14</v>
      </c>
      <c r="N40" s="19">
        <v>2792.002957379667</v>
      </c>
      <c r="O40" s="96" t="s">
        <v>117</v>
      </c>
      <c r="P40" s="99">
        <v>0.6326388888888889</v>
      </c>
      <c r="R40" s="39"/>
      <c r="S40" s="109">
        <f>SUMIF(I:I,"大表哥 FB&amp;意大利",J:J)</f>
        <v>2100</v>
      </c>
      <c r="T40" s="26" t="s">
        <v>1218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45752.0</v>
      </c>
      <c r="I41" s="68"/>
      <c r="J41" s="69"/>
      <c r="K41" s="70"/>
      <c r="L41" s="88"/>
      <c r="M41" s="72" t="s">
        <v>14</v>
      </c>
      <c r="N41" s="19">
        <v>658.594982078853</v>
      </c>
      <c r="O41" s="96" t="s">
        <v>117</v>
      </c>
      <c r="P41" s="99">
        <v>0.6333333333333333</v>
      </c>
      <c r="R41" s="39"/>
      <c r="S41" s="109">
        <f>SUMIF(I:I,"欧洲三不限-泰华3➕1（0.84）",J:J)</f>
        <v>352.55</v>
      </c>
      <c r="T41" s="26" t="s">
        <v>1248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45752.0</v>
      </c>
      <c r="I42" s="68"/>
      <c r="J42" s="69"/>
      <c r="K42" s="70"/>
      <c r="L42" s="88"/>
      <c r="M42" s="72" t="s">
        <v>14</v>
      </c>
      <c r="N42" s="19">
        <v>3745.4434910738673</v>
      </c>
      <c r="O42" s="96" t="s">
        <v>117</v>
      </c>
      <c r="P42" s="99">
        <v>0.6347222222222222</v>
      </c>
      <c r="R42" s="39"/>
      <c r="S42" s="109">
        <f>SUMIF(I:I,"印度企业户 欧洲美金户下户",J:J)</f>
        <v>2423.8</v>
      </c>
      <c r="T42" s="26" t="s">
        <v>27</v>
      </c>
      <c r="U42" s="76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45752.0</v>
      </c>
      <c r="I43" s="68"/>
      <c r="J43" s="69"/>
      <c r="K43" s="70"/>
      <c r="L43" s="88"/>
      <c r="M43" s="72" t="s">
        <v>14</v>
      </c>
      <c r="N43" s="19">
        <v>846.7605758922833</v>
      </c>
      <c r="O43" s="96" t="s">
        <v>117</v>
      </c>
      <c r="P43" s="99">
        <v>0.6354166666666666</v>
      </c>
      <c r="R43" s="39"/>
      <c r="S43" s="109">
        <f>SUMIF(I:I,"海总- BM户对接",J:J)</f>
        <v>497</v>
      </c>
      <c r="T43" s="101" t="s">
        <v>1216</v>
      </c>
      <c r="U43" s="76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45752.0</v>
      </c>
      <c r="I44" s="68"/>
      <c r="J44" s="69"/>
      <c r="K44" s="70"/>
      <c r="L44" s="88"/>
      <c r="M44" s="72" t="s">
        <v>14</v>
      </c>
      <c r="N44" s="19">
        <v>2243.7238862225413</v>
      </c>
      <c r="O44" s="96" t="s">
        <v>117</v>
      </c>
      <c r="P44" s="99">
        <v>0.6368055555555555</v>
      </c>
      <c r="R44" s="39"/>
      <c r="S44" s="109">
        <f>SUMIF(I:I,"济宁韦宁&amp;香港有意思 二不限 3%",J:J)</f>
        <v>300</v>
      </c>
      <c r="T44" s="101" t="s">
        <v>702</v>
      </c>
      <c r="U44" s="183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45752.0</v>
      </c>
      <c r="I45" s="68"/>
      <c r="J45" s="69"/>
      <c r="K45" s="70"/>
      <c r="L45" s="88"/>
      <c r="M45" s="72" t="s">
        <v>14</v>
      </c>
      <c r="N45" s="19">
        <v>667.5555555555555</v>
      </c>
      <c r="O45" s="96" t="s">
        <v>117</v>
      </c>
      <c r="P45" s="99">
        <v>0.6375</v>
      </c>
      <c r="R45" s="39"/>
      <c r="S45" s="109">
        <f>SUMIF(I:I,"Andy- 美金谷歌户25+5%",J:J)</f>
        <v>300</v>
      </c>
      <c r="T45" s="101" t="s">
        <v>1231</v>
      </c>
      <c r="U45" s="183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45752.0</v>
      </c>
      <c r="I46" s="68"/>
      <c r="J46" s="69"/>
      <c r="K46" s="70"/>
      <c r="L46" s="88"/>
      <c r="M46" s="72" t="s">
        <v>14</v>
      </c>
      <c r="N46" s="19">
        <v>1246.5804033249128</v>
      </c>
      <c r="O46" s="96" t="s">
        <v>117</v>
      </c>
      <c r="P46" s="99">
        <v>0.6381944444444444</v>
      </c>
      <c r="R46" s="39"/>
      <c r="S46" s="109">
        <f>SUMIF(I:I,"CH加白户14➕1-Nancy",J:J)</f>
        <v>11236</v>
      </c>
      <c r="T46" s="101" t="s">
        <v>1130</v>
      </c>
      <c r="U46" s="183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45752.0</v>
      </c>
      <c r="I47" s="68"/>
      <c r="J47" s="69"/>
      <c r="K47" s="70"/>
      <c r="L47" s="88"/>
      <c r="M47" s="72" t="s">
        <v>14</v>
      </c>
      <c r="N47" s="19">
        <v>555.5555555555555</v>
      </c>
      <c r="O47" s="96" t="s">
        <v>117</v>
      </c>
      <c r="P47" s="99">
        <v>0.6395833333333333</v>
      </c>
      <c r="R47" s="39"/>
      <c r="S47" s="109">
        <f>SUMIF(I:I,"渠道30 日股粉（张总） FB",J:J)</f>
        <v>171000</v>
      </c>
      <c r="T47" s="26" t="s">
        <v>1215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45752.0</v>
      </c>
      <c r="I48" s="68"/>
      <c r="J48" s="69"/>
      <c r="K48" s="70"/>
      <c r="L48" s="88"/>
      <c r="M48" s="72" t="s">
        <v>14</v>
      </c>
      <c r="N48" s="19">
        <v>5277.777777777777</v>
      </c>
      <c r="O48" s="96" t="s">
        <v>117</v>
      </c>
      <c r="P48" s="99">
        <v>0.6402777777777777</v>
      </c>
      <c r="R48" s="39"/>
      <c r="S48" s="109">
        <f>SUMIF(I:I,"印度13期",J:J)</f>
        <v>11172</v>
      </c>
      <c r="T48" s="26" t="s">
        <v>855</v>
      </c>
      <c r="U48" s="76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45752.0</v>
      </c>
      <c r="I49" s="68"/>
      <c r="J49" s="69"/>
      <c r="K49" s="70"/>
      <c r="L49" s="88"/>
      <c r="M49" s="72" t="s">
        <v>1225</v>
      </c>
      <c r="N49" s="90">
        <v>713.0</v>
      </c>
      <c r="O49" s="96"/>
      <c r="P49" s="99">
        <v>0.6895833333333333</v>
      </c>
      <c r="R49" s="39"/>
      <c r="S49" s="109">
        <f>SUMIF(I:I,"印度4期-啊光",J:J)</f>
        <v>100000</v>
      </c>
      <c r="T49" s="26" t="s">
        <v>1234</v>
      </c>
      <c r="U49" s="76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45752.0</v>
      </c>
      <c r="I50" s="68" t="s">
        <v>1235</v>
      </c>
      <c r="J50" s="69">
        <v>4032.0</v>
      </c>
      <c r="K50" s="70"/>
      <c r="L50" s="71">
        <v>0.6930555555555555</v>
      </c>
      <c r="M50" s="72" t="s">
        <v>20</v>
      </c>
      <c r="N50" s="90">
        <v>900.0</v>
      </c>
      <c r="O50" s="96" t="s">
        <v>1249</v>
      </c>
      <c r="P50" s="97">
        <v>0.7729166666666667</v>
      </c>
      <c r="R50" s="39"/>
      <c r="S50" s="109">
        <f>SUMIF(I:I,"意大利（海哥）",J:J)</f>
        <v>30000</v>
      </c>
      <c r="T50" s="26" t="s">
        <v>1092</v>
      </c>
      <c r="U50" s="76" t="s">
        <v>1250</v>
      </c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45752.0</v>
      </c>
      <c r="I51" s="68"/>
      <c r="J51" s="69"/>
      <c r="K51" s="70"/>
      <c r="L51" s="88"/>
      <c r="M51" s="72" t="s">
        <v>1224</v>
      </c>
      <c r="N51" s="90">
        <v>2500.0</v>
      </c>
      <c r="O51" s="96"/>
      <c r="P51" s="97">
        <v>0.8402777777777778</v>
      </c>
      <c r="R51" s="39"/>
      <c r="S51" s="109">
        <f>SUMIF(I:I,"德国股民单粉——summer",J:J)</f>
        <v>20250</v>
      </c>
      <c r="T51" s="26" t="s">
        <v>1251</v>
      </c>
      <c r="U51" s="76" t="s">
        <v>1252</v>
      </c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45752.0</v>
      </c>
      <c r="I52" s="68" t="s">
        <v>1215</v>
      </c>
      <c r="J52" s="69">
        <v>36000.0</v>
      </c>
      <c r="K52" s="70" t="s">
        <v>1253</v>
      </c>
      <c r="L52" s="71">
        <v>0.8625</v>
      </c>
      <c r="M52" s="72" t="s">
        <v>864</v>
      </c>
      <c r="N52" s="90">
        <v>23100.0</v>
      </c>
      <c r="O52" s="96"/>
      <c r="P52" s="97">
        <v>0.8673611111111111</v>
      </c>
      <c r="R52" s="39"/>
      <c r="S52" s="109">
        <f>SUMIF(I:I,"意大利二期",J:J)</f>
        <v>50000</v>
      </c>
      <c r="T52" s="26" t="s">
        <v>1254</v>
      </c>
      <c r="U52" s="76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45752.0</v>
      </c>
      <c r="I53" s="68"/>
      <c r="J53" s="69"/>
      <c r="K53" s="70"/>
      <c r="L53" s="71"/>
      <c r="M53" s="72" t="s">
        <v>1224</v>
      </c>
      <c r="N53" s="90">
        <v>3000.0</v>
      </c>
      <c r="O53" s="74"/>
      <c r="P53" s="97">
        <v>0.9215277777777777</v>
      </c>
      <c r="R53" s="39"/>
      <c r="S53" s="109">
        <f>SUMIF(I:I,"德国股票粉1组【张小强】4/10开始",J:J)</f>
        <v>44685</v>
      </c>
      <c r="T53" s="26" t="s">
        <v>1255</v>
      </c>
      <c r="U53" s="76"/>
      <c r="V53" s="188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45753.0</v>
      </c>
      <c r="I54" s="68" t="s">
        <v>1251</v>
      </c>
      <c r="J54" s="69">
        <v>6750.0</v>
      </c>
      <c r="K54" s="70"/>
      <c r="L54" s="71">
        <v>0.03125</v>
      </c>
      <c r="M54" s="72"/>
      <c r="N54" s="90"/>
      <c r="O54" s="74"/>
      <c r="P54" s="97"/>
      <c r="R54" s="39"/>
      <c r="S54" s="109">
        <f>SUMIF(I:I,"印度5期-阿光",J:J)</f>
        <v>100000</v>
      </c>
      <c r="T54" s="26" t="s">
        <v>1256</v>
      </c>
      <c r="U54" s="76"/>
      <c r="V54" s="188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45753.0</v>
      </c>
      <c r="I55" s="68"/>
      <c r="J55" s="69"/>
      <c r="K55" s="70"/>
      <c r="L55" s="71"/>
      <c r="M55" s="72" t="s">
        <v>1229</v>
      </c>
      <c r="N55" s="90">
        <v>3000.0</v>
      </c>
      <c r="O55" s="74"/>
      <c r="P55" s="75">
        <v>0.5423611111111111</v>
      </c>
      <c r="R55" s="39"/>
      <c r="S55" s="109">
        <f>SUMIF(I:I,"印度19期",J:J)</f>
        <v>10528</v>
      </c>
      <c r="T55" s="26" t="s">
        <v>1257</v>
      </c>
      <c r="U55" s="76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45753.0</v>
      </c>
      <c r="I56" s="68"/>
      <c r="J56" s="69"/>
      <c r="K56" s="70"/>
      <c r="L56" s="71"/>
      <c r="M56" s="72" t="s">
        <v>864</v>
      </c>
      <c r="N56" s="90">
        <v>18480.0</v>
      </c>
      <c r="O56" s="74"/>
      <c r="P56" s="75">
        <v>0.9423611111111111</v>
      </c>
      <c r="R56" s="39"/>
      <c r="S56" s="109">
        <f>SUMIF(I:I,"海哥一期（印度1500）",J:J)</f>
        <v>30000</v>
      </c>
      <c r="T56" s="26" t="s">
        <v>1245</v>
      </c>
      <c r="U56" s="76"/>
      <c r="V56" s="189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45753.0</v>
      </c>
      <c r="I57" s="68" t="s">
        <v>1215</v>
      </c>
      <c r="J57" s="69">
        <v>36000.0</v>
      </c>
      <c r="K57" s="70" t="s">
        <v>1253</v>
      </c>
      <c r="L57" s="71">
        <v>0.9465277777777777</v>
      </c>
      <c r="M57" s="72"/>
      <c r="N57" s="90"/>
      <c r="O57" s="74"/>
      <c r="P57" s="75"/>
      <c r="R57" s="39"/>
      <c r="S57" s="109">
        <f>SUMIF(I:I,"印度B哥（汤总）",J:J)</f>
        <v>123200</v>
      </c>
      <c r="T57" s="26" t="s">
        <v>1258</v>
      </c>
      <c r="U57" s="76"/>
      <c r="V57" s="188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45754.0</v>
      </c>
      <c r="I58" s="68"/>
      <c r="J58" s="69"/>
      <c r="K58" s="70"/>
      <c r="L58" s="71"/>
      <c r="M58" s="72" t="s">
        <v>1219</v>
      </c>
      <c r="N58" s="90">
        <v>270.0</v>
      </c>
      <c r="O58" s="74"/>
      <c r="P58" s="75">
        <v>0.5826388888888889</v>
      </c>
      <c r="R58" s="39"/>
      <c r="S58" s="109">
        <f>SUMIF(I:I,"印度6期",J:J)</f>
        <v>130000</v>
      </c>
      <c r="T58" s="26" t="s">
        <v>1103</v>
      </c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45754.0</v>
      </c>
      <c r="I59" s="68"/>
      <c r="J59" s="69"/>
      <c r="K59" s="87"/>
      <c r="L59" s="71"/>
      <c r="M59" s="72" t="s">
        <v>30</v>
      </c>
      <c r="N59" s="90">
        <v>786.5</v>
      </c>
      <c r="O59" s="74" t="s">
        <v>1259</v>
      </c>
      <c r="P59" s="75">
        <v>0.59375</v>
      </c>
      <c r="R59" s="39"/>
      <c r="S59" s="109">
        <f>SUMIF(I:I,"印度15期",J:J)</f>
        <v>50000</v>
      </c>
      <c r="T59" s="26" t="s">
        <v>673</v>
      </c>
      <c r="U59" s="76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45754.0</v>
      </c>
      <c r="I60" s="68" t="s">
        <v>1248</v>
      </c>
      <c r="J60" s="69">
        <v>352.55</v>
      </c>
      <c r="K60" s="70" t="s">
        <v>155</v>
      </c>
      <c r="L60" s="71">
        <v>0.5958333333333333</v>
      </c>
      <c r="M60" s="72" t="s">
        <v>69</v>
      </c>
      <c r="N60" s="90">
        <v>280.0</v>
      </c>
      <c r="O60" s="74" t="s">
        <v>427</v>
      </c>
      <c r="P60" s="75">
        <v>0.6416666666666667</v>
      </c>
      <c r="R60" s="39"/>
      <c r="S60" s="109">
        <f>SUMIF(I:I,"渠道F 马来K",J:J)</f>
        <v>6500</v>
      </c>
      <c r="T60" s="26" t="s">
        <v>1106</v>
      </c>
      <c r="U60" s="185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45754.0</v>
      </c>
      <c r="I61" s="68"/>
      <c r="J61" s="69"/>
      <c r="K61" s="70"/>
      <c r="L61" s="71"/>
      <c r="M61" s="72" t="s">
        <v>1127</v>
      </c>
      <c r="N61" s="90">
        <v>2520.0</v>
      </c>
      <c r="O61" s="74" t="s">
        <v>1260</v>
      </c>
      <c r="P61" s="75">
        <v>0.6638888888888889</v>
      </c>
      <c r="R61" s="39"/>
      <c r="S61" s="109">
        <f>SUMIF(I:I,"德国 张总（王总）",J:J)</f>
        <v>4725</v>
      </c>
      <c r="T61" s="26" t="s">
        <v>1003</v>
      </c>
      <c r="U61" s="185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45754.0</v>
      </c>
      <c r="I62" s="68" t="s">
        <v>27</v>
      </c>
      <c r="J62" s="69">
        <v>2423.8</v>
      </c>
      <c r="K62" s="70" t="s">
        <v>155</v>
      </c>
      <c r="L62" s="71">
        <v>0.6743055555555556</v>
      </c>
      <c r="M62" s="72"/>
      <c r="N62" s="90"/>
      <c r="O62" s="74"/>
      <c r="P62" s="75"/>
      <c r="Q62" s="41"/>
      <c r="R62" s="39"/>
      <c r="S62" s="109">
        <f>SUMIF(I:I,"印度7期",J:J)</f>
        <v>50000</v>
      </c>
      <c r="T62" s="26" t="s">
        <v>1113</v>
      </c>
      <c r="U62" s="185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45754.0</v>
      </c>
      <c r="I63" s="68" t="s">
        <v>1224</v>
      </c>
      <c r="J63" s="69">
        <v>3300.0</v>
      </c>
      <c r="K63" s="70" t="s">
        <v>155</v>
      </c>
      <c r="L63" s="71">
        <v>0.7819444444444444</v>
      </c>
      <c r="M63" s="72" t="s">
        <v>827</v>
      </c>
      <c r="N63" s="90">
        <v>1268.25</v>
      </c>
      <c r="O63" s="74"/>
      <c r="P63" s="75">
        <v>0.81875</v>
      </c>
      <c r="R63" s="39"/>
      <c r="S63" s="190">
        <f>J7</f>
        <v>323365.1446</v>
      </c>
      <c r="T63" s="26" t="s">
        <v>1214</v>
      </c>
      <c r="U63" s="185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45754.0</v>
      </c>
      <c r="I64" s="68"/>
      <c r="J64" s="69"/>
      <c r="K64" s="70"/>
      <c r="L64" s="71"/>
      <c r="M64" s="72" t="s">
        <v>20</v>
      </c>
      <c r="N64" s="90">
        <v>8.24</v>
      </c>
      <c r="O64" s="74" t="s">
        <v>1261</v>
      </c>
      <c r="P64" s="75">
        <v>0.875</v>
      </c>
      <c r="R64" s="39"/>
      <c r="S64" s="187">
        <f>SUM(S38:S63)</f>
        <v>1286870.495</v>
      </c>
      <c r="T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45754.0</v>
      </c>
      <c r="I65" s="68"/>
      <c r="J65" s="69"/>
      <c r="K65" s="70"/>
      <c r="L65" s="71"/>
      <c r="M65" s="72" t="s">
        <v>20</v>
      </c>
      <c r="N65" s="90">
        <v>8.5</v>
      </c>
      <c r="O65" s="74" t="s">
        <v>1262</v>
      </c>
      <c r="P65" s="75">
        <v>0.925</v>
      </c>
      <c r="R65" s="39"/>
      <c r="U65" s="76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45754.0</v>
      </c>
      <c r="I66" s="68"/>
      <c r="J66" s="69"/>
      <c r="K66" s="70"/>
      <c r="L66" s="71"/>
      <c r="M66" s="72" t="s">
        <v>30</v>
      </c>
      <c r="N66" s="90">
        <v>1120.0</v>
      </c>
      <c r="O66" s="74" t="s">
        <v>738</v>
      </c>
      <c r="P66" s="75">
        <v>0.9298611111111111</v>
      </c>
      <c r="R66" s="39"/>
      <c r="U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45755.0</v>
      </c>
      <c r="I67" s="68" t="s">
        <v>1251</v>
      </c>
      <c r="J67" s="69">
        <v>13500.0</v>
      </c>
      <c r="K67" s="70"/>
      <c r="L67" s="71">
        <v>0.1076388888888889</v>
      </c>
      <c r="M67" s="72" t="s">
        <v>30</v>
      </c>
      <c r="N67" s="90">
        <v>1090.0</v>
      </c>
      <c r="O67" s="74" t="s">
        <v>1263</v>
      </c>
      <c r="P67" s="75">
        <v>0.46875</v>
      </c>
      <c r="R67" s="39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45755.0</v>
      </c>
      <c r="I68" s="68"/>
      <c r="J68" s="69"/>
      <c r="K68" s="70"/>
      <c r="L68" s="88"/>
      <c r="M68" s="72" t="s">
        <v>20</v>
      </c>
      <c r="N68" s="90">
        <v>8.5</v>
      </c>
      <c r="O68" s="74" t="s">
        <v>1262</v>
      </c>
      <c r="P68" s="75">
        <v>0.5048611111111111</v>
      </c>
      <c r="R68" s="39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45755.0</v>
      </c>
      <c r="I69" s="68"/>
      <c r="J69" s="69"/>
      <c r="K69" s="85"/>
      <c r="L69" s="71"/>
      <c r="M69" s="72" t="s">
        <v>1229</v>
      </c>
      <c r="N69" s="90">
        <v>3100.0</v>
      </c>
      <c r="O69" s="74"/>
      <c r="P69" s="75">
        <v>0.5145833333333333</v>
      </c>
      <c r="R69" s="39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45755.0</v>
      </c>
      <c r="I70" s="68"/>
      <c r="J70" s="69"/>
      <c r="K70" s="70"/>
      <c r="L70" s="71"/>
      <c r="M70" s="72" t="s">
        <v>20</v>
      </c>
      <c r="N70" s="90">
        <v>365.0</v>
      </c>
      <c r="O70" s="74" t="s">
        <v>45</v>
      </c>
      <c r="P70" s="75">
        <v>0.5354166666666667</v>
      </c>
      <c r="R70" s="39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45755.0</v>
      </c>
      <c r="I71" s="68"/>
      <c r="J71" s="69"/>
      <c r="K71" s="70"/>
      <c r="L71" s="71"/>
      <c r="M71" s="72" t="s">
        <v>1219</v>
      </c>
      <c r="N71" s="90">
        <v>540.0</v>
      </c>
      <c r="O71" s="74" t="s">
        <v>427</v>
      </c>
      <c r="P71" s="75">
        <v>0.6354166666666666</v>
      </c>
      <c r="R71" s="39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45755.0</v>
      </c>
      <c r="I72" s="68"/>
      <c r="J72" s="69"/>
      <c r="K72" s="87"/>
      <c r="L72" s="71"/>
      <c r="M72" s="72" t="s">
        <v>20</v>
      </c>
      <c r="N72" s="90">
        <v>12.37</v>
      </c>
      <c r="O72" s="74" t="s">
        <v>1264</v>
      </c>
      <c r="P72" s="75">
        <v>0.8340277777777778</v>
      </c>
      <c r="R72" s="39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45755.0</v>
      </c>
      <c r="I73" s="68"/>
      <c r="J73" s="69"/>
      <c r="K73" s="85"/>
      <c r="L73" s="71"/>
      <c r="M73" s="72" t="s">
        <v>671</v>
      </c>
      <c r="N73" s="90">
        <v>2139.0</v>
      </c>
      <c r="O73" s="74"/>
      <c r="P73" s="75">
        <v>0.9069444444444444</v>
      </c>
      <c r="R73" s="39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45755.0</v>
      </c>
      <c r="I74" s="68" t="s">
        <v>1254</v>
      </c>
      <c r="J74" s="69">
        <v>50000.0</v>
      </c>
      <c r="K74" s="93"/>
      <c r="L74" s="71">
        <v>0.9333333333333333</v>
      </c>
      <c r="M74" s="72"/>
      <c r="N74" s="90"/>
      <c r="O74" s="74"/>
      <c r="P74" s="75"/>
      <c r="R74" s="39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45756.0</v>
      </c>
      <c r="I75" s="68"/>
      <c r="J75" s="69"/>
      <c r="K75" s="87"/>
      <c r="L75" s="71"/>
      <c r="M75" s="72" t="s">
        <v>1223</v>
      </c>
      <c r="N75" s="90">
        <v>1000.52</v>
      </c>
      <c r="O75" s="74"/>
      <c r="P75" s="75">
        <v>0.43472222222222223</v>
      </c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45756.0</v>
      </c>
      <c r="I76" s="68"/>
      <c r="J76" s="69"/>
      <c r="K76" s="87"/>
      <c r="L76" s="71"/>
      <c r="M76" s="72" t="s">
        <v>20</v>
      </c>
      <c r="N76" s="90">
        <v>51.0</v>
      </c>
      <c r="O76" s="74" t="s">
        <v>1265</v>
      </c>
      <c r="P76" s="75">
        <v>0.43680555555555556</v>
      </c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45756.0</v>
      </c>
      <c r="I77" s="68"/>
      <c r="J77" s="69"/>
      <c r="K77" s="85"/>
      <c r="L77" s="71"/>
      <c r="M77" s="72" t="s">
        <v>469</v>
      </c>
      <c r="N77" s="90">
        <v>184.54</v>
      </c>
      <c r="O77" s="96" t="s">
        <v>1266</v>
      </c>
      <c r="P77" s="75">
        <v>0.5736111111111111</v>
      </c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45756.0</v>
      </c>
      <c r="I78" s="68"/>
      <c r="J78" s="69"/>
      <c r="K78" s="87"/>
      <c r="L78" s="71"/>
      <c r="M78" s="72" t="s">
        <v>1012</v>
      </c>
      <c r="N78" s="90">
        <v>10.0</v>
      </c>
      <c r="O78" s="74"/>
      <c r="P78" s="75">
        <v>0.6701388888888888</v>
      </c>
      <c r="R78" s="39"/>
      <c r="S78" s="186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45756.0</v>
      </c>
      <c r="I79" s="68"/>
      <c r="J79" s="69"/>
      <c r="K79" s="87"/>
      <c r="L79" s="71"/>
      <c r="M79" s="72" t="s">
        <v>1012</v>
      </c>
      <c r="N79" s="90">
        <f>2300-N78</f>
        <v>2290</v>
      </c>
      <c r="O79" s="96"/>
      <c r="P79" s="75">
        <v>0.675</v>
      </c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45756.0</v>
      </c>
      <c r="I80" s="68"/>
      <c r="J80" s="69"/>
      <c r="K80" s="70"/>
      <c r="L80" s="71"/>
      <c r="M80" s="72" t="s">
        <v>1219</v>
      </c>
      <c r="N80" s="90">
        <v>1080.0</v>
      </c>
      <c r="O80" s="74" t="s">
        <v>1267</v>
      </c>
      <c r="P80" s="75">
        <v>0.7604166666666666</v>
      </c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45756.0</v>
      </c>
      <c r="I81" s="68"/>
      <c r="J81" s="69"/>
      <c r="K81" s="70"/>
      <c r="L81" s="71"/>
      <c r="M81" s="72" t="s">
        <v>20</v>
      </c>
      <c r="N81" s="90">
        <v>40.88</v>
      </c>
      <c r="O81" s="74" t="s">
        <v>1268</v>
      </c>
      <c r="P81" s="75">
        <v>0.7659722222222223</v>
      </c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45756.0</v>
      </c>
      <c r="I82" s="68"/>
      <c r="J82" s="69"/>
      <c r="K82" s="70"/>
      <c r="L82" s="71"/>
      <c r="M82" s="72" t="s">
        <v>20</v>
      </c>
      <c r="N82" s="90">
        <v>37.5</v>
      </c>
      <c r="O82" s="74" t="s">
        <v>1269</v>
      </c>
      <c r="P82" s="75">
        <v>0.8743055555555556</v>
      </c>
      <c r="R82" s="39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45756.0</v>
      </c>
      <c r="I83" s="68"/>
      <c r="J83" s="69"/>
      <c r="K83" s="70"/>
      <c r="L83" s="71"/>
      <c r="M83" s="72" t="s">
        <v>69</v>
      </c>
      <c r="N83" s="90">
        <v>74.0</v>
      </c>
      <c r="O83" s="74" t="s">
        <v>427</v>
      </c>
      <c r="P83" s="75">
        <v>0.8847222222222222</v>
      </c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45756.0</v>
      </c>
      <c r="I84" s="68"/>
      <c r="J84" s="69"/>
      <c r="K84" s="70"/>
      <c r="L84" s="71"/>
      <c r="M84" s="72" t="s">
        <v>1219</v>
      </c>
      <c r="N84" s="90">
        <v>40.0</v>
      </c>
      <c r="O84" s="74" t="s">
        <v>1270</v>
      </c>
      <c r="P84" s="75">
        <v>0.9104166666666667</v>
      </c>
      <c r="R84" s="39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45756.0</v>
      </c>
      <c r="I85" s="68"/>
      <c r="J85" s="69"/>
      <c r="K85" s="70"/>
      <c r="L85" s="88"/>
      <c r="M85" s="72" t="s">
        <v>20</v>
      </c>
      <c r="N85" s="90">
        <v>50.0</v>
      </c>
      <c r="O85" s="74" t="s">
        <v>1265</v>
      </c>
      <c r="P85" s="75">
        <v>0.9368055555555556</v>
      </c>
      <c r="R85" s="39"/>
      <c r="S85" s="185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45756.0</v>
      </c>
      <c r="I86" s="68"/>
      <c r="J86" s="69"/>
      <c r="K86" s="70"/>
      <c r="L86" s="71"/>
      <c r="M86" s="72" t="s">
        <v>20</v>
      </c>
      <c r="N86" s="90">
        <v>122.63</v>
      </c>
      <c r="O86" s="74" t="s">
        <v>1202</v>
      </c>
      <c r="P86" s="75">
        <v>0.9645833333333333</v>
      </c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45757.0</v>
      </c>
      <c r="I87" s="68"/>
      <c r="J87" s="69"/>
      <c r="K87" s="85"/>
      <c r="L87" s="71"/>
      <c r="M87" s="72" t="s">
        <v>469</v>
      </c>
      <c r="N87" s="90">
        <v>12301.8</v>
      </c>
      <c r="O87" s="74" t="s">
        <v>1271</v>
      </c>
      <c r="P87" s="75">
        <v>0.5763888888888888</v>
      </c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45757.0</v>
      </c>
      <c r="I88" s="68"/>
      <c r="J88" s="69"/>
      <c r="K88" s="70"/>
      <c r="L88" s="71"/>
      <c r="M88" s="72" t="s">
        <v>1219</v>
      </c>
      <c r="N88" s="90">
        <v>270.0</v>
      </c>
      <c r="O88" s="74" t="s">
        <v>427</v>
      </c>
      <c r="P88" s="75">
        <v>0.6034722222222222</v>
      </c>
      <c r="R88" s="39"/>
      <c r="S88" s="18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45757.0</v>
      </c>
      <c r="I89" s="68"/>
      <c r="J89" s="69"/>
      <c r="K89" s="85"/>
      <c r="L89" s="71"/>
      <c r="M89" s="72" t="s">
        <v>20</v>
      </c>
      <c r="N89" s="90">
        <v>5.0</v>
      </c>
      <c r="O89" s="74" t="s">
        <v>1272</v>
      </c>
      <c r="P89" s="75">
        <v>0.6076388888888888</v>
      </c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45757.0</v>
      </c>
      <c r="I90" s="68"/>
      <c r="J90" s="69"/>
      <c r="K90" s="70"/>
      <c r="L90" s="88"/>
      <c r="M90" s="72" t="s">
        <v>69</v>
      </c>
      <c r="N90" s="90">
        <v>74.0</v>
      </c>
      <c r="O90" s="74" t="s">
        <v>427</v>
      </c>
      <c r="P90" s="75">
        <v>0.6201388888888889</v>
      </c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45757.0</v>
      </c>
      <c r="I91" s="84"/>
      <c r="J91" s="17"/>
      <c r="K91" s="85"/>
      <c r="L91" s="86"/>
      <c r="M91" s="72" t="s">
        <v>1223</v>
      </c>
      <c r="N91" s="90">
        <v>1000.62</v>
      </c>
      <c r="O91" s="74"/>
      <c r="P91" s="75">
        <v>0.6479166666666667</v>
      </c>
      <c r="R91" s="39"/>
      <c r="S91" s="186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45757.0</v>
      </c>
      <c r="I92" s="68"/>
      <c r="J92" s="69"/>
      <c r="K92" s="70"/>
      <c r="L92" s="71"/>
      <c r="M92" s="72" t="s">
        <v>20</v>
      </c>
      <c r="N92" s="90">
        <v>100.0</v>
      </c>
      <c r="O92" s="74" t="s">
        <v>1265</v>
      </c>
      <c r="P92" s="75">
        <v>0.6618055555555555</v>
      </c>
      <c r="Q92" s="41"/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45757.0</v>
      </c>
      <c r="I93" s="68"/>
      <c r="J93" s="69"/>
      <c r="K93" s="70"/>
      <c r="L93" s="71"/>
      <c r="M93" s="72" t="s">
        <v>1251</v>
      </c>
      <c r="N93" s="90">
        <v>10.0</v>
      </c>
      <c r="O93" s="74" t="s">
        <v>155</v>
      </c>
      <c r="P93" s="75">
        <v>0.6666666666666666</v>
      </c>
      <c r="Q93" s="41"/>
      <c r="R93" s="39"/>
      <c r="S93" s="186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45757.0</v>
      </c>
      <c r="I94" s="68"/>
      <c r="J94" s="69"/>
      <c r="K94" s="70"/>
      <c r="L94" s="71"/>
      <c r="M94" s="72" t="s">
        <v>1251</v>
      </c>
      <c r="N94" s="90">
        <f>12150-N93</f>
        <v>12140</v>
      </c>
      <c r="O94" s="74" t="s">
        <v>155</v>
      </c>
      <c r="P94" s="75">
        <v>0.6694444444444444</v>
      </c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45757.0</v>
      </c>
      <c r="I95" s="68"/>
      <c r="J95" s="69"/>
      <c r="K95" s="70"/>
      <c r="L95" s="71"/>
      <c r="M95" s="72" t="s">
        <v>30</v>
      </c>
      <c r="N95" s="90">
        <v>1170.3</v>
      </c>
      <c r="O95" s="96" t="s">
        <v>1273</v>
      </c>
      <c r="P95" s="75">
        <v>0.7354166666666667</v>
      </c>
      <c r="Q95" s="41"/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45757.0</v>
      </c>
      <c r="I96" s="68"/>
      <c r="J96" s="69"/>
      <c r="K96" s="70"/>
      <c r="L96" s="71"/>
      <c r="M96" s="72" t="s">
        <v>1229</v>
      </c>
      <c r="N96" s="90">
        <v>400.0</v>
      </c>
      <c r="O96" s="74"/>
      <c r="P96" s="75">
        <v>0.8090277777777778</v>
      </c>
      <c r="R96" s="39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45757.0</v>
      </c>
      <c r="I97" s="68" t="s">
        <v>1234</v>
      </c>
      <c r="J97" s="69">
        <v>50000.0</v>
      </c>
      <c r="K97" s="70"/>
      <c r="L97" s="71">
        <v>0.8270833333333333</v>
      </c>
      <c r="M97" s="72" t="s">
        <v>1235</v>
      </c>
      <c r="N97" s="90">
        <v>7360.0</v>
      </c>
      <c r="O97" s="74"/>
      <c r="P97" s="75">
        <v>0.8784722222222222</v>
      </c>
      <c r="R97" s="39"/>
      <c r="S97" s="186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45757.0</v>
      </c>
      <c r="I98" s="68" t="s">
        <v>1215</v>
      </c>
      <c r="J98" s="69">
        <v>36000.0</v>
      </c>
      <c r="K98" s="70" t="s">
        <v>1253</v>
      </c>
      <c r="L98" s="71">
        <v>0.8784722222222222</v>
      </c>
      <c r="M98" s="72" t="s">
        <v>20</v>
      </c>
      <c r="N98" s="90">
        <v>10.22</v>
      </c>
      <c r="O98" s="74" t="s">
        <v>1274</v>
      </c>
      <c r="P98" s="75">
        <v>0.90625</v>
      </c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45757.0</v>
      </c>
      <c r="I99" s="84"/>
      <c r="J99" s="17"/>
      <c r="K99" s="85"/>
      <c r="L99" s="86"/>
      <c r="M99" s="72" t="s">
        <v>864</v>
      </c>
      <c r="N99" s="90">
        <v>26990.0</v>
      </c>
      <c r="O99" s="74"/>
      <c r="P99" s="75">
        <v>0.9444444444444444</v>
      </c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45757.0</v>
      </c>
      <c r="I100" s="68" t="s">
        <v>1216</v>
      </c>
      <c r="J100" s="69">
        <v>497.0</v>
      </c>
      <c r="K100" s="92"/>
      <c r="L100" s="71">
        <v>0.9638888888888889</v>
      </c>
      <c r="M100" s="72"/>
      <c r="N100" s="90"/>
      <c r="O100" s="74"/>
      <c r="P100" s="75"/>
      <c r="R100" s="39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45758.0</v>
      </c>
      <c r="I101" s="84"/>
      <c r="J101" s="17"/>
      <c r="K101" s="85"/>
      <c r="L101" s="86"/>
      <c r="M101" s="72" t="s">
        <v>469</v>
      </c>
      <c r="N101" s="90">
        <v>12221.0</v>
      </c>
      <c r="O101" s="74" t="s">
        <v>1275</v>
      </c>
      <c r="P101" s="75">
        <v>0.5708333333333333</v>
      </c>
      <c r="R101" s="39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45758.0</v>
      </c>
      <c r="I102" s="68" t="s">
        <v>1255</v>
      </c>
      <c r="J102" s="69">
        <v>7425.0</v>
      </c>
      <c r="K102" s="70" t="s">
        <v>1276</v>
      </c>
      <c r="L102" s="71">
        <v>0.575</v>
      </c>
      <c r="M102" s="72" t="s">
        <v>1012</v>
      </c>
      <c r="N102" s="90">
        <v>1794.0</v>
      </c>
      <c r="O102" s="74"/>
      <c r="P102" s="75">
        <v>0.60625</v>
      </c>
      <c r="R102" s="39"/>
      <c r="S102" s="186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45758.0</v>
      </c>
      <c r="I103" s="68"/>
      <c r="J103" s="69"/>
      <c r="K103" s="87"/>
      <c r="L103" s="71"/>
      <c r="M103" s="72" t="s">
        <v>1218</v>
      </c>
      <c r="N103" s="90">
        <v>6900.0</v>
      </c>
      <c r="O103" s="74"/>
      <c r="P103" s="75">
        <v>0.625</v>
      </c>
      <c r="R103" s="39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45758.0</v>
      </c>
      <c r="I104" s="68"/>
      <c r="J104" s="69"/>
      <c r="K104" s="87"/>
      <c r="L104" s="71"/>
      <c r="M104" s="72" t="s">
        <v>339</v>
      </c>
      <c r="N104" s="90">
        <v>1180.0</v>
      </c>
      <c r="O104" s="74" t="s">
        <v>1277</v>
      </c>
      <c r="P104" s="75">
        <v>0.6361111111111111</v>
      </c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45758.0</v>
      </c>
      <c r="I105" s="68" t="s">
        <v>1215</v>
      </c>
      <c r="J105" s="69">
        <v>36000.0</v>
      </c>
      <c r="K105" s="70" t="s">
        <v>1253</v>
      </c>
      <c r="L105" s="71">
        <v>0.8972222222222223</v>
      </c>
      <c r="M105" s="72" t="s">
        <v>20</v>
      </c>
      <c r="N105" s="90">
        <v>14.5</v>
      </c>
      <c r="O105" s="74" t="s">
        <v>1278</v>
      </c>
      <c r="P105" s="75">
        <v>0.9666666666666667</v>
      </c>
      <c r="R105" s="39"/>
      <c r="S105" s="186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45758.0</v>
      </c>
      <c r="I106" s="68"/>
      <c r="J106" s="69"/>
      <c r="K106" s="87"/>
      <c r="L106" s="71"/>
      <c r="M106" s="72" t="s">
        <v>20</v>
      </c>
      <c r="N106" s="90">
        <v>5.0</v>
      </c>
      <c r="O106" s="74" t="s">
        <v>1272</v>
      </c>
      <c r="P106" s="75">
        <v>0.9680555555555556</v>
      </c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45759.0</v>
      </c>
      <c r="I107" s="68"/>
      <c r="J107" s="69"/>
      <c r="K107" s="70"/>
      <c r="L107" s="88"/>
      <c r="M107" s="72" t="s">
        <v>469</v>
      </c>
      <c r="N107" s="191">
        <v>14443.0</v>
      </c>
      <c r="O107" s="74" t="s">
        <v>1279</v>
      </c>
      <c r="P107" s="75">
        <v>0.47638888888888886</v>
      </c>
      <c r="R107" s="39"/>
      <c r="S107" s="186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45759.0</v>
      </c>
      <c r="I108" s="68"/>
      <c r="J108" s="69"/>
      <c r="K108" s="70"/>
      <c r="L108" s="71"/>
      <c r="M108" s="72" t="s">
        <v>864</v>
      </c>
      <c r="N108" s="90">
        <v>15000.0</v>
      </c>
      <c r="O108" s="74"/>
      <c r="P108" s="75">
        <v>0.50625</v>
      </c>
      <c r="R108" s="39"/>
      <c r="S108" s="18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45759.0</v>
      </c>
      <c r="I109" s="84"/>
      <c r="J109" s="17"/>
      <c r="K109" s="85"/>
      <c r="L109" s="86"/>
      <c r="M109" s="72" t="s">
        <v>1130</v>
      </c>
      <c r="N109" s="90">
        <v>1241.5</v>
      </c>
      <c r="O109" s="96" t="s">
        <v>1280</v>
      </c>
      <c r="P109" s="75">
        <v>0.5201388888888889</v>
      </c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45759.0</v>
      </c>
      <c r="I110" s="68"/>
      <c r="J110" s="69"/>
      <c r="K110" s="70"/>
      <c r="L110" s="71"/>
      <c r="M110" s="72" t="s">
        <v>1223</v>
      </c>
      <c r="N110" s="90">
        <v>1000.5</v>
      </c>
      <c r="O110" s="96"/>
      <c r="P110" s="75">
        <v>0.5256944444444445</v>
      </c>
      <c r="R110" s="39"/>
      <c r="S110" s="186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45759.0</v>
      </c>
      <c r="I111" s="68"/>
      <c r="J111" s="69"/>
      <c r="K111" s="70"/>
      <c r="L111" s="71"/>
      <c r="M111" s="72" t="s">
        <v>1012</v>
      </c>
      <c r="N111" s="90">
        <v>1449.0</v>
      </c>
      <c r="O111" s="74"/>
      <c r="P111" s="75">
        <v>0.6520833333333333</v>
      </c>
      <c r="R111" s="39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45759.0</v>
      </c>
      <c r="I112" s="68"/>
      <c r="J112" s="69"/>
      <c r="K112" s="70"/>
      <c r="L112" s="71"/>
      <c r="M112" s="72" t="s">
        <v>469</v>
      </c>
      <c r="N112" s="90">
        <v>3333.0</v>
      </c>
      <c r="O112" s="74" t="s">
        <v>1281</v>
      </c>
      <c r="P112" s="75">
        <v>0.68125</v>
      </c>
      <c r="R112" s="39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45759.0</v>
      </c>
      <c r="I113" s="68"/>
      <c r="J113" s="69"/>
      <c r="K113" s="70"/>
      <c r="L113" s="71"/>
      <c r="M113" s="72" t="s">
        <v>1219</v>
      </c>
      <c r="N113" s="90">
        <v>320.0</v>
      </c>
      <c r="O113" s="74"/>
      <c r="P113" s="75">
        <v>0.9</v>
      </c>
      <c r="R113" s="39"/>
      <c r="S113" s="18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45759.0</v>
      </c>
      <c r="I114" s="68"/>
      <c r="J114" s="69"/>
      <c r="K114" s="70"/>
      <c r="L114" s="71"/>
      <c r="M114" s="72" t="s">
        <v>1235</v>
      </c>
      <c r="N114" s="90">
        <v>6912.0</v>
      </c>
      <c r="O114" s="74"/>
      <c r="P114" s="75">
        <v>0.9833333333333333</v>
      </c>
      <c r="R114" s="39"/>
      <c r="S114" s="186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45760.0</v>
      </c>
      <c r="I115" s="154"/>
      <c r="J115" s="17"/>
      <c r="K115" s="93"/>
      <c r="L115" s="155"/>
      <c r="M115" s="72" t="s">
        <v>1218</v>
      </c>
      <c r="N115" s="90">
        <v>3200.0</v>
      </c>
      <c r="O115" s="74"/>
      <c r="P115" s="75">
        <v>0.5513888888888889</v>
      </c>
      <c r="R115" s="39"/>
      <c r="S115" s="186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45760.0</v>
      </c>
      <c r="I116" s="68" t="s">
        <v>1255</v>
      </c>
      <c r="J116" s="69">
        <v>1350.0</v>
      </c>
      <c r="K116" s="70" t="s">
        <v>1282</v>
      </c>
      <c r="L116" s="71">
        <v>0.7354166666666667</v>
      </c>
      <c r="M116" s="72" t="s">
        <v>1283</v>
      </c>
      <c r="N116" s="90">
        <v>1160.0</v>
      </c>
      <c r="O116" s="74" t="s">
        <v>1284</v>
      </c>
      <c r="P116" s="75">
        <v>0.9097222222222222</v>
      </c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45761.0</v>
      </c>
      <c r="I117" s="154"/>
      <c r="J117" s="17"/>
      <c r="K117" s="92"/>
      <c r="L117" s="155"/>
      <c r="M117" s="72" t="s">
        <v>469</v>
      </c>
      <c r="N117" s="90">
        <v>19998.0</v>
      </c>
      <c r="O117" s="74" t="s">
        <v>1285</v>
      </c>
      <c r="P117" s="75">
        <v>0.42291666666666666</v>
      </c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45761.0</v>
      </c>
      <c r="I118" s="68"/>
      <c r="J118" s="69"/>
      <c r="K118" s="70"/>
      <c r="L118" s="71"/>
      <c r="M118" s="72" t="s">
        <v>1218</v>
      </c>
      <c r="N118" s="90">
        <v>2600.0</v>
      </c>
      <c r="O118" s="74"/>
      <c r="P118" s="75">
        <v>0.5069444444444444</v>
      </c>
      <c r="R118" s="39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45761.0</v>
      </c>
      <c r="I119" s="68"/>
      <c r="J119" s="69"/>
      <c r="K119" s="70"/>
      <c r="L119" s="71"/>
      <c r="M119" s="72" t="s">
        <v>1227</v>
      </c>
      <c r="N119" s="90">
        <v>2287.6</v>
      </c>
      <c r="O119" s="74" t="s">
        <v>1286</v>
      </c>
      <c r="P119" s="75">
        <v>0.5861111111111111</v>
      </c>
      <c r="R119" s="39"/>
      <c r="S119" s="186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45761.0</v>
      </c>
      <c r="I120" s="68"/>
      <c r="J120" s="17"/>
      <c r="K120" s="93"/>
      <c r="L120" s="71"/>
      <c r="M120" s="72" t="s">
        <v>1227</v>
      </c>
      <c r="N120" s="90">
        <v>515.0</v>
      </c>
      <c r="O120" s="74" t="s">
        <v>1287</v>
      </c>
      <c r="P120" s="75">
        <v>0.59375</v>
      </c>
      <c r="Q120" s="41"/>
      <c r="R120" s="39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45761.0</v>
      </c>
      <c r="I121" s="68"/>
      <c r="J121" s="69"/>
      <c r="K121" s="87"/>
      <c r="L121" s="71"/>
      <c r="M121" s="72" t="s">
        <v>1230</v>
      </c>
      <c r="N121" s="90">
        <v>1090.0</v>
      </c>
      <c r="O121" s="74" t="s">
        <v>511</v>
      </c>
      <c r="P121" s="75">
        <v>0.63125</v>
      </c>
      <c r="R121" s="39"/>
      <c r="S121" s="186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45761.0</v>
      </c>
      <c r="I122" s="68"/>
      <c r="J122" s="69"/>
      <c r="K122" s="70"/>
      <c r="L122" s="71"/>
      <c r="M122" s="72" t="s">
        <v>1224</v>
      </c>
      <c r="N122" s="90">
        <v>3000.0</v>
      </c>
      <c r="O122" s="74"/>
      <c r="P122" s="75">
        <v>0.6479166666666667</v>
      </c>
      <c r="R122" s="39"/>
      <c r="S122" s="186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45761.0</v>
      </c>
      <c r="I123" s="68"/>
      <c r="J123" s="69"/>
      <c r="K123" s="70"/>
      <c r="L123" s="88"/>
      <c r="M123" s="72" t="s">
        <v>1231</v>
      </c>
      <c r="N123" s="90">
        <v>321.0</v>
      </c>
      <c r="O123" s="74"/>
      <c r="P123" s="75">
        <v>0.6715277777777777</v>
      </c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45761.0</v>
      </c>
      <c r="I124" s="68" t="s">
        <v>702</v>
      </c>
      <c r="J124" s="69">
        <v>300.0</v>
      </c>
      <c r="K124" s="70" t="s">
        <v>155</v>
      </c>
      <c r="L124" s="71">
        <v>0.6979166666666666</v>
      </c>
      <c r="M124" s="72"/>
      <c r="N124" s="90"/>
      <c r="O124" s="74"/>
      <c r="P124" s="75"/>
      <c r="R124" s="39"/>
      <c r="S124" s="18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45761.0</v>
      </c>
      <c r="I125" s="68" t="s">
        <v>1288</v>
      </c>
      <c r="J125" s="69">
        <v>50000.0</v>
      </c>
      <c r="K125" s="70"/>
      <c r="L125" s="71">
        <v>0.7895833333333333</v>
      </c>
      <c r="M125" s="72"/>
      <c r="N125" s="90"/>
      <c r="O125" s="74"/>
      <c r="P125" s="75"/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45762.0</v>
      </c>
      <c r="I126" s="68" t="s">
        <v>1224</v>
      </c>
      <c r="J126" s="69">
        <v>3000.0</v>
      </c>
      <c r="K126" s="70" t="s">
        <v>155</v>
      </c>
      <c r="L126" s="71">
        <v>0.06458333333333334</v>
      </c>
      <c r="M126" s="72"/>
      <c r="N126" s="90"/>
      <c r="O126" s="74"/>
      <c r="P126" s="75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45762.0</v>
      </c>
      <c r="I127" s="68" t="s">
        <v>1255</v>
      </c>
      <c r="J127" s="69">
        <v>4725.0</v>
      </c>
      <c r="K127" s="70" t="s">
        <v>1289</v>
      </c>
      <c r="L127" s="71">
        <v>0.5402777777777777</v>
      </c>
      <c r="M127" s="72" t="s">
        <v>469</v>
      </c>
      <c r="N127" s="90">
        <v>15554.0</v>
      </c>
      <c r="O127" s="74" t="s">
        <v>1290</v>
      </c>
      <c r="P127" s="75">
        <v>0.5743055555555555</v>
      </c>
      <c r="R127" s="39"/>
      <c r="S127" s="186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45762.0</v>
      </c>
      <c r="I128" s="68"/>
      <c r="J128" s="69"/>
      <c r="K128" s="87"/>
      <c r="L128" s="88"/>
      <c r="M128" s="72" t="s">
        <v>1130</v>
      </c>
      <c r="N128" s="90">
        <v>5807.5</v>
      </c>
      <c r="O128" s="74" t="s">
        <v>1291</v>
      </c>
      <c r="P128" s="75">
        <v>0.5756944444444444</v>
      </c>
      <c r="R128" s="39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45762.0</v>
      </c>
      <c r="I129" s="68"/>
      <c r="J129" s="69"/>
      <c r="K129" s="70"/>
      <c r="L129" s="88"/>
      <c r="M129" s="72" t="s">
        <v>1219</v>
      </c>
      <c r="N129" s="90">
        <v>100.0</v>
      </c>
      <c r="O129" s="74"/>
      <c r="P129" s="75">
        <v>0.5951388888888889</v>
      </c>
      <c r="R129" s="39"/>
      <c r="S129" s="186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45762.0</v>
      </c>
      <c r="I130" s="68"/>
      <c r="J130" s="69"/>
      <c r="K130" s="70"/>
      <c r="L130" s="71"/>
      <c r="M130" s="72" t="s">
        <v>1227</v>
      </c>
      <c r="N130" s="90">
        <v>535.0</v>
      </c>
      <c r="O130" s="74"/>
      <c r="P130" s="75">
        <v>0.6125</v>
      </c>
      <c r="R130" s="39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45762.0</v>
      </c>
      <c r="I131" s="68"/>
      <c r="J131" s="69"/>
      <c r="K131" s="70"/>
      <c r="L131" s="71"/>
      <c r="M131" s="72" t="s">
        <v>20</v>
      </c>
      <c r="N131" s="90">
        <v>81.65</v>
      </c>
      <c r="O131" s="74" t="s">
        <v>568</v>
      </c>
      <c r="P131" s="75">
        <v>0.6236111111111111</v>
      </c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45762.0</v>
      </c>
      <c r="I132" s="68" t="s">
        <v>1257</v>
      </c>
      <c r="J132" s="69">
        <v>10528.0</v>
      </c>
      <c r="K132" s="70"/>
      <c r="L132" s="71">
        <v>0.6333333333333333</v>
      </c>
      <c r="M132" s="72" t="s">
        <v>20</v>
      </c>
      <c r="N132" s="90">
        <v>34.29</v>
      </c>
      <c r="O132" s="74" t="s">
        <v>1292</v>
      </c>
      <c r="P132" s="75">
        <v>0.6486111111111111</v>
      </c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45762.0</v>
      </c>
      <c r="I133" s="68"/>
      <c r="J133" s="69"/>
      <c r="K133" s="70"/>
      <c r="L133" s="71"/>
      <c r="M133" s="72" t="s">
        <v>1283</v>
      </c>
      <c r="N133" s="90">
        <v>640.0</v>
      </c>
      <c r="O133" s="74" t="s">
        <v>1293</v>
      </c>
      <c r="P133" s="75">
        <v>0.7569444444444444</v>
      </c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45762.0</v>
      </c>
      <c r="I134" s="68" t="s">
        <v>1235</v>
      </c>
      <c r="J134" s="69">
        <v>3904.0</v>
      </c>
      <c r="K134" s="70" t="s">
        <v>155</v>
      </c>
      <c r="L134" s="71">
        <v>0.925</v>
      </c>
      <c r="M134" s="72" t="s">
        <v>1130</v>
      </c>
      <c r="N134" s="90">
        <v>540.0</v>
      </c>
      <c r="O134" s="74" t="s">
        <v>269</v>
      </c>
      <c r="P134" s="75">
        <v>0.9666666666666667</v>
      </c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45763.0</v>
      </c>
      <c r="I135" s="154" t="s">
        <v>1258</v>
      </c>
      <c r="J135" s="17">
        <v>8400.0</v>
      </c>
      <c r="K135" s="92"/>
      <c r="L135" s="155">
        <v>0.029166666666666667</v>
      </c>
      <c r="M135" s="72" t="s">
        <v>1130</v>
      </c>
      <c r="N135" s="90">
        <v>9442.0</v>
      </c>
      <c r="O135" s="96" t="s">
        <v>1294</v>
      </c>
      <c r="P135" s="75">
        <v>0.5673611111111111</v>
      </c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45763.0</v>
      </c>
      <c r="I136" s="68" t="s">
        <v>1231</v>
      </c>
      <c r="J136" s="69">
        <v>300.0</v>
      </c>
      <c r="K136" s="70" t="s">
        <v>155</v>
      </c>
      <c r="L136" s="71">
        <v>0.5972222222222222</v>
      </c>
      <c r="M136" s="72" t="s">
        <v>1130</v>
      </c>
      <c r="N136" s="90">
        <v>2323.0</v>
      </c>
      <c r="O136" s="74" t="s">
        <v>1295</v>
      </c>
      <c r="P136" s="75">
        <v>0.6493055555555556</v>
      </c>
      <c r="R136" s="39"/>
      <c r="S136" s="186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45763.0</v>
      </c>
      <c r="I137" s="68"/>
      <c r="J137" s="69"/>
      <c r="K137" s="70"/>
      <c r="L137" s="71"/>
      <c r="M137" s="72" t="s">
        <v>1227</v>
      </c>
      <c r="N137" s="90">
        <v>476.68</v>
      </c>
      <c r="O137" s="74" t="s">
        <v>1296</v>
      </c>
      <c r="P137" s="75">
        <v>0.6673611111111111</v>
      </c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45763.0</v>
      </c>
      <c r="I138" s="68"/>
      <c r="J138" s="69"/>
      <c r="K138" s="85"/>
      <c r="L138" s="71"/>
      <c r="M138" s="72" t="s">
        <v>1130</v>
      </c>
      <c r="N138" s="90">
        <v>4963.0</v>
      </c>
      <c r="O138" s="74" t="s">
        <v>1297</v>
      </c>
      <c r="P138" s="75">
        <v>0.7861111111111111</v>
      </c>
      <c r="R138" s="39"/>
      <c r="S138" s="186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45763.0</v>
      </c>
      <c r="I139" s="154"/>
      <c r="J139" s="17"/>
      <c r="K139" s="70"/>
      <c r="L139" s="71"/>
      <c r="M139" s="72" t="s">
        <v>1283</v>
      </c>
      <c r="N139" s="90">
        <v>161.6</v>
      </c>
      <c r="O139" s="74" t="s">
        <v>1298</v>
      </c>
      <c r="P139" s="75">
        <v>0.7895833333333333</v>
      </c>
      <c r="Q139" s="41"/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45763.0</v>
      </c>
      <c r="I140" s="154"/>
      <c r="J140" s="17"/>
      <c r="K140" s="70"/>
      <c r="L140" s="71"/>
      <c r="M140" s="72" t="s">
        <v>1283</v>
      </c>
      <c r="N140" s="90">
        <v>1140.0</v>
      </c>
      <c r="O140" s="74" t="s">
        <v>1299</v>
      </c>
      <c r="P140" s="75">
        <v>0.8027777777777778</v>
      </c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45763.0</v>
      </c>
      <c r="I141" s="154"/>
      <c r="J141" s="17"/>
      <c r="K141" s="70"/>
      <c r="L141" s="71"/>
      <c r="M141" s="72" t="s">
        <v>1223</v>
      </c>
      <c r="N141" s="90">
        <v>1000.37</v>
      </c>
      <c r="O141" s="74"/>
      <c r="P141" s="75">
        <v>0.90625</v>
      </c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45764.0</v>
      </c>
      <c r="I142" s="68" t="s">
        <v>1255</v>
      </c>
      <c r="J142" s="69">
        <v>2295.0</v>
      </c>
      <c r="K142" s="70" t="s">
        <v>1300</v>
      </c>
      <c r="L142" s="71">
        <v>0.5194444444444445</v>
      </c>
      <c r="M142" s="72" t="s">
        <v>1130</v>
      </c>
      <c r="N142" s="90">
        <v>17422.5</v>
      </c>
      <c r="O142" s="74" t="s">
        <v>1301</v>
      </c>
      <c r="P142" s="75">
        <v>0.5597222222222222</v>
      </c>
      <c r="R142" s="39"/>
      <c r="S142" s="186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45764.0</v>
      </c>
      <c r="I143" s="68"/>
      <c r="J143" s="69"/>
      <c r="K143" s="70"/>
      <c r="L143" s="71"/>
      <c r="M143" s="72" t="s">
        <v>20</v>
      </c>
      <c r="N143" s="90">
        <v>5.0</v>
      </c>
      <c r="O143" s="74" t="s">
        <v>1272</v>
      </c>
      <c r="P143" s="75">
        <v>0.9701388888888889</v>
      </c>
      <c r="Q143" s="41"/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45765.0</v>
      </c>
      <c r="I144" s="68" t="s">
        <v>1255</v>
      </c>
      <c r="J144" s="69">
        <v>1350.0</v>
      </c>
      <c r="K144" s="70" t="s">
        <v>1302</v>
      </c>
      <c r="L144" s="71">
        <v>0.5402777777777777</v>
      </c>
      <c r="M144" s="72" t="s">
        <v>469</v>
      </c>
      <c r="N144" s="90">
        <v>4309.23</v>
      </c>
      <c r="O144" s="74" t="s">
        <v>1303</v>
      </c>
      <c r="P144" s="75">
        <v>0.5854166666666667</v>
      </c>
      <c r="R144" s="39"/>
      <c r="S144" s="186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45765.0</v>
      </c>
      <c r="I145" s="68"/>
      <c r="J145" s="69"/>
      <c r="K145" s="87"/>
      <c r="L145" s="71"/>
      <c r="M145" s="72" t="s">
        <v>339</v>
      </c>
      <c r="N145" s="90">
        <v>2109.8</v>
      </c>
      <c r="O145" s="74" t="s">
        <v>1304</v>
      </c>
      <c r="P145" s="75">
        <v>0.5868055555555556</v>
      </c>
      <c r="R145" s="39"/>
      <c r="S145" s="186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45765.0</v>
      </c>
      <c r="I146" s="154" t="s">
        <v>1258</v>
      </c>
      <c r="J146" s="17">
        <v>16800.0</v>
      </c>
      <c r="K146" s="93"/>
      <c r="L146" s="155">
        <v>0.9576388888888889</v>
      </c>
      <c r="M146" s="72" t="s">
        <v>69</v>
      </c>
      <c r="N146" s="90">
        <v>513.0</v>
      </c>
      <c r="O146" s="74"/>
      <c r="P146" s="75">
        <v>0.7131944444444445</v>
      </c>
      <c r="R146" s="39"/>
      <c r="S146" s="186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45766.0</v>
      </c>
      <c r="I147" s="68" t="s">
        <v>1255</v>
      </c>
      <c r="J147" s="69">
        <v>2835.0</v>
      </c>
      <c r="K147" s="70" t="s">
        <v>1305</v>
      </c>
      <c r="L147" s="71">
        <v>0.7923611111111111</v>
      </c>
      <c r="M147" s="72" t="s">
        <v>339</v>
      </c>
      <c r="N147" s="90">
        <v>6660.0</v>
      </c>
      <c r="O147" s="74" t="s">
        <v>1306</v>
      </c>
      <c r="P147" s="75">
        <v>0.5763888888888888</v>
      </c>
      <c r="R147" s="39"/>
      <c r="S147" s="186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45766.0</v>
      </c>
      <c r="I148" s="84"/>
      <c r="J148" s="17"/>
      <c r="K148" s="85"/>
      <c r="L148" s="71"/>
      <c r="M148" s="72" t="s">
        <v>1130</v>
      </c>
      <c r="N148" s="90">
        <v>7049.0</v>
      </c>
      <c r="O148" s="96" t="s">
        <v>1307</v>
      </c>
      <c r="P148" s="75">
        <v>0.5770833333333333</v>
      </c>
      <c r="Q148" s="41"/>
      <c r="R148" s="39"/>
      <c r="S148" s="186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45766.0</v>
      </c>
      <c r="I149" s="84"/>
      <c r="J149" s="17"/>
      <c r="K149" s="85"/>
      <c r="L149" s="71"/>
      <c r="M149" s="72" t="s">
        <v>469</v>
      </c>
      <c r="N149" s="90">
        <v>33330.0</v>
      </c>
      <c r="O149" s="74" t="s">
        <v>1290</v>
      </c>
      <c r="P149" s="75">
        <v>0.5951388888888889</v>
      </c>
      <c r="R149" s="39"/>
      <c r="S149" s="18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45766.0</v>
      </c>
      <c r="I150" s="84"/>
      <c r="J150" s="17"/>
      <c r="K150" s="85"/>
      <c r="L150" s="86"/>
      <c r="M150" s="72" t="s">
        <v>1219</v>
      </c>
      <c r="N150" s="90">
        <v>370.0</v>
      </c>
      <c r="O150" s="74" t="s">
        <v>1308</v>
      </c>
      <c r="P150" s="75">
        <v>0.6444444444444445</v>
      </c>
      <c r="R150" s="39"/>
      <c r="S150" s="186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45766.0</v>
      </c>
      <c r="I151" s="68"/>
      <c r="J151" s="69"/>
      <c r="K151" s="70"/>
      <c r="L151" s="88"/>
      <c r="M151" s="72" t="s">
        <v>1094</v>
      </c>
      <c r="N151" s="90">
        <v>60.0</v>
      </c>
      <c r="O151" s="74"/>
      <c r="P151" s="75">
        <v>0.6805555555555556</v>
      </c>
      <c r="R151" s="39"/>
      <c r="S151" s="186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45766.0</v>
      </c>
      <c r="I152" s="68"/>
      <c r="J152" s="69"/>
      <c r="K152" s="70"/>
      <c r="L152" s="71"/>
      <c r="M152" s="72" t="s">
        <v>1223</v>
      </c>
      <c r="N152" s="90">
        <v>1000.85</v>
      </c>
      <c r="O152" s="74"/>
      <c r="P152" s="75">
        <v>0.7131944444444445</v>
      </c>
      <c r="R152" s="39"/>
      <c r="S152" s="186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45766.0</v>
      </c>
      <c r="I153" s="68" t="s">
        <v>1218</v>
      </c>
      <c r="J153" s="69">
        <v>2100.0</v>
      </c>
      <c r="K153" s="70" t="s">
        <v>155</v>
      </c>
      <c r="L153" s="71">
        <v>0.7131944444444445</v>
      </c>
      <c r="M153" s="72"/>
      <c r="N153" s="90"/>
      <c r="O153" s="74"/>
      <c r="P153" s="75"/>
      <c r="R153" s="39"/>
      <c r="S153" s="186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45766.0</v>
      </c>
      <c r="I154" s="68" t="s">
        <v>1255</v>
      </c>
      <c r="J154" s="69">
        <v>3780.0</v>
      </c>
      <c r="K154" s="70" t="s">
        <v>1309</v>
      </c>
      <c r="L154" s="71">
        <v>0.7222222222222222</v>
      </c>
      <c r="M154" s="72" t="s">
        <v>864</v>
      </c>
      <c r="N154" s="90">
        <v>6600.0</v>
      </c>
      <c r="O154" s="74"/>
      <c r="P154" s="75">
        <v>0.7326388888888888</v>
      </c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45766.0</v>
      </c>
      <c r="I155" s="68"/>
      <c r="J155" s="69"/>
      <c r="K155" s="85"/>
      <c r="L155" s="71"/>
      <c r="M155" s="72" t="s">
        <v>671</v>
      </c>
      <c r="N155" s="90">
        <v>3427.0</v>
      </c>
      <c r="O155" s="74"/>
      <c r="P155" s="75">
        <v>0.8548611111111111</v>
      </c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45767.0</v>
      </c>
      <c r="I156" s="84"/>
      <c r="J156" s="17"/>
      <c r="K156" s="85"/>
      <c r="L156" s="86"/>
      <c r="M156" s="72" t="s">
        <v>75</v>
      </c>
      <c r="N156" s="90">
        <v>890.0</v>
      </c>
      <c r="O156" s="74"/>
      <c r="P156" s="75">
        <v>0.7284722222222222</v>
      </c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45767.0</v>
      </c>
      <c r="I157" s="68" t="s">
        <v>1255</v>
      </c>
      <c r="J157" s="69">
        <v>7290.0</v>
      </c>
      <c r="K157" s="70" t="s">
        <v>1310</v>
      </c>
      <c r="L157" s="71">
        <v>0.7506944444444444</v>
      </c>
      <c r="M157" s="72" t="s">
        <v>864</v>
      </c>
      <c r="N157" s="90">
        <v>5710.0</v>
      </c>
      <c r="O157" s="74"/>
      <c r="P157" s="75">
        <v>0.7513888888888889</v>
      </c>
      <c r="R157" s="39"/>
      <c r="S157" s="186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45767.0</v>
      </c>
      <c r="I158" s="68"/>
      <c r="J158" s="69"/>
      <c r="K158" s="70"/>
      <c r="L158" s="71"/>
      <c r="M158" s="72" t="s">
        <v>69</v>
      </c>
      <c r="N158" s="90">
        <v>610.0</v>
      </c>
      <c r="O158" s="74"/>
      <c r="P158" s="75">
        <v>0.8840277777777777</v>
      </c>
      <c r="R158" s="39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45768.0</v>
      </c>
      <c r="I159" s="68"/>
      <c r="J159" s="69"/>
      <c r="K159" s="85"/>
      <c r="L159" s="71"/>
      <c r="M159" s="72" t="s">
        <v>1215</v>
      </c>
      <c r="N159" s="90">
        <v>10.0</v>
      </c>
      <c r="O159" s="74" t="s">
        <v>155</v>
      </c>
      <c r="P159" s="75">
        <v>0.4979166666666667</v>
      </c>
      <c r="R159" s="39"/>
      <c r="S159" s="186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45768.0</v>
      </c>
      <c r="I160" s="154"/>
      <c r="J160" s="17"/>
      <c r="K160" s="93"/>
      <c r="L160" s="155"/>
      <c r="M160" s="72" t="s">
        <v>1215</v>
      </c>
      <c r="N160" s="90">
        <v>52730.0</v>
      </c>
      <c r="O160" s="74" t="s">
        <v>155</v>
      </c>
      <c r="P160" s="75">
        <v>0.5013888888888889</v>
      </c>
      <c r="R160" s="39"/>
      <c r="S160" s="186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45768.0</v>
      </c>
      <c r="I161" s="154"/>
      <c r="J161" s="17"/>
      <c r="K161" s="93"/>
      <c r="L161" s="71"/>
      <c r="M161" s="72" t="s">
        <v>75</v>
      </c>
      <c r="N161" s="90">
        <v>1584.0</v>
      </c>
      <c r="O161" s="74"/>
      <c r="P161" s="75">
        <v>0.5104166666666666</v>
      </c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45768.0</v>
      </c>
      <c r="I162" s="154"/>
      <c r="J162" s="17"/>
      <c r="K162" s="87"/>
      <c r="L162" s="71"/>
      <c r="M162" s="72" t="s">
        <v>469</v>
      </c>
      <c r="N162" s="90">
        <v>8989.0</v>
      </c>
      <c r="O162" s="74"/>
      <c r="P162" s="75">
        <v>0.5736111111111111</v>
      </c>
      <c r="R162" s="39"/>
      <c r="S162" s="76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45768.0</v>
      </c>
      <c r="I163" s="68"/>
      <c r="J163" s="69"/>
      <c r="K163" s="87"/>
      <c r="L163" s="71"/>
      <c r="M163" s="72" t="s">
        <v>339</v>
      </c>
      <c r="N163" s="90">
        <v>7770.0</v>
      </c>
      <c r="O163" s="74"/>
      <c r="P163" s="75">
        <v>0.5798611111111112</v>
      </c>
      <c r="R163" s="39"/>
      <c r="S163" s="186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45768.0</v>
      </c>
      <c r="I164" s="68"/>
      <c r="J164" s="69"/>
      <c r="K164" s="87"/>
      <c r="L164" s="71"/>
      <c r="M164" s="72" t="s">
        <v>469</v>
      </c>
      <c r="N164" s="90">
        <v>3333.0</v>
      </c>
      <c r="O164" s="74"/>
      <c r="P164" s="75">
        <v>0.6527777777777778</v>
      </c>
      <c r="R164" s="39"/>
      <c r="S164" s="186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45768.0</v>
      </c>
      <c r="I165" s="154"/>
      <c r="J165" s="17"/>
      <c r="K165" s="70"/>
      <c r="L165" s="71"/>
      <c r="M165" s="72" t="s">
        <v>1094</v>
      </c>
      <c r="N165" s="90">
        <v>1636.2</v>
      </c>
      <c r="O165" s="74"/>
      <c r="P165" s="75">
        <v>0.6548611111111111</v>
      </c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45768.0</v>
      </c>
      <c r="I166" s="68" t="s">
        <v>1288</v>
      </c>
      <c r="J166" s="69">
        <v>50000.0</v>
      </c>
      <c r="K166" s="87"/>
      <c r="L166" s="71">
        <v>0.7361111111111112</v>
      </c>
      <c r="M166" s="72" t="s">
        <v>339</v>
      </c>
      <c r="N166" s="90">
        <v>3968.62</v>
      </c>
      <c r="O166" s="74"/>
      <c r="P166" s="75">
        <v>0.8305555555555556</v>
      </c>
      <c r="R166" s="39"/>
      <c r="S166" s="76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45768.0</v>
      </c>
      <c r="I167" s="68"/>
      <c r="J167" s="69"/>
      <c r="K167" s="85"/>
      <c r="L167" s="71"/>
      <c r="M167" s="72" t="s">
        <v>69</v>
      </c>
      <c r="N167" s="90">
        <v>636.0</v>
      </c>
      <c r="O167" s="74"/>
      <c r="P167" s="75">
        <v>0.8354166666666667</v>
      </c>
      <c r="Q167" s="41"/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45768.0</v>
      </c>
      <c r="I168" s="68"/>
      <c r="J168" s="69"/>
      <c r="K168" s="70"/>
      <c r="L168" s="71"/>
      <c r="M168" s="72" t="s">
        <v>69</v>
      </c>
      <c r="N168" s="90">
        <v>1010.0</v>
      </c>
      <c r="O168" s="74"/>
      <c r="P168" s="75">
        <v>0.9486111111111111</v>
      </c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45769.0</v>
      </c>
      <c r="I169" s="84"/>
      <c r="J169" s="17"/>
      <c r="K169" s="85"/>
      <c r="L169" s="86"/>
      <c r="M169" s="72" t="s">
        <v>69</v>
      </c>
      <c r="N169" s="90">
        <v>320.0</v>
      </c>
      <c r="O169" s="74"/>
      <c r="P169" s="75">
        <v>0.5576388888888889</v>
      </c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45769.0</v>
      </c>
      <c r="I170" s="84"/>
      <c r="J170" s="17"/>
      <c r="K170" s="85"/>
      <c r="L170" s="86"/>
      <c r="M170" s="72" t="s">
        <v>469</v>
      </c>
      <c r="N170" s="90">
        <v>9999.0</v>
      </c>
      <c r="O170" s="74"/>
      <c r="P170" s="75">
        <v>0.5743055555555555</v>
      </c>
      <c r="R170" s="39"/>
      <c r="S170" s="186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45769.0</v>
      </c>
      <c r="I171" s="68"/>
      <c r="J171" s="69"/>
      <c r="K171" s="70"/>
      <c r="L171" s="71"/>
      <c r="M171" s="72" t="s">
        <v>339</v>
      </c>
      <c r="N171" s="90">
        <v>9990.0</v>
      </c>
      <c r="O171" s="74"/>
      <c r="P171" s="75">
        <v>0.5770833333333333</v>
      </c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45769.0</v>
      </c>
      <c r="I172" s="68"/>
      <c r="J172" s="69"/>
      <c r="K172" s="87"/>
      <c r="L172" s="71"/>
      <c r="M172" s="72" t="s">
        <v>30</v>
      </c>
      <c r="N172" s="90">
        <v>1799.8</v>
      </c>
      <c r="O172" s="74"/>
      <c r="P172" s="75">
        <v>0.6638888888888889</v>
      </c>
      <c r="R172" s="39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45769.0</v>
      </c>
      <c r="I173" s="154"/>
      <c r="J173" s="17"/>
      <c r="K173" s="87"/>
      <c r="L173" s="71"/>
      <c r="M173" s="72" t="s">
        <v>14</v>
      </c>
      <c r="N173" s="90">
        <v>100514.3175</v>
      </c>
      <c r="O173" s="74" t="s">
        <v>1311</v>
      </c>
      <c r="P173" s="75">
        <v>0.7409722222222223</v>
      </c>
      <c r="R173" s="39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45769.0</v>
      </c>
      <c r="I174" s="84" t="s">
        <v>1258</v>
      </c>
      <c r="J174" s="17">
        <v>28000.0</v>
      </c>
      <c r="K174" s="93"/>
      <c r="L174" s="155">
        <v>0.7819444444444444</v>
      </c>
      <c r="M174" s="72" t="s">
        <v>20</v>
      </c>
      <c r="N174" s="90">
        <v>200.0</v>
      </c>
      <c r="O174" s="74" t="s">
        <v>1312</v>
      </c>
      <c r="P174" s="75">
        <v>0.8173611111111111</v>
      </c>
      <c r="R174" s="39"/>
      <c r="S174" s="186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45769.0</v>
      </c>
      <c r="I175" s="68"/>
      <c r="J175" s="69"/>
      <c r="K175" s="85"/>
      <c r="L175" s="71"/>
      <c r="M175" s="72" t="s">
        <v>69</v>
      </c>
      <c r="N175" s="90">
        <v>812.0</v>
      </c>
      <c r="O175" s="74"/>
      <c r="P175" s="75">
        <v>0.9104166666666667</v>
      </c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45769.0</v>
      </c>
      <c r="I176" s="84"/>
      <c r="J176" s="69"/>
      <c r="K176" s="70"/>
      <c r="L176" s="71"/>
      <c r="M176" s="72" t="s">
        <v>20</v>
      </c>
      <c r="N176" s="90">
        <v>82.28</v>
      </c>
      <c r="O176" s="74"/>
      <c r="P176" s="75">
        <v>0.9138888888888889</v>
      </c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>
        <v>45770.0</v>
      </c>
      <c r="I177" s="68" t="s">
        <v>1245</v>
      </c>
      <c r="J177" s="69">
        <v>30000.0</v>
      </c>
      <c r="K177" s="70"/>
      <c r="L177" s="71">
        <v>0.5291666666666667</v>
      </c>
      <c r="M177" s="72"/>
      <c r="N177" s="90"/>
      <c r="O177" s="74"/>
      <c r="P177" s="75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>
        <v>45770.0</v>
      </c>
      <c r="I178" s="68" t="s">
        <v>1255</v>
      </c>
      <c r="J178" s="69">
        <v>7830.0</v>
      </c>
      <c r="K178" s="70" t="s">
        <v>1313</v>
      </c>
      <c r="L178" s="71">
        <v>0.5395833333333333</v>
      </c>
      <c r="M178" s="72" t="s">
        <v>469</v>
      </c>
      <c r="N178" s="90">
        <v>21109.0</v>
      </c>
      <c r="O178" s="74" t="s">
        <v>1314</v>
      </c>
      <c r="P178" s="75">
        <v>0.5715277777777777</v>
      </c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>
        <v>45770.0</v>
      </c>
      <c r="I179" s="68"/>
      <c r="J179" s="69"/>
      <c r="K179" s="87"/>
      <c r="L179" s="71"/>
      <c r="M179" s="72" t="s">
        <v>339</v>
      </c>
      <c r="N179" s="90">
        <v>11100.0</v>
      </c>
      <c r="O179" s="74" t="s">
        <v>1315</v>
      </c>
      <c r="P179" s="75">
        <v>0.5729166666666666</v>
      </c>
      <c r="R179" s="39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>
        <v>45770.0</v>
      </c>
      <c r="I180" s="68" t="s">
        <v>1103</v>
      </c>
      <c r="J180" s="69">
        <v>50000.0</v>
      </c>
      <c r="K180" s="85"/>
      <c r="L180" s="71">
        <v>0.6236111111111111</v>
      </c>
      <c r="M180" s="72" t="s">
        <v>1233</v>
      </c>
      <c r="N180" s="90">
        <v>10.0</v>
      </c>
      <c r="O180" s="74"/>
      <c r="P180" s="75">
        <v>0.6298611111111111</v>
      </c>
      <c r="R180" s="39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>
        <v>45770.0</v>
      </c>
      <c r="I181" s="84"/>
      <c r="J181" s="17"/>
      <c r="K181" s="85"/>
      <c r="L181" s="86"/>
      <c r="M181" s="72" t="s">
        <v>469</v>
      </c>
      <c r="N181" s="90">
        <v>5555.0</v>
      </c>
      <c r="O181" s="74" t="s">
        <v>1316</v>
      </c>
      <c r="P181" s="75">
        <v>0.6104166666666667</v>
      </c>
      <c r="R181" s="39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>
        <v>45770.0</v>
      </c>
      <c r="I182" s="68"/>
      <c r="J182" s="69"/>
      <c r="K182" s="70"/>
      <c r="L182" s="71"/>
      <c r="M182" s="72" t="s">
        <v>69</v>
      </c>
      <c r="N182" s="90">
        <v>1523.0</v>
      </c>
      <c r="O182" s="74"/>
      <c r="P182" s="75">
        <v>0.61875</v>
      </c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>
        <v>45770.0</v>
      </c>
      <c r="I183" s="68"/>
      <c r="J183" s="69"/>
      <c r="K183" s="70"/>
      <c r="L183" s="71"/>
      <c r="M183" s="72" t="s">
        <v>1223</v>
      </c>
      <c r="N183" s="90">
        <v>2000.1</v>
      </c>
      <c r="O183" s="74"/>
      <c r="P183" s="75">
        <v>0.6291666666666667</v>
      </c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>
        <v>45771.0</v>
      </c>
      <c r="I184" s="68"/>
      <c r="J184" s="69"/>
      <c r="K184" s="87"/>
      <c r="L184" s="71"/>
      <c r="M184" s="72" t="s">
        <v>69</v>
      </c>
      <c r="N184" s="90">
        <v>320.0</v>
      </c>
      <c r="O184" s="74"/>
      <c r="P184" s="75">
        <v>0.5472222222222223</v>
      </c>
      <c r="R184" s="39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>
        <v>45771.0</v>
      </c>
      <c r="I185" s="68"/>
      <c r="J185" s="69"/>
      <c r="K185" s="70"/>
      <c r="L185" s="71"/>
      <c r="M185" s="72" t="s">
        <v>469</v>
      </c>
      <c r="N185" s="90">
        <v>24442.0</v>
      </c>
      <c r="O185" s="74" t="s">
        <v>1147</v>
      </c>
      <c r="P185" s="75">
        <v>0.5763888888888888</v>
      </c>
      <c r="R185" s="39"/>
      <c r="S185" s="186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>
        <v>45771.0</v>
      </c>
      <c r="I186" s="84" t="s">
        <v>1258</v>
      </c>
      <c r="J186" s="17">
        <v>42000.0</v>
      </c>
      <c r="K186" s="85"/>
      <c r="L186" s="155">
        <v>0.7208333333333333</v>
      </c>
      <c r="M186" s="72" t="s">
        <v>339</v>
      </c>
      <c r="N186" s="90">
        <v>7770.0</v>
      </c>
      <c r="O186" s="74" t="s">
        <v>1317</v>
      </c>
      <c r="P186" s="75">
        <v>0.5784722222222223</v>
      </c>
      <c r="R186" s="39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>
        <v>45772.0</v>
      </c>
      <c r="I187" s="68"/>
      <c r="J187" s="69"/>
      <c r="K187" s="85"/>
      <c r="L187" s="71"/>
      <c r="M187" s="72" t="s">
        <v>69</v>
      </c>
      <c r="N187" s="90">
        <v>1414.0</v>
      </c>
      <c r="O187" s="74"/>
      <c r="P187" s="75">
        <v>0.44305555555555554</v>
      </c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>
        <v>45772.0</v>
      </c>
      <c r="I188" s="68" t="s">
        <v>1255</v>
      </c>
      <c r="J188" s="69">
        <v>2160.0</v>
      </c>
      <c r="K188" s="70" t="s">
        <v>1318</v>
      </c>
      <c r="L188" s="71">
        <v>0.5340277777777778</v>
      </c>
      <c r="M188" s="72" t="s">
        <v>469</v>
      </c>
      <c r="N188" s="90">
        <v>32219.0</v>
      </c>
      <c r="O188" s="74" t="s">
        <v>1319</v>
      </c>
      <c r="P188" s="75">
        <v>0.5833333333333334</v>
      </c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>
        <v>45772.0</v>
      </c>
      <c r="I189" s="84" t="s">
        <v>1258</v>
      </c>
      <c r="J189" s="17">
        <v>28000.0</v>
      </c>
      <c r="K189" s="85"/>
      <c r="L189" s="155">
        <v>0.7645833333333333</v>
      </c>
      <c r="M189" s="72" t="s">
        <v>339</v>
      </c>
      <c r="N189" s="90">
        <v>13320.0</v>
      </c>
      <c r="O189" s="74" t="s">
        <v>1320</v>
      </c>
      <c r="P189" s="75">
        <v>0.5854166666666667</v>
      </c>
      <c r="R189" s="39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>
        <v>45772.0</v>
      </c>
      <c r="I190" s="84"/>
      <c r="J190" s="17"/>
      <c r="K190" s="85"/>
      <c r="L190" s="86"/>
      <c r="M190" s="72" t="s">
        <v>469</v>
      </c>
      <c r="N190" s="90">
        <v>1696.8</v>
      </c>
      <c r="O190" s="74" t="s">
        <v>1321</v>
      </c>
      <c r="P190" s="75">
        <v>0.7826388888888889</v>
      </c>
      <c r="R190" s="39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>
        <v>45772.0</v>
      </c>
      <c r="I191" s="68"/>
      <c r="J191" s="69"/>
      <c r="K191" s="70"/>
      <c r="L191" s="71"/>
      <c r="M191" s="72" t="s">
        <v>20</v>
      </c>
      <c r="N191" s="90">
        <v>125.0</v>
      </c>
      <c r="O191" s="74" t="s">
        <v>1322</v>
      </c>
      <c r="P191" s="75">
        <v>0.9013888888888889</v>
      </c>
      <c r="Q191" s="76"/>
      <c r="R191" s="39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>
        <v>45772.0</v>
      </c>
      <c r="I192" s="68"/>
      <c r="J192" s="69"/>
      <c r="K192" s="85"/>
      <c r="L192" s="71"/>
      <c r="M192" s="72" t="s">
        <v>864</v>
      </c>
      <c r="N192" s="90">
        <v>3850.0</v>
      </c>
      <c r="O192" s="74"/>
      <c r="P192" s="75">
        <v>0.9083333333333333</v>
      </c>
      <c r="R192" s="39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>
        <v>45772.0</v>
      </c>
      <c r="I193" s="84"/>
      <c r="J193" s="17"/>
      <c r="K193" s="85"/>
      <c r="L193" s="86"/>
      <c r="M193" s="72" t="s">
        <v>671</v>
      </c>
      <c r="N193" s="90">
        <v>2783.0</v>
      </c>
      <c r="O193" s="74"/>
      <c r="P193" s="75">
        <v>0.9743055555555555</v>
      </c>
      <c r="R193" s="39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>
        <v>45773.0</v>
      </c>
      <c r="I194" s="68"/>
      <c r="J194" s="69"/>
      <c r="K194" s="70"/>
      <c r="L194" s="71"/>
      <c r="M194" s="72" t="s">
        <v>339</v>
      </c>
      <c r="N194" s="90">
        <v>8880.0</v>
      </c>
      <c r="O194" s="74" t="s">
        <v>1323</v>
      </c>
      <c r="P194" s="75">
        <v>0.6027777777777777</v>
      </c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>
        <v>45773.0</v>
      </c>
      <c r="I195" s="84"/>
      <c r="J195" s="17"/>
      <c r="K195" s="85"/>
      <c r="L195" s="86"/>
      <c r="M195" s="72" t="s">
        <v>469</v>
      </c>
      <c r="N195" s="90">
        <v>38885.0</v>
      </c>
      <c r="O195" s="74" t="s">
        <v>1324</v>
      </c>
      <c r="P195" s="75">
        <v>0.6034722222222222</v>
      </c>
      <c r="R195" s="39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>
        <v>45773.0</v>
      </c>
      <c r="I196" s="68" t="s">
        <v>1255</v>
      </c>
      <c r="J196" s="69">
        <v>3645.0</v>
      </c>
      <c r="K196" s="70" t="s">
        <v>1325</v>
      </c>
      <c r="L196" s="71">
        <v>0.69375</v>
      </c>
      <c r="M196" s="147" t="s">
        <v>469</v>
      </c>
      <c r="N196" s="19">
        <v>5389.59</v>
      </c>
      <c r="O196" s="126" t="s">
        <v>1326</v>
      </c>
      <c r="P196" s="172">
        <v>0.6305555555555555</v>
      </c>
      <c r="R196" s="39"/>
      <c r="S196" s="186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>
        <v>45773.0</v>
      </c>
      <c r="I197" s="68" t="s">
        <v>1103</v>
      </c>
      <c r="J197" s="69">
        <v>50000.0</v>
      </c>
      <c r="K197" s="70"/>
      <c r="L197" s="71">
        <v>0.7020833333333333</v>
      </c>
      <c r="M197" s="72" t="s">
        <v>20</v>
      </c>
      <c r="N197" s="90">
        <v>82.34</v>
      </c>
      <c r="O197" s="74" t="s">
        <v>568</v>
      </c>
      <c r="P197" s="75">
        <v>0.7847222222222222</v>
      </c>
      <c r="R197" s="39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>
        <v>45773.0</v>
      </c>
      <c r="I198" s="68"/>
      <c r="J198" s="69"/>
      <c r="K198" s="70"/>
      <c r="L198" s="71"/>
      <c r="M198" s="72" t="s">
        <v>1245</v>
      </c>
      <c r="N198" s="90">
        <v>10.0</v>
      </c>
      <c r="O198" s="74"/>
      <c r="P198" s="75">
        <v>0.8590277777777777</v>
      </c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>
        <v>45773.0</v>
      </c>
      <c r="I199" s="68"/>
      <c r="J199" s="69"/>
      <c r="K199" s="85"/>
      <c r="L199" s="71"/>
      <c r="M199" s="72" t="s">
        <v>1245</v>
      </c>
      <c r="N199" s="90">
        <f>12556-N198</f>
        <v>12546</v>
      </c>
      <c r="O199" s="74"/>
      <c r="P199" s="75">
        <v>0.8666666666666667</v>
      </c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>
        <v>45774.0</v>
      </c>
      <c r="I200" s="84"/>
      <c r="J200" s="17"/>
      <c r="K200" s="85"/>
      <c r="L200" s="86"/>
      <c r="M200" s="72" t="s">
        <v>14</v>
      </c>
      <c r="N200" s="90">
        <v>10000.0</v>
      </c>
      <c r="O200" s="74" t="s">
        <v>160</v>
      </c>
      <c r="P200" s="75">
        <v>0.6763888888888889</v>
      </c>
      <c r="R200" s="39"/>
      <c r="S200" s="186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>
        <v>45774.0</v>
      </c>
      <c r="I201" s="84"/>
      <c r="J201" s="17"/>
      <c r="K201" s="85"/>
      <c r="L201" s="86"/>
      <c r="M201" s="147" t="s">
        <v>469</v>
      </c>
      <c r="N201" s="19">
        <v>5555.0</v>
      </c>
      <c r="O201" s="126" t="s">
        <v>1029</v>
      </c>
      <c r="P201" s="172">
        <v>0.5840277777777778</v>
      </c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>
        <v>45775.0</v>
      </c>
      <c r="I202" s="84"/>
      <c r="J202" s="17"/>
      <c r="K202" s="85"/>
      <c r="L202" s="86"/>
      <c r="M202" s="147" t="s">
        <v>469</v>
      </c>
      <c r="N202" s="19">
        <v>11110.0</v>
      </c>
      <c r="O202" s="126" t="s">
        <v>1159</v>
      </c>
      <c r="P202" s="172">
        <v>0.6131944444444445</v>
      </c>
      <c r="Q202" s="41"/>
      <c r="R202" s="39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>
        <v>45775.0</v>
      </c>
      <c r="I203" s="84"/>
      <c r="J203" s="17"/>
      <c r="K203" s="85"/>
      <c r="L203" s="86"/>
      <c r="M203" s="72" t="s">
        <v>20</v>
      </c>
      <c r="N203" s="90">
        <v>114.0</v>
      </c>
      <c r="O203" s="74" t="s">
        <v>1327</v>
      </c>
      <c r="P203" s="75">
        <v>0.6763888888888889</v>
      </c>
      <c r="Q203" s="41"/>
      <c r="R203" s="39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>
        <v>45775.0</v>
      </c>
      <c r="I204" s="68" t="s">
        <v>673</v>
      </c>
      <c r="J204" s="69">
        <v>50000.0</v>
      </c>
      <c r="K204" s="85"/>
      <c r="L204" s="71">
        <v>0.59375</v>
      </c>
      <c r="M204" s="72" t="s">
        <v>30</v>
      </c>
      <c r="N204" s="90">
        <v>1683.3</v>
      </c>
      <c r="O204" s="74" t="s">
        <v>1328</v>
      </c>
      <c r="P204" s="75">
        <v>0.7090277777777778</v>
      </c>
      <c r="Q204" s="41"/>
      <c r="R204" s="39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>
        <v>45775.0</v>
      </c>
      <c r="I205" s="68" t="s">
        <v>1106</v>
      </c>
      <c r="J205" s="69">
        <v>6500.0</v>
      </c>
      <c r="K205" s="85"/>
      <c r="L205" s="71">
        <v>0.8340277777777778</v>
      </c>
      <c r="M205" s="72" t="s">
        <v>671</v>
      </c>
      <c r="N205" s="90">
        <v>2530.0</v>
      </c>
      <c r="O205" s="74"/>
      <c r="P205" s="75">
        <v>0.8972222222222223</v>
      </c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>
        <v>45776.0</v>
      </c>
      <c r="I206" s="84"/>
      <c r="J206" s="17"/>
      <c r="K206" s="85"/>
      <c r="L206" s="71"/>
      <c r="M206" s="72" t="s">
        <v>469</v>
      </c>
      <c r="N206" s="90">
        <v>6658.37</v>
      </c>
      <c r="O206" s="74" t="s">
        <v>1329</v>
      </c>
      <c r="P206" s="75">
        <v>0.5743055555555555</v>
      </c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>
        <v>45776.0</v>
      </c>
      <c r="I207" s="68"/>
      <c r="J207" s="69"/>
      <c r="K207" s="85"/>
      <c r="L207" s="71"/>
      <c r="M207" s="72" t="s">
        <v>20</v>
      </c>
      <c r="N207" s="90">
        <v>205.62</v>
      </c>
      <c r="O207" s="74" t="s">
        <v>275</v>
      </c>
      <c r="P207" s="75">
        <v>0.5875</v>
      </c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>
        <v>45776.0</v>
      </c>
      <c r="I208" s="68"/>
      <c r="J208" s="69"/>
      <c r="K208" s="85"/>
      <c r="L208" s="71"/>
      <c r="M208" s="72" t="s">
        <v>1094</v>
      </c>
      <c r="N208" s="90">
        <v>1636.2</v>
      </c>
      <c r="O208" s="74" t="s">
        <v>1330</v>
      </c>
      <c r="P208" s="75">
        <v>0.6888888888888889</v>
      </c>
      <c r="Q208" s="41"/>
      <c r="R208" s="39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>
        <v>45776.0</v>
      </c>
      <c r="I209" s="68" t="s">
        <v>1103</v>
      </c>
      <c r="J209" s="69">
        <v>10000.0</v>
      </c>
      <c r="K209" s="85"/>
      <c r="L209" s="71">
        <v>0.8041666666666667</v>
      </c>
      <c r="M209" s="72" t="s">
        <v>30</v>
      </c>
      <c r="N209" s="90">
        <v>1090.0</v>
      </c>
      <c r="O209" s="74" t="s">
        <v>1263</v>
      </c>
      <c r="P209" s="75">
        <v>0.8138888888888889</v>
      </c>
      <c r="Q209" s="41"/>
      <c r="R209" s="39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>
        <v>45776.0</v>
      </c>
      <c r="I210" s="68"/>
      <c r="J210" s="69"/>
      <c r="K210" s="70"/>
      <c r="L210" s="71"/>
      <c r="M210" s="72" t="s">
        <v>30</v>
      </c>
      <c r="N210" s="90">
        <v>1090.0</v>
      </c>
      <c r="O210" s="74" t="s">
        <v>1263</v>
      </c>
      <c r="P210" s="75">
        <v>0.9861111111111112</v>
      </c>
      <c r="Q210" s="41"/>
      <c r="R210" s="39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>
        <v>45777.0</v>
      </c>
      <c r="I211" s="68" t="s">
        <v>1003</v>
      </c>
      <c r="J211" s="69">
        <v>4725.0</v>
      </c>
      <c r="K211" s="70" t="s">
        <v>1331</v>
      </c>
      <c r="L211" s="71">
        <v>0.5743055555555555</v>
      </c>
      <c r="M211" s="72" t="s">
        <v>339</v>
      </c>
      <c r="N211" s="90">
        <v>6190.5</v>
      </c>
      <c r="O211" s="74" t="s">
        <v>1332</v>
      </c>
      <c r="P211" s="75">
        <v>0.5756944444444444</v>
      </c>
      <c r="Q211" s="41"/>
      <c r="R211" s="39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>
        <v>45777.0</v>
      </c>
      <c r="I212" s="68"/>
      <c r="J212" s="69"/>
      <c r="K212" s="70"/>
      <c r="L212" s="71"/>
      <c r="M212" s="72" t="s">
        <v>469</v>
      </c>
      <c r="N212" s="90">
        <v>27340.7</v>
      </c>
      <c r="O212" s="74" t="s">
        <v>1333</v>
      </c>
      <c r="P212" s="75">
        <v>0.5770833333333333</v>
      </c>
      <c r="Q212" s="41"/>
      <c r="R212" s="39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>
        <v>45777.0</v>
      </c>
      <c r="I213" s="84"/>
      <c r="J213" s="17"/>
      <c r="K213" s="85"/>
      <c r="L213" s="86"/>
      <c r="M213" s="72" t="s">
        <v>1223</v>
      </c>
      <c r="N213" s="90">
        <v>2000.66</v>
      </c>
      <c r="O213" s="74"/>
      <c r="P213" s="75">
        <v>0.5875</v>
      </c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>
        <v>45777.0</v>
      </c>
      <c r="I214" s="68"/>
      <c r="J214" s="69"/>
      <c r="K214" s="70"/>
      <c r="L214" s="71"/>
      <c r="M214" s="72" t="s">
        <v>864</v>
      </c>
      <c r="N214" s="90">
        <v>4950.0</v>
      </c>
      <c r="O214" s="74"/>
      <c r="P214" s="75">
        <v>0.6631944444444444</v>
      </c>
      <c r="Q214" s="41"/>
      <c r="R214" s="39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>
        <v>45777.0</v>
      </c>
      <c r="I215" s="84"/>
      <c r="J215" s="17"/>
      <c r="K215" s="85"/>
      <c r="L215" s="86"/>
      <c r="M215" s="72" t="s">
        <v>69</v>
      </c>
      <c r="N215" s="90">
        <v>1696.0</v>
      </c>
      <c r="O215" s="74"/>
      <c r="P215" s="75">
        <v>0.6868055555555556</v>
      </c>
      <c r="Q215" s="41"/>
      <c r="R215" s="39"/>
      <c r="S215" s="186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>
        <v>45777.0</v>
      </c>
      <c r="I216" s="68" t="s">
        <v>1130</v>
      </c>
      <c r="J216" s="69">
        <v>11236.0</v>
      </c>
      <c r="K216" s="70" t="s">
        <v>155</v>
      </c>
      <c r="L216" s="71">
        <v>0.7159722222222222</v>
      </c>
      <c r="M216" s="72"/>
      <c r="N216" s="90"/>
      <c r="O216" s="74"/>
      <c r="P216" s="75"/>
      <c r="Q216" s="41"/>
      <c r="R216" s="39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>
        <v>45777.0</v>
      </c>
      <c r="I217" s="68" t="s">
        <v>1103</v>
      </c>
      <c r="J217" s="69">
        <v>20000.0</v>
      </c>
      <c r="K217" s="85"/>
      <c r="L217" s="71">
        <v>0.7548611111111111</v>
      </c>
      <c r="M217" s="72"/>
      <c r="N217" s="90"/>
      <c r="O217" s="74"/>
      <c r="P217" s="75"/>
      <c r="Q217" s="41"/>
      <c r="R217" s="39"/>
      <c r="S217" s="76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>
        <v>45777.0</v>
      </c>
      <c r="I218" s="68" t="s">
        <v>1113</v>
      </c>
      <c r="J218" s="69">
        <v>50000.0</v>
      </c>
      <c r="K218" s="85"/>
      <c r="L218" s="71">
        <v>0.75625</v>
      </c>
      <c r="M218" s="72" t="s">
        <v>30</v>
      </c>
      <c r="N218" s="90">
        <v>2180.0</v>
      </c>
      <c r="O218" s="74" t="s">
        <v>1334</v>
      </c>
      <c r="P218" s="75">
        <v>0.9319444444444445</v>
      </c>
      <c r="Q218" s="41"/>
      <c r="R218" s="39"/>
      <c r="S218" s="185" t="s">
        <v>1209</v>
      </c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92"/>
      <c r="I219" s="193"/>
      <c r="J219" s="194"/>
      <c r="K219" s="195"/>
      <c r="L219" s="196"/>
      <c r="M219" s="197"/>
      <c r="N219" s="198"/>
      <c r="O219" s="199"/>
      <c r="P219" s="200"/>
      <c r="Q219" s="41"/>
      <c r="R219" s="39"/>
      <c r="S219" s="143"/>
      <c r="T219" s="143"/>
      <c r="U219" s="143"/>
      <c r="V219" s="143"/>
      <c r="W219" s="143"/>
      <c r="X219" s="144"/>
      <c r="Y219" s="145"/>
      <c r="Z219" s="145"/>
      <c r="AA219" s="145"/>
      <c r="AB219" s="145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/>
      <c r="I220" s="84"/>
      <c r="J220" s="17"/>
      <c r="K220" s="85"/>
      <c r="L220" s="86"/>
      <c r="M220" s="72"/>
      <c r="N220" s="90"/>
      <c r="O220" s="74"/>
      <c r="P220" s="75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/>
      <c r="I221" s="84"/>
      <c r="J221" s="17"/>
      <c r="K221" s="85"/>
      <c r="L221" s="86"/>
      <c r="M221" s="72"/>
      <c r="N221" s="90"/>
      <c r="O221" s="74"/>
      <c r="P221" s="75"/>
      <c r="Q221" s="41"/>
      <c r="R221" s="39"/>
      <c r="S221" s="186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/>
      <c r="I222" s="84"/>
      <c r="J222" s="17"/>
      <c r="K222" s="85"/>
      <c r="L222" s="86"/>
      <c r="M222" s="72"/>
      <c r="N222" s="90"/>
      <c r="O222" s="74"/>
      <c r="P222" s="75"/>
      <c r="Q222" s="41"/>
      <c r="R222" s="39"/>
      <c r="S222" s="186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/>
      <c r="I223" s="84"/>
      <c r="J223" s="17"/>
      <c r="K223" s="85"/>
      <c r="L223" s="86"/>
      <c r="M223" s="72"/>
      <c r="N223" s="90"/>
      <c r="O223" s="74"/>
      <c r="P223" s="75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/>
      <c r="I224" s="84"/>
      <c r="J224" s="17"/>
      <c r="K224" s="85"/>
      <c r="L224" s="86"/>
      <c r="M224" s="72"/>
      <c r="N224" s="90"/>
      <c r="O224" s="74"/>
      <c r="P224" s="75"/>
      <c r="Q224" s="41"/>
      <c r="R224" s="39"/>
      <c r="S224" s="186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67"/>
      <c r="I225" s="84"/>
      <c r="J225" s="17"/>
      <c r="K225" s="85"/>
      <c r="L225" s="86"/>
      <c r="M225" s="72"/>
      <c r="N225" s="90"/>
      <c r="O225" s="74"/>
      <c r="P225" s="75"/>
      <c r="Q225" s="41"/>
      <c r="R225" s="39"/>
      <c r="S225" s="186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67"/>
      <c r="I226" s="84"/>
      <c r="J226" s="17"/>
      <c r="K226" s="85"/>
      <c r="L226" s="86"/>
      <c r="M226" s="72"/>
      <c r="N226" s="90"/>
      <c r="O226" s="74"/>
      <c r="P226" s="75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67"/>
      <c r="I227" s="84"/>
      <c r="J227" s="17"/>
      <c r="K227" s="85"/>
      <c r="L227" s="86"/>
      <c r="M227" s="72"/>
      <c r="N227" s="90"/>
      <c r="O227" s="74"/>
      <c r="P227" s="75"/>
      <c r="Q227" s="41"/>
      <c r="R227" s="39"/>
      <c r="S227" s="186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67"/>
      <c r="I228" s="84"/>
      <c r="J228" s="17"/>
      <c r="K228" s="85"/>
      <c r="L228" s="86"/>
      <c r="M228" s="72"/>
      <c r="N228" s="90"/>
      <c r="O228" s="74"/>
      <c r="P228" s="75"/>
      <c r="Q228" s="41"/>
      <c r="R228" s="39"/>
      <c r="S228" s="186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67"/>
      <c r="I229" s="84"/>
      <c r="J229" s="17"/>
      <c r="K229" s="85"/>
      <c r="L229" s="86"/>
      <c r="M229" s="72"/>
      <c r="N229" s="90"/>
      <c r="O229" s="74"/>
      <c r="P229" s="75"/>
      <c r="Q229" s="41"/>
      <c r="R229" s="39"/>
      <c r="S229" s="186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67"/>
      <c r="I230" s="68"/>
      <c r="J230" s="69"/>
      <c r="K230" s="70"/>
      <c r="L230" s="71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67"/>
      <c r="I231" s="68"/>
      <c r="J231" s="69"/>
      <c r="K231" s="70"/>
      <c r="L231" s="71"/>
      <c r="M231" s="72"/>
      <c r="N231" s="90"/>
      <c r="O231" s="74"/>
      <c r="P231" s="75"/>
      <c r="Q231" s="41"/>
      <c r="R231" s="39"/>
      <c r="S231" s="186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67"/>
      <c r="I232" s="68"/>
      <c r="J232" s="69"/>
      <c r="K232" s="70"/>
      <c r="L232" s="71"/>
      <c r="M232" s="127"/>
      <c r="N232" s="19"/>
      <c r="O232" s="128"/>
      <c r="P232" s="129"/>
      <c r="Q232" s="41"/>
      <c r="R232" s="39"/>
      <c r="S232" s="76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5:AB3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8.75"/>
    <col customWidth="1" min="22" max="22" width="14.0"/>
    <col customWidth="1" min="23" max="28" width="6.88"/>
  </cols>
  <sheetData>
    <row r="1" ht="48.75" customHeight="1">
      <c r="A1" s="9"/>
      <c r="B1" s="2"/>
      <c r="C1" s="3" t="s">
        <v>1335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1336</v>
      </c>
      <c r="D4" s="21"/>
      <c r="E4" s="20"/>
      <c r="F4" s="21"/>
      <c r="G4" s="23" t="s">
        <v>1337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3258.6167</v>
      </c>
      <c r="T4" s="26" t="s">
        <v>4</v>
      </c>
      <c r="U4" s="6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263202.5244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1338</v>
      </c>
      <c r="D7" s="54" t="s">
        <v>16</v>
      </c>
      <c r="E7" s="29"/>
      <c r="F7" s="30"/>
      <c r="G7" s="55">
        <v>1.0</v>
      </c>
      <c r="H7" s="56">
        <v>45717.0</v>
      </c>
      <c r="I7" s="57" t="s">
        <v>1339</v>
      </c>
      <c r="J7" s="58">
        <f>'2025年2月收支财务报表'!C25</f>
        <v>220136.3988</v>
      </c>
      <c r="K7" s="59"/>
      <c r="L7" s="60"/>
      <c r="M7" s="63"/>
      <c r="N7" s="62"/>
      <c r="O7" s="63"/>
      <c r="P7" s="64"/>
      <c r="Q7" s="41"/>
      <c r="R7" s="39"/>
      <c r="S7" s="25">
        <f>SUMIF(M:M,"启航广告费",N:N)</f>
        <v>21044.15</v>
      </c>
      <c r="T7" s="101" t="s">
        <v>827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45717.0</v>
      </c>
      <c r="I8" s="68" t="s">
        <v>1224</v>
      </c>
      <c r="J8" s="69">
        <v>4900.0</v>
      </c>
      <c r="K8" s="70" t="s">
        <v>155</v>
      </c>
      <c r="L8" s="71">
        <v>0.15555555555555556</v>
      </c>
      <c r="M8" s="72" t="s">
        <v>1225</v>
      </c>
      <c r="N8" s="90">
        <v>6900.0</v>
      </c>
      <c r="O8" s="74"/>
      <c r="P8" s="75">
        <v>0.44375</v>
      </c>
      <c r="R8" s="39"/>
      <c r="S8" s="25">
        <f>SUMIF(M:M,"CH加白户14➕1",N:N)</f>
        <v>10554.1</v>
      </c>
      <c r="T8" s="101" t="s">
        <v>1340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1450200.209</v>
      </c>
      <c r="D9" s="30"/>
      <c r="E9" s="29"/>
      <c r="F9" s="30"/>
      <c r="G9" s="66">
        <v>3.0</v>
      </c>
      <c r="H9" s="56">
        <v>45717.0</v>
      </c>
      <c r="I9" s="68"/>
      <c r="J9" s="69"/>
      <c r="K9" s="70"/>
      <c r="L9" s="88"/>
      <c r="M9" s="72" t="s">
        <v>1225</v>
      </c>
      <c r="N9" s="90">
        <v>13800.0</v>
      </c>
      <c r="O9" s="74"/>
      <c r="P9" s="75">
        <v>0.5951388888888889</v>
      </c>
      <c r="R9" s="39"/>
      <c r="S9" s="25">
        <f>SUMIF(M:M,"印度企业户 欧洲美金户下户",N:N)</f>
        <v>19684</v>
      </c>
      <c r="T9" s="101" t="s">
        <v>27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45717.0</v>
      </c>
      <c r="I10" s="68" t="s">
        <v>1341</v>
      </c>
      <c r="J10" s="69">
        <v>3720.0</v>
      </c>
      <c r="K10" s="70" t="s">
        <v>1342</v>
      </c>
      <c r="L10" s="71">
        <v>0.6069444444444444</v>
      </c>
      <c r="M10" s="72"/>
      <c r="N10" s="90"/>
      <c r="O10" s="74"/>
      <c r="P10" s="75"/>
      <c r="Q10" s="41"/>
      <c r="R10" s="39"/>
      <c r="S10" s="25">
        <f>SUMIF(M:M,"十月二不限——（泰华）",N:N)</f>
        <v>1457</v>
      </c>
      <c r="T10" s="101" t="s">
        <v>173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1126835.064</v>
      </c>
      <c r="D11" s="30"/>
      <c r="E11" s="29"/>
      <c r="F11" s="30"/>
      <c r="G11" s="66">
        <v>5.0</v>
      </c>
      <c r="H11" s="67">
        <v>45717.0</v>
      </c>
      <c r="I11" s="68" t="s">
        <v>1343</v>
      </c>
      <c r="J11" s="69">
        <v>1657.06</v>
      </c>
      <c r="K11" s="70" t="s">
        <v>1344</v>
      </c>
      <c r="L11" s="71">
        <v>0.6472222222222223</v>
      </c>
      <c r="M11" s="72"/>
      <c r="N11" s="90"/>
      <c r="O11" s="74"/>
      <c r="P11" s="75"/>
      <c r="R11" s="39"/>
      <c r="S11" s="25">
        <f>SUMIF(M:M,"深圳芳林子@SHEN 户",N:N)</f>
        <v>198077</v>
      </c>
      <c r="T11" s="101" t="s">
        <v>1345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45717.0</v>
      </c>
      <c r="I12" s="68"/>
      <c r="J12" s="69"/>
      <c r="K12" s="87"/>
      <c r="L12" s="71"/>
      <c r="M12" s="72" t="s">
        <v>14</v>
      </c>
      <c r="N12" s="90">
        <v>50000.0</v>
      </c>
      <c r="O12" s="74" t="s">
        <v>1346</v>
      </c>
      <c r="P12" s="75">
        <v>0.75</v>
      </c>
      <c r="R12" s="39"/>
      <c r="S12" s="25">
        <f>SUMIF(M:M,"海总- BM户对接",N:N)</f>
        <v>200</v>
      </c>
      <c r="T12" s="101" t="s">
        <v>1216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323365.1446</v>
      </c>
      <c r="D13" s="30"/>
      <c r="E13" s="29"/>
      <c r="F13" s="30"/>
      <c r="G13" s="66">
        <v>7.0</v>
      </c>
      <c r="H13" s="67">
        <v>45717.0</v>
      </c>
      <c r="I13" s="68" t="s">
        <v>1347</v>
      </c>
      <c r="J13" s="69">
        <v>100000.0</v>
      </c>
      <c r="K13" s="87"/>
      <c r="L13" s="71">
        <v>0.7590277777777777</v>
      </c>
      <c r="M13" s="72"/>
      <c r="N13" s="90"/>
      <c r="O13" s="74"/>
      <c r="P13" s="75"/>
      <c r="R13" s="39"/>
      <c r="S13" s="25">
        <f>SUMIF(M:M,"账单户充值",N:N)</f>
        <v>1722.35</v>
      </c>
      <c r="T13" s="101" t="s">
        <v>1223</v>
      </c>
      <c r="U13" s="76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45717.0</v>
      </c>
      <c r="I14" s="68" t="s">
        <v>1348</v>
      </c>
      <c r="J14" s="69">
        <v>100.0</v>
      </c>
      <c r="K14" s="70"/>
      <c r="L14" s="71">
        <v>0.7652777777777777</v>
      </c>
      <c r="M14" s="72"/>
      <c r="N14" s="90"/>
      <c r="O14" s="74"/>
      <c r="P14" s="75"/>
      <c r="R14" s="39"/>
      <c r="S14" s="25">
        <f>SUMIF(M:M,"Y-5208 FB欧/美户",N:N)</f>
        <v>10377.563</v>
      </c>
      <c r="T14" s="101" t="s">
        <v>30</v>
      </c>
      <c r="U14" s="182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45717.0</v>
      </c>
      <c r="I15" s="68" t="s">
        <v>1348</v>
      </c>
      <c r="J15" s="69">
        <v>99900.0</v>
      </c>
      <c r="K15" s="87"/>
      <c r="L15" s="71">
        <v>0.7659722222222223</v>
      </c>
      <c r="M15" s="147" t="s">
        <v>1225</v>
      </c>
      <c r="N15" s="19">
        <v>13800.0</v>
      </c>
      <c r="O15" s="126"/>
      <c r="P15" s="75">
        <v>0.8020833333333334</v>
      </c>
      <c r="R15" s="39"/>
      <c r="S15" s="25">
        <f>SUMIF(M:M,"GTHY&amp;papa 二不限 10+2+1",N:N)</f>
        <v>10</v>
      </c>
      <c r="T15" s="101" t="s">
        <v>1349</v>
      </c>
      <c r="U15" s="183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45717.0</v>
      </c>
      <c r="I16" s="154"/>
      <c r="J16" s="17"/>
      <c r="K16" s="92"/>
      <c r="L16" s="173"/>
      <c r="M16" s="147" t="s">
        <v>1225</v>
      </c>
      <c r="N16" s="90">
        <v>9200.0</v>
      </c>
      <c r="O16" s="74"/>
      <c r="P16" s="75">
        <v>0.91875</v>
      </c>
      <c r="R16" s="39"/>
      <c r="S16" s="25">
        <f>SUMIF(M:M,"GT&amp;SHEN 欧 2%+u1",N:N)</f>
        <v>1635.86</v>
      </c>
      <c r="T16" s="101" t="s">
        <v>1350</v>
      </c>
      <c r="U16" s="183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45718.0</v>
      </c>
      <c r="I17" s="68"/>
      <c r="J17" s="69"/>
      <c r="K17" s="92"/>
      <c r="L17" s="71"/>
      <c r="M17" s="147" t="s">
        <v>1225</v>
      </c>
      <c r="N17" s="90">
        <v>23000.0</v>
      </c>
      <c r="O17" s="74"/>
      <c r="P17" s="75">
        <v>0.48680555555555555</v>
      </c>
      <c r="R17" s="39"/>
      <c r="S17" s="25">
        <f>SUMIF(M:M,"欧洲三不限-泰华3➕1（0.84）",N:N)</f>
        <v>1329.9</v>
      </c>
      <c r="T17" s="101" t="s">
        <v>1248</v>
      </c>
      <c r="U17" s="183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45718.0</v>
      </c>
      <c r="I18" s="68" t="s">
        <v>1341</v>
      </c>
      <c r="J18" s="69">
        <v>4560.0</v>
      </c>
      <c r="K18" s="70" t="s">
        <v>1351</v>
      </c>
      <c r="L18" s="71">
        <v>0.5604166666666667</v>
      </c>
      <c r="M18" s="147" t="s">
        <v>1225</v>
      </c>
      <c r="N18" s="90">
        <v>35420.0</v>
      </c>
      <c r="O18" s="74"/>
      <c r="P18" s="75">
        <v>0.6402777777777777</v>
      </c>
      <c r="R18" s="39"/>
      <c r="S18" s="25">
        <f>SUMIF(M:M,"哪吒-FB企业海外户",N:N)</f>
        <v>1734</v>
      </c>
      <c r="T18" s="101" t="s">
        <v>1352</v>
      </c>
      <c r="U18" s="183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45718.0</v>
      </c>
      <c r="I19" s="154"/>
      <c r="J19" s="17"/>
      <c r="K19" s="93"/>
      <c r="L19" s="155"/>
      <c r="M19" s="72" t="s">
        <v>1353</v>
      </c>
      <c r="N19" s="90">
        <v>6380.0</v>
      </c>
      <c r="O19" s="74"/>
      <c r="P19" s="75">
        <v>0.7958333333333333</v>
      </c>
      <c r="R19" s="39"/>
      <c r="S19" s="25">
        <f>SUMIF(M:M,"海总-全球户",N:N)</f>
        <v>270</v>
      </c>
      <c r="T19" s="101" t="s">
        <v>1219</v>
      </c>
      <c r="U19" s="183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45718.0</v>
      </c>
      <c r="I20" s="68"/>
      <c r="J20" s="69"/>
      <c r="K20" s="93"/>
      <c r="L20" s="71"/>
      <c r="M20" s="72" t="s">
        <v>14</v>
      </c>
      <c r="N20" s="90">
        <v>49061.38</v>
      </c>
      <c r="O20" s="74" t="s">
        <v>1346</v>
      </c>
      <c r="P20" s="75">
        <v>0.8513888888888889</v>
      </c>
      <c r="R20" s="39"/>
      <c r="S20" s="25">
        <f>SUMIF(M:M,"Chris Ryan MYM美金户&amp;麦芽-西柚",N:N)</f>
        <v>100</v>
      </c>
      <c r="T20" s="101" t="s">
        <v>1354</v>
      </c>
      <c r="U20" s="183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1450200.209</v>
      </c>
      <c r="D21" s="30"/>
      <c r="E21" s="29"/>
      <c r="F21" s="30"/>
      <c r="G21" s="66">
        <v>15.0</v>
      </c>
      <c r="H21" s="67">
        <v>45718.0</v>
      </c>
      <c r="I21" s="68"/>
      <c r="J21" s="69"/>
      <c r="K21" s="93"/>
      <c r="L21" s="71"/>
      <c r="M21" s="72" t="s">
        <v>827</v>
      </c>
      <c r="N21" s="90">
        <v>4767.68</v>
      </c>
      <c r="O21" s="74" t="s">
        <v>1355</v>
      </c>
      <c r="P21" s="75">
        <v>0.8965277777777778</v>
      </c>
      <c r="R21" s="39"/>
      <c r="S21" s="25">
        <f>SUMIF(M:M,"海总-越南电信户",N:N)</f>
        <v>200</v>
      </c>
      <c r="T21" s="101" t="s">
        <v>1356</v>
      </c>
      <c r="U21" s="183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45719.0</v>
      </c>
      <c r="I22" s="68"/>
      <c r="J22" s="69"/>
      <c r="K22" s="70"/>
      <c r="L22" s="71"/>
      <c r="M22" s="147" t="s">
        <v>1225</v>
      </c>
      <c r="N22" s="90">
        <v>63802.0</v>
      </c>
      <c r="O22" s="74"/>
      <c r="P22" s="75">
        <v>0.5333333333333333</v>
      </c>
      <c r="R22" s="39"/>
      <c r="S22" s="25">
        <f>SUMIF(M:M,"济宁韦宁&amp;香港有意思",N:N)</f>
        <v>480</v>
      </c>
      <c r="T22" s="101" t="s">
        <v>1357</v>
      </c>
      <c r="U22" s="95"/>
      <c r="V22" s="184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1126835.064</v>
      </c>
      <c r="D23" s="30"/>
      <c r="E23" s="29"/>
      <c r="F23" s="30"/>
      <c r="G23" s="66">
        <v>17.0</v>
      </c>
      <c r="H23" s="67">
        <v>45719.0</v>
      </c>
      <c r="I23" s="68"/>
      <c r="J23" s="69"/>
      <c r="K23" s="87"/>
      <c r="L23" s="71"/>
      <c r="M23" s="72" t="s">
        <v>671</v>
      </c>
      <c r="N23" s="90">
        <v>1978.0</v>
      </c>
      <c r="O23" s="74"/>
      <c r="P23" s="75">
        <v>0.56875</v>
      </c>
      <c r="R23" s="39"/>
      <c r="S23" s="25">
        <f>SUMIF(M:M,"凤凰渠道2-泰华",N:N)</f>
        <v>680</v>
      </c>
      <c r="T23" s="101" t="s">
        <v>1358</v>
      </c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45719.0</v>
      </c>
      <c r="I24" s="68" t="s">
        <v>1359</v>
      </c>
      <c r="J24" s="69">
        <v>1680.0</v>
      </c>
      <c r="K24" s="70" t="s">
        <v>1360</v>
      </c>
      <c r="L24" s="71">
        <v>0.6034722222222222</v>
      </c>
      <c r="M24" s="72"/>
      <c r="N24" s="90"/>
      <c r="O24" s="74"/>
      <c r="P24" s="75"/>
      <c r="Q24" s="41"/>
      <c r="R24" s="39"/>
      <c r="S24" s="25">
        <f>SUMIF(M:M,"海总-黑泽-欧洲户对接",N:N)</f>
        <v>90</v>
      </c>
      <c r="T24" s="101" t="s">
        <v>1094</v>
      </c>
      <c r="U24" s="95"/>
    </row>
    <row r="25" ht="27.75" customHeight="1">
      <c r="A25" s="29"/>
      <c r="B25" s="30"/>
      <c r="C25" s="82">
        <f>C21-C23</f>
        <v>323365.1446</v>
      </c>
      <c r="D25" s="30"/>
      <c r="E25" s="29"/>
      <c r="F25" s="30"/>
      <c r="G25" s="66">
        <v>19.0</v>
      </c>
      <c r="H25" s="67">
        <v>45719.0</v>
      </c>
      <c r="I25" s="68" t="s">
        <v>1361</v>
      </c>
      <c r="J25" s="69">
        <v>100.0</v>
      </c>
      <c r="K25" s="70"/>
      <c r="L25" s="71">
        <v>0.6048611111111111</v>
      </c>
      <c r="M25" s="72"/>
      <c r="N25" s="90"/>
      <c r="O25" s="74"/>
      <c r="P25" s="75"/>
      <c r="R25" s="39"/>
      <c r="S25" s="25">
        <f>SUMIF(M:M,"技术学习费",N:N)</f>
        <v>1288</v>
      </c>
      <c r="T25" s="101" t="s">
        <v>1362</v>
      </c>
      <c r="U25" s="182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45719.0</v>
      </c>
      <c r="I26" s="68" t="s">
        <v>1361</v>
      </c>
      <c r="J26" s="69">
        <v>49900.0</v>
      </c>
      <c r="K26" s="70"/>
      <c r="L26" s="71">
        <v>0.6090277777777777</v>
      </c>
      <c r="M26" s="72"/>
      <c r="N26" s="90"/>
      <c r="O26" s="74"/>
      <c r="P26" s="75"/>
      <c r="R26" s="39"/>
      <c r="S26" s="25">
        <f>SUMIF(M:M,"印度FB天叶（2/24）",N:N)</f>
        <v>26976</v>
      </c>
      <c r="T26" s="26" t="s">
        <v>1363</v>
      </c>
      <c r="U26" s="182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45719.0</v>
      </c>
      <c r="I27" s="68" t="s">
        <v>30</v>
      </c>
      <c r="J27" s="69">
        <v>485.33</v>
      </c>
      <c r="K27" s="70"/>
      <c r="L27" s="71">
        <v>0.6673611111111111</v>
      </c>
      <c r="M27" s="147" t="s">
        <v>1225</v>
      </c>
      <c r="N27" s="90">
        <v>11500.0</v>
      </c>
      <c r="O27" s="74"/>
      <c r="P27" s="75">
        <v>0.7298611111111111</v>
      </c>
      <c r="R27" s="39"/>
      <c r="S27" s="25">
        <f>SUMIF(M:M,"凯旋城7期退款",N:N)</f>
        <v>15644</v>
      </c>
      <c r="T27" s="26" t="s">
        <v>1364</v>
      </c>
      <c r="U27" s="183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45719.0</v>
      </c>
      <c r="I28" s="68"/>
      <c r="J28" s="69"/>
      <c r="K28" s="85"/>
      <c r="L28" s="86"/>
      <c r="M28" s="72" t="s">
        <v>827</v>
      </c>
      <c r="N28" s="90">
        <v>4116.16</v>
      </c>
      <c r="O28" s="74" t="s">
        <v>1365</v>
      </c>
      <c r="P28" s="75">
        <v>0.7340277777777777</v>
      </c>
      <c r="R28" s="39"/>
      <c r="S28" s="25">
        <f>SUMIF(M:M,"渠道F 英文J",N:N)</f>
        <v>2400</v>
      </c>
      <c r="T28" s="26" t="s">
        <v>1366</v>
      </c>
      <c r="U28" s="76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45719.0</v>
      </c>
      <c r="I29" s="154" t="s">
        <v>1348</v>
      </c>
      <c r="J29" s="17">
        <v>100.0</v>
      </c>
      <c r="K29" s="70"/>
      <c r="L29" s="71">
        <v>0.8145833333333333</v>
      </c>
      <c r="M29" s="72"/>
      <c r="N29" s="90"/>
      <c r="O29" s="74"/>
      <c r="P29" s="75"/>
      <c r="Q29" s="41"/>
      <c r="R29" s="39"/>
      <c r="S29" s="25">
        <f>SUMIF(M:M,"印度003对接—胖鱼",N:N)</f>
        <v>346035</v>
      </c>
      <c r="T29" s="101" t="s">
        <v>1225</v>
      </c>
      <c r="U29" s="182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45719.0</v>
      </c>
      <c r="I30" s="154" t="s">
        <v>1348</v>
      </c>
      <c r="J30" s="17">
        <v>99900.0</v>
      </c>
      <c r="K30" s="70"/>
      <c r="L30" s="71">
        <v>0.8159722222222222</v>
      </c>
      <c r="M30" s="147" t="s">
        <v>14</v>
      </c>
      <c r="N30" s="90">
        <v>99061.38</v>
      </c>
      <c r="O30" s="74" t="s">
        <v>1367</v>
      </c>
      <c r="P30" s="75">
        <v>0.9430555555555555</v>
      </c>
      <c r="R30" s="39"/>
      <c r="S30" s="25">
        <f>SUMIF(M:M,"印度驻场-lala(郑总）",N:N)</f>
        <v>89240</v>
      </c>
      <c r="T30" s="101" t="s">
        <v>671</v>
      </c>
      <c r="U30" s="185"/>
      <c r="V30" s="76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45720.0</v>
      </c>
      <c r="I31" s="68"/>
      <c r="J31" s="69"/>
      <c r="K31" s="70"/>
      <c r="L31" s="88"/>
      <c r="M31" s="72" t="s">
        <v>20</v>
      </c>
      <c r="N31" s="90">
        <v>900.0</v>
      </c>
      <c r="O31" s="74" t="s">
        <v>1249</v>
      </c>
      <c r="P31" s="75">
        <v>0.5013888888888889</v>
      </c>
      <c r="R31" s="39"/>
      <c r="S31" s="25">
        <f>SUMIF(M:M,"印度FB——哈密瓜",N:N)</f>
        <v>38295</v>
      </c>
      <c r="T31" s="101" t="s">
        <v>1368</v>
      </c>
      <c r="U31" s="182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45720.0</v>
      </c>
      <c r="I32" s="84"/>
      <c r="J32" s="69"/>
      <c r="K32" s="85"/>
      <c r="L32" s="86"/>
      <c r="M32" s="147" t="s">
        <v>14</v>
      </c>
      <c r="N32" s="90">
        <v>22013.64</v>
      </c>
      <c r="O32" s="74" t="s">
        <v>1369</v>
      </c>
      <c r="P32" s="75">
        <v>0.50625</v>
      </c>
      <c r="R32" s="39"/>
      <c r="S32" s="25">
        <f>SUMIF(M:M,"马来打群-fa",N:N)</f>
        <v>1390</v>
      </c>
      <c r="T32" s="101" t="s">
        <v>1370</v>
      </c>
      <c r="U32" s="186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45720.0</v>
      </c>
      <c r="I33" s="68" t="s">
        <v>1341</v>
      </c>
      <c r="J33" s="69">
        <v>720.0</v>
      </c>
      <c r="K33" s="70"/>
      <c r="L33" s="71">
        <v>0.5222222222222223</v>
      </c>
      <c r="M33" s="147" t="s">
        <v>1225</v>
      </c>
      <c r="N33" s="90">
        <v>37467.0</v>
      </c>
      <c r="O33" s="74"/>
      <c r="P33" s="75">
        <v>0.5576388888888889</v>
      </c>
      <c r="R33" s="39"/>
      <c r="S33" s="25">
        <f>SUMIF(M:M,"德国打群-fa",N:N)</f>
        <v>11080</v>
      </c>
      <c r="T33" s="101" t="s">
        <v>1371</v>
      </c>
      <c r="U33" s="76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45720.0</v>
      </c>
      <c r="I34" s="68"/>
      <c r="J34" s="69"/>
      <c r="K34" s="70"/>
      <c r="L34" s="71"/>
      <c r="M34" s="72" t="s">
        <v>1229</v>
      </c>
      <c r="N34" s="90">
        <v>10.0</v>
      </c>
      <c r="O34" s="74"/>
      <c r="P34" s="75">
        <v>0.6798611111111111</v>
      </c>
      <c r="Q34" s="41"/>
      <c r="R34" s="39"/>
      <c r="S34" s="25">
        <f>SUMIF(M:M,"海总-德国🇩🇪粉",N:N)</f>
        <v>40300</v>
      </c>
      <c r="T34" s="101" t="s">
        <v>1229</v>
      </c>
      <c r="U34" s="182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45720.0</v>
      </c>
      <c r="I35" s="68"/>
      <c r="J35" s="69"/>
      <c r="K35" s="70"/>
      <c r="L35" s="87"/>
      <c r="M35" s="72" t="s">
        <v>1229</v>
      </c>
      <c r="N35" s="90">
        <f>5000-N34</f>
        <v>4990</v>
      </c>
      <c r="O35" s="74"/>
      <c r="P35" s="75">
        <v>0.6819444444444445</v>
      </c>
      <c r="R35" s="39"/>
      <c r="S35" s="25">
        <f>SUMIF(M:M,"意大利打群-fa",N:N)</f>
        <v>6380</v>
      </c>
      <c r="T35" s="101" t="s">
        <v>1353</v>
      </c>
      <c r="U35" s="182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45720.0</v>
      </c>
      <c r="I36" s="154"/>
      <c r="J36" s="17"/>
      <c r="K36" s="87"/>
      <c r="L36" s="71"/>
      <c r="M36" s="72" t="s">
        <v>1340</v>
      </c>
      <c r="N36" s="90">
        <v>550.45</v>
      </c>
      <c r="O36" s="74" t="s">
        <v>1372</v>
      </c>
      <c r="P36" s="75">
        <v>0.8395833333333333</v>
      </c>
      <c r="R36" s="39"/>
      <c r="S36" s="25">
        <f>SUMIF(M:M,"浩天 意大利对接群",N:N)</f>
        <v>11700</v>
      </c>
      <c r="T36" s="101" t="s">
        <v>1224</v>
      </c>
      <c r="U36" s="76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45720.0</v>
      </c>
      <c r="I37" s="68"/>
      <c r="J37" s="69"/>
      <c r="K37" s="85"/>
      <c r="L37" s="86"/>
      <c r="M37" s="72" t="s">
        <v>1340</v>
      </c>
      <c r="N37" s="90">
        <v>550.45</v>
      </c>
      <c r="O37" s="74" t="s">
        <v>1372</v>
      </c>
      <c r="P37" s="75">
        <v>0.9479166666666666</v>
      </c>
      <c r="R37" s="39"/>
      <c r="S37" s="106" t="s">
        <v>97</v>
      </c>
      <c r="T37" s="107"/>
      <c r="U37" s="107"/>
      <c r="V37" s="107"/>
      <c r="W37" s="107"/>
      <c r="X37" s="107"/>
      <c r="Y37" s="107"/>
      <c r="Z37" s="107"/>
      <c r="AA37" s="107"/>
      <c r="AB37" s="108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45721.0</v>
      </c>
      <c r="I38" s="68"/>
      <c r="J38" s="69"/>
      <c r="K38" s="85"/>
      <c r="L38" s="86"/>
      <c r="M38" s="147" t="s">
        <v>1225</v>
      </c>
      <c r="N38" s="90">
        <v>16836.0</v>
      </c>
      <c r="O38" s="96"/>
      <c r="P38" s="99">
        <v>0.5652777777777778</v>
      </c>
      <c r="R38" s="39"/>
      <c r="S38" s="187">
        <f>SUM(S4:S36)</f>
        <v>1126835.064</v>
      </c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45721.0</v>
      </c>
      <c r="I39" s="68"/>
      <c r="J39" s="69"/>
      <c r="K39" s="70"/>
      <c r="L39" s="88"/>
      <c r="M39" s="72" t="s">
        <v>14</v>
      </c>
      <c r="N39" s="19">
        <v>6058.85</v>
      </c>
      <c r="O39" s="96" t="s">
        <v>117</v>
      </c>
      <c r="P39" s="99">
        <v>0.6638888888888889</v>
      </c>
      <c r="Q39" s="100"/>
      <c r="R39" s="39"/>
      <c r="S39" s="18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45721.0</v>
      </c>
      <c r="I40" s="68"/>
      <c r="J40" s="69"/>
      <c r="K40" s="70"/>
      <c r="L40" s="88"/>
      <c r="M40" s="72" t="s">
        <v>14</v>
      </c>
      <c r="N40" s="19">
        <v>3735.21</v>
      </c>
      <c r="O40" s="96" t="s">
        <v>117</v>
      </c>
      <c r="P40" s="99">
        <v>0.625</v>
      </c>
      <c r="Q40" s="100"/>
      <c r="R40" s="39"/>
      <c r="S40" s="109">
        <f>SUMIF(I:I,"浩天 意大利对接群",J:J)</f>
        <v>4900</v>
      </c>
      <c r="T40" s="26" t="s">
        <v>1373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45721.0</v>
      </c>
      <c r="I41" s="68"/>
      <c r="J41" s="69"/>
      <c r="K41" s="70"/>
      <c r="L41" s="88"/>
      <c r="M41" s="72" t="s">
        <v>14</v>
      </c>
      <c r="N41" s="19">
        <v>3885.73</v>
      </c>
      <c r="O41" s="96" t="s">
        <v>117</v>
      </c>
      <c r="P41" s="99">
        <v>0.6263888888888889</v>
      </c>
      <c r="Q41" s="100"/>
      <c r="R41" s="39"/>
      <c r="S41" s="109">
        <f>SUMIF(I:I,"印度006对接—henry",J:J)</f>
        <v>4466</v>
      </c>
      <c r="T41" s="26" t="s">
        <v>1374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45721.0</v>
      </c>
      <c r="I42" s="68"/>
      <c r="J42" s="69"/>
      <c r="K42" s="70"/>
      <c r="L42" s="88"/>
      <c r="M42" s="72" t="s">
        <v>14</v>
      </c>
      <c r="N42" s="19">
        <v>864.89</v>
      </c>
      <c r="O42" s="96" t="s">
        <v>117</v>
      </c>
      <c r="P42" s="99">
        <v>0.6277777777777778</v>
      </c>
      <c r="Q42" s="100"/>
      <c r="R42" s="39"/>
      <c r="S42" s="109">
        <f>SUMIF(I:I,"海总-德国🇩🇪粉",J:J)</f>
        <v>3400</v>
      </c>
      <c r="T42" s="26" t="s">
        <v>1375</v>
      </c>
      <c r="U42" s="76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45721.0</v>
      </c>
      <c r="I43" s="68"/>
      <c r="J43" s="69"/>
      <c r="K43" s="70"/>
      <c r="L43" s="88"/>
      <c r="M43" s="72" t="s">
        <v>14</v>
      </c>
      <c r="N43" s="19">
        <v>3078.83</v>
      </c>
      <c r="O43" s="96" t="s">
        <v>117</v>
      </c>
      <c r="P43" s="99">
        <v>0.6284722222222222</v>
      </c>
      <c r="Q43" s="100"/>
      <c r="R43" s="39"/>
      <c r="S43" s="109">
        <f>SUMIF(I:I,"海总-越南电信户",J:J)</f>
        <v>200</v>
      </c>
      <c r="T43" s="26" t="s">
        <v>1376</v>
      </c>
      <c r="U43" s="76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45721.0</v>
      </c>
      <c r="I44" s="68"/>
      <c r="J44" s="69"/>
      <c r="K44" s="70"/>
      <c r="L44" s="88"/>
      <c r="M44" s="72" t="s">
        <v>14</v>
      </c>
      <c r="N44" s="19">
        <v>560.0</v>
      </c>
      <c r="O44" s="96" t="s">
        <v>117</v>
      </c>
      <c r="P44" s="99">
        <v>0.6305555555555555</v>
      </c>
      <c r="Q44" s="100"/>
      <c r="R44" s="39"/>
      <c r="S44" s="109">
        <f>SUMIF(I:I,"十月二不限",J:J)</f>
        <v>127</v>
      </c>
      <c r="T44" s="26" t="s">
        <v>1377</v>
      </c>
      <c r="U44" s="76"/>
      <c r="V44" s="40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45721.0</v>
      </c>
      <c r="I45" s="68"/>
      <c r="J45" s="69"/>
      <c r="K45" s="70"/>
      <c r="L45" s="88"/>
      <c r="M45" s="72" t="s">
        <v>14</v>
      </c>
      <c r="N45" s="19">
        <v>3331.29</v>
      </c>
      <c r="O45" s="96" t="s">
        <v>117</v>
      </c>
      <c r="P45" s="99">
        <v>0.63125</v>
      </c>
      <c r="Q45" s="100"/>
      <c r="R45" s="39"/>
      <c r="S45" s="109">
        <f>SUMIF(I:I,"凤凰&amp;洛阳",J:J)</f>
        <v>31733.7</v>
      </c>
      <c r="T45" s="101" t="s">
        <v>1378</v>
      </c>
      <c r="U45" s="76"/>
      <c r="V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45721.0</v>
      </c>
      <c r="I46" s="68"/>
      <c r="J46" s="69"/>
      <c r="K46" s="70"/>
      <c r="L46" s="88"/>
      <c r="M46" s="72" t="s">
        <v>14</v>
      </c>
      <c r="N46" s="19">
        <v>2834.91</v>
      </c>
      <c r="O46" s="96" t="s">
        <v>117</v>
      </c>
      <c r="P46" s="99">
        <v>0.6326388888888889</v>
      </c>
      <c r="Q46" s="100"/>
      <c r="R46" s="39"/>
      <c r="S46" s="109">
        <f>SUMIF(I:I,"海总-全球户",J:J)</f>
        <v>341.74</v>
      </c>
      <c r="T46" s="101" t="s">
        <v>1379</v>
      </c>
      <c r="U46" s="76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45721.0</v>
      </c>
      <c r="I47" s="68"/>
      <c r="J47" s="69"/>
      <c r="K47" s="70"/>
      <c r="L47" s="88"/>
      <c r="M47" s="72" t="s">
        <v>14</v>
      </c>
      <c r="N47" s="19">
        <v>1735.28</v>
      </c>
      <c r="O47" s="96" t="s">
        <v>117</v>
      </c>
      <c r="P47" s="99">
        <v>0.6333333333333333</v>
      </c>
      <c r="Q47" s="100"/>
      <c r="R47" s="39"/>
      <c r="S47" s="109">
        <f>SUMIF(I:I,"印度企业户 欧洲美金户下户",J:J)</f>
        <v>1527.85</v>
      </c>
      <c r="T47" s="101" t="s">
        <v>1380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45721.0</v>
      </c>
      <c r="I48" s="68"/>
      <c r="J48" s="69"/>
      <c r="K48" s="70"/>
      <c r="L48" s="88"/>
      <c r="M48" s="72" t="s">
        <v>14</v>
      </c>
      <c r="N48" s="19">
        <v>500.69</v>
      </c>
      <c r="O48" s="96" t="s">
        <v>117</v>
      </c>
      <c r="P48" s="99">
        <v>0.6347222222222222</v>
      </c>
      <c r="Q48" s="100"/>
      <c r="R48" s="39"/>
      <c r="S48" s="109">
        <f>SUMIF(I:I,"CH加白户14➕1",J:J)</f>
        <v>7757.94</v>
      </c>
      <c r="T48" s="101" t="s">
        <v>1381</v>
      </c>
      <c r="U48" s="76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45721.0</v>
      </c>
      <c r="I49" s="68"/>
      <c r="J49" s="69"/>
      <c r="K49" s="70"/>
      <c r="L49" s="88"/>
      <c r="M49" s="72" t="s">
        <v>14</v>
      </c>
      <c r="N49" s="19">
        <v>5694.444444444444</v>
      </c>
      <c r="O49" s="96" t="s">
        <v>117</v>
      </c>
      <c r="P49" s="99">
        <v>0.6368055555555555</v>
      </c>
      <c r="Q49" s="100"/>
      <c r="R49" s="39"/>
      <c r="S49" s="109">
        <f>SUMIF(I:I,"Y-5208 FB欧/美户",J:J)</f>
        <v>485.33</v>
      </c>
      <c r="T49" s="101" t="s">
        <v>1382</v>
      </c>
      <c r="U49" s="76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45721.0</v>
      </c>
      <c r="I50" s="68"/>
      <c r="J50" s="69"/>
      <c r="K50" s="70"/>
      <c r="L50" s="88"/>
      <c r="M50" s="72" t="s">
        <v>27</v>
      </c>
      <c r="N50" s="90">
        <v>1130.0</v>
      </c>
      <c r="O50" s="96" t="s">
        <v>1383</v>
      </c>
      <c r="P50" s="97">
        <v>0.6388888888888888</v>
      </c>
      <c r="Q50" s="100"/>
      <c r="R50" s="39"/>
      <c r="S50" s="186"/>
      <c r="T50" s="186"/>
      <c r="U50" s="182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45721.0</v>
      </c>
      <c r="I51" s="68"/>
      <c r="J51" s="69"/>
      <c r="K51" s="70"/>
      <c r="L51" s="88"/>
      <c r="M51" s="72" t="s">
        <v>69</v>
      </c>
      <c r="N51" s="90">
        <v>300.0</v>
      </c>
      <c r="O51" s="96"/>
      <c r="P51" s="97">
        <v>0.6527777777777778</v>
      </c>
      <c r="Q51" s="100"/>
      <c r="R51" s="39"/>
      <c r="S51" s="186"/>
      <c r="T51" s="186"/>
      <c r="U51" s="182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45722.0</v>
      </c>
      <c r="I52" s="68" t="s">
        <v>1341</v>
      </c>
      <c r="J52" s="69">
        <v>1800.0</v>
      </c>
      <c r="K52" s="70" t="s">
        <v>1384</v>
      </c>
      <c r="L52" s="71">
        <v>0.4875</v>
      </c>
      <c r="M52" s="72"/>
      <c r="N52" s="90"/>
      <c r="O52" s="96"/>
      <c r="P52" s="97"/>
      <c r="R52" s="39"/>
      <c r="S52" s="109">
        <f>SUMIF(I:I,"意大利张总单导",J:J)</f>
        <v>10920</v>
      </c>
      <c r="T52" s="26" t="s">
        <v>1341</v>
      </c>
      <c r="U52" s="76"/>
      <c r="V52" s="188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45722.0</v>
      </c>
      <c r="I53" s="68" t="s">
        <v>1385</v>
      </c>
      <c r="J53" s="69">
        <v>9450.0</v>
      </c>
      <c r="K53" s="70" t="s">
        <v>1386</v>
      </c>
      <c r="L53" s="71">
        <v>0.5923611111111111</v>
      </c>
      <c r="M53" s="72" t="s">
        <v>1229</v>
      </c>
      <c r="N53" s="90">
        <v>10000.0</v>
      </c>
      <c r="O53" s="74"/>
      <c r="P53" s="97">
        <v>0.6013888888888889</v>
      </c>
      <c r="R53" s="39"/>
      <c r="S53" s="109">
        <f>SUMIF(I:I,"巴西测试粉",J:J)</f>
        <v>1657.06</v>
      </c>
      <c r="T53" s="26" t="s">
        <v>1343</v>
      </c>
      <c r="U53" s="76"/>
      <c r="V53" s="188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45722.0</v>
      </c>
      <c r="I54" s="68"/>
      <c r="J54" s="69"/>
      <c r="K54" s="70"/>
      <c r="L54" s="71"/>
      <c r="M54" s="72" t="s">
        <v>20</v>
      </c>
      <c r="N54" s="90">
        <v>270.0</v>
      </c>
      <c r="O54" s="74" t="s">
        <v>1387</v>
      </c>
      <c r="P54" s="97">
        <v>0.6034722222222222</v>
      </c>
      <c r="R54" s="39"/>
      <c r="S54" s="109">
        <f>SUMIF(I:I,"印度2期",J:J)</f>
        <v>108640.8</v>
      </c>
      <c r="T54" s="26" t="s">
        <v>1388</v>
      </c>
      <c r="U54" s="76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45722.0</v>
      </c>
      <c r="I55" s="68" t="s">
        <v>1340</v>
      </c>
      <c r="J55" s="69">
        <v>992.31</v>
      </c>
      <c r="K55" s="70" t="s">
        <v>155</v>
      </c>
      <c r="L55" s="71">
        <v>0.6444444444444445</v>
      </c>
      <c r="M55" s="72"/>
      <c r="N55" s="90"/>
      <c r="O55" s="74"/>
      <c r="P55" s="75"/>
      <c r="R55" s="39"/>
      <c r="S55" s="109">
        <f>SUMIF(I:I,"印度（10）金山",J:J)</f>
        <v>225948</v>
      </c>
      <c r="T55" s="26" t="s">
        <v>1389</v>
      </c>
      <c r="U55" s="76"/>
      <c r="V55" s="189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45722.0</v>
      </c>
      <c r="I56" s="68" t="s">
        <v>27</v>
      </c>
      <c r="J56" s="69">
        <v>1130.0</v>
      </c>
      <c r="K56" s="70" t="s">
        <v>155</v>
      </c>
      <c r="L56" s="71">
        <v>0.6868055555555556</v>
      </c>
      <c r="M56" s="72"/>
      <c r="N56" s="90"/>
      <c r="O56" s="74"/>
      <c r="P56" s="75"/>
      <c r="R56" s="39"/>
      <c r="S56" s="109">
        <f>SUMIF(I:I,"印度FB天叶（2/24）",J:J)</f>
        <v>50000</v>
      </c>
      <c r="T56" s="26" t="s">
        <v>1361</v>
      </c>
      <c r="U56" s="183" t="s">
        <v>1390</v>
      </c>
      <c r="V56" s="188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45722.0</v>
      </c>
      <c r="I57" s="68" t="s">
        <v>1348</v>
      </c>
      <c r="J57" s="69">
        <v>48.0</v>
      </c>
      <c r="K57" s="87"/>
      <c r="L57" s="71">
        <v>0.7381944444444445</v>
      </c>
      <c r="M57" s="72" t="s">
        <v>1340</v>
      </c>
      <c r="N57" s="90">
        <v>1191.0</v>
      </c>
      <c r="O57" s="74" t="s">
        <v>1391</v>
      </c>
      <c r="P57" s="75">
        <v>0.7402777777777778</v>
      </c>
      <c r="R57" s="39"/>
      <c r="S57" s="109">
        <f>SUMIF(I:I,"意大利第4梯队（蟑螂哥）",J:J)</f>
        <v>1680</v>
      </c>
      <c r="T57" s="26" t="s">
        <v>1359</v>
      </c>
      <c r="U57" s="76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45722.0</v>
      </c>
      <c r="I58" s="68" t="s">
        <v>1348</v>
      </c>
      <c r="J58" s="69">
        <v>25900.0</v>
      </c>
      <c r="K58" s="70"/>
      <c r="L58" s="71">
        <v>0.8034722222222223</v>
      </c>
      <c r="M58" s="72" t="s">
        <v>827</v>
      </c>
      <c r="N58" s="90">
        <v>5626.26</v>
      </c>
      <c r="O58" s="74" t="s">
        <v>1392</v>
      </c>
      <c r="P58" s="75">
        <v>0.8993055555555556</v>
      </c>
      <c r="R58" s="39"/>
      <c r="S58" s="109">
        <f>SUMIF(I:I,"德国股票粉二组【张小强】",J:J)</f>
        <v>62775</v>
      </c>
      <c r="T58" s="26" t="s">
        <v>1385</v>
      </c>
      <c r="U58" s="76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45722.0</v>
      </c>
      <c r="I59" s="68"/>
      <c r="J59" s="69"/>
      <c r="K59" s="87"/>
      <c r="L59" s="71"/>
      <c r="M59" s="72" t="s">
        <v>671</v>
      </c>
      <c r="N59" s="90">
        <v>2484.0</v>
      </c>
      <c r="O59" s="74"/>
      <c r="P59" s="75">
        <v>0.9256944444444445</v>
      </c>
      <c r="R59" s="39"/>
      <c r="S59" s="109">
        <f>SUMIF(I:I,"印度3期",J:J)</f>
        <v>50000</v>
      </c>
      <c r="T59" s="26" t="s">
        <v>1393</v>
      </c>
      <c r="U59" s="76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45723.0</v>
      </c>
      <c r="I60" s="68"/>
      <c r="J60" s="69"/>
      <c r="K60" s="85"/>
      <c r="L60" s="71"/>
      <c r="M60" s="72" t="s">
        <v>1225</v>
      </c>
      <c r="N60" s="90">
        <v>2185.0</v>
      </c>
      <c r="O60" s="74"/>
      <c r="P60" s="75">
        <v>0.5201388888888889</v>
      </c>
      <c r="R60" s="39"/>
      <c r="S60" s="109">
        <f>SUMIF(I:I,"印度（10）金山3/17开始",J:J)</f>
        <v>277200</v>
      </c>
      <c r="T60" s="26" t="s">
        <v>1394</v>
      </c>
      <c r="U60" s="76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45723.0</v>
      </c>
      <c r="I61" s="68"/>
      <c r="J61" s="69"/>
      <c r="K61" s="70"/>
      <c r="L61" s="71"/>
      <c r="M61" s="72" t="s">
        <v>27</v>
      </c>
      <c r="N61" s="90">
        <v>11100.0</v>
      </c>
      <c r="O61" s="74" t="s">
        <v>1395</v>
      </c>
      <c r="P61" s="75">
        <v>0.6604166666666667</v>
      </c>
      <c r="R61" s="39"/>
      <c r="S61" s="109">
        <f>SUMIF(I:I,"韩国刷单粉对接",J:J)</f>
        <v>2138.39</v>
      </c>
      <c r="T61" s="26" t="s">
        <v>1396</v>
      </c>
      <c r="U61" s="76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45723.0</v>
      </c>
      <c r="I62" s="68" t="s">
        <v>1219</v>
      </c>
      <c r="J62" s="69">
        <v>341.74</v>
      </c>
      <c r="K62" s="70"/>
      <c r="L62" s="71">
        <v>0.7916666666666666</v>
      </c>
      <c r="M62" s="72"/>
      <c r="N62" s="90"/>
      <c r="O62" s="74"/>
      <c r="P62" s="75"/>
      <c r="Q62" s="41"/>
      <c r="R62" s="39"/>
      <c r="S62" s="109">
        <f>SUMIF(I:I,"渠道F 英文J",J:J)</f>
        <v>7500</v>
      </c>
      <c r="T62" s="26" t="s">
        <v>1397</v>
      </c>
      <c r="U62" s="76" t="s">
        <v>1398</v>
      </c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45723.0</v>
      </c>
      <c r="I63" s="68" t="s">
        <v>1385</v>
      </c>
      <c r="J63" s="69">
        <v>11610.0</v>
      </c>
      <c r="K63" s="70" t="s">
        <v>1399</v>
      </c>
      <c r="L63" s="71">
        <v>0.8034722222222223</v>
      </c>
      <c r="M63" s="72"/>
      <c r="N63" s="90"/>
      <c r="O63" s="74"/>
      <c r="P63" s="75"/>
      <c r="Q63" s="41"/>
      <c r="R63" s="39"/>
      <c r="S63" s="109">
        <f>SUMIF(I:I,"（蟑螂哥）英国结算群",J:J)</f>
        <v>415</v>
      </c>
      <c r="T63" s="26" t="s">
        <v>1400</v>
      </c>
      <c r="U63" s="76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45724.0</v>
      </c>
      <c r="I64" s="68" t="s">
        <v>1340</v>
      </c>
      <c r="J64" s="69">
        <v>1918.63</v>
      </c>
      <c r="K64" s="70" t="s">
        <v>155</v>
      </c>
      <c r="L64" s="71">
        <v>0.06805555555555555</v>
      </c>
      <c r="M64" s="72"/>
      <c r="N64" s="90"/>
      <c r="O64" s="74"/>
      <c r="P64" s="75"/>
      <c r="Q64" s="41"/>
      <c r="R64" s="39"/>
      <c r="S64" s="109">
        <f>SUMIF(I:I,"印度L2期-强森",J:J)</f>
        <v>100000</v>
      </c>
      <c r="T64" s="26" t="s">
        <v>1401</v>
      </c>
      <c r="U64" s="76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45724.0</v>
      </c>
      <c r="I65" s="68" t="s">
        <v>1385</v>
      </c>
      <c r="J65" s="69">
        <v>8100.0</v>
      </c>
      <c r="K65" s="70" t="s">
        <v>1402</v>
      </c>
      <c r="L65" s="71">
        <v>0.5111111111111111</v>
      </c>
      <c r="M65" s="72" t="s">
        <v>1371</v>
      </c>
      <c r="N65" s="90">
        <v>4080.0</v>
      </c>
      <c r="O65" s="74"/>
      <c r="P65" s="75">
        <v>0.5590277777777778</v>
      </c>
      <c r="R65" s="39"/>
      <c r="S65" s="109">
        <f>SUMIF(I:I,"意大利二期",J:J)</f>
        <v>50000</v>
      </c>
      <c r="T65" s="26" t="s">
        <v>1254</v>
      </c>
      <c r="U65" s="76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45724.0</v>
      </c>
      <c r="I66" s="68"/>
      <c r="J66" s="69"/>
      <c r="K66" s="70"/>
      <c r="L66" s="88"/>
      <c r="M66" s="147" t="s">
        <v>1225</v>
      </c>
      <c r="N66" s="90">
        <v>2346.0</v>
      </c>
      <c r="O66" s="74"/>
      <c r="P66" s="75">
        <v>0.575</v>
      </c>
      <c r="R66" s="39"/>
      <c r="S66" s="109">
        <f>SUMIF(I:I,"印度14期-么么",J:J)</f>
        <v>70000</v>
      </c>
      <c r="T66" s="26" t="s">
        <v>1403</v>
      </c>
      <c r="U66" s="76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45724.0</v>
      </c>
      <c r="I67" s="68"/>
      <c r="J67" s="69"/>
      <c r="K67" s="70"/>
      <c r="L67" s="71"/>
      <c r="M67" s="72" t="s">
        <v>1345</v>
      </c>
      <c r="N67" s="90">
        <v>3840.1</v>
      </c>
      <c r="O67" s="74" t="s">
        <v>1404</v>
      </c>
      <c r="P67" s="75">
        <v>0.5986111111111111</v>
      </c>
      <c r="R67" s="39"/>
      <c r="S67" s="109">
        <f>SUMIF(I:I,"印度4期-啊光",J:J)</f>
        <v>150000</v>
      </c>
      <c r="T67" s="26" t="s">
        <v>1234</v>
      </c>
      <c r="U67" s="76">
        <f>S67+'2025年4月收支财务报表'!S49</f>
        <v>250000</v>
      </c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45724.0</v>
      </c>
      <c r="I68" s="68"/>
      <c r="J68" s="69"/>
      <c r="K68" s="70"/>
      <c r="L68" s="88"/>
      <c r="M68" s="72" t="s">
        <v>1345</v>
      </c>
      <c r="N68" s="90">
        <v>4444.0</v>
      </c>
      <c r="O68" s="74" t="s">
        <v>1405</v>
      </c>
      <c r="P68" s="75">
        <v>0.625</v>
      </c>
      <c r="R68" s="39"/>
      <c r="S68" s="109">
        <f>SUMIF(I:I,"渠道B 德国A",J:J)</f>
        <v>6250</v>
      </c>
      <c r="T68" s="26" t="s">
        <v>1406</v>
      </c>
      <c r="U68" s="76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45724.0</v>
      </c>
      <c r="I69" s="68"/>
      <c r="J69" s="69"/>
      <c r="K69" s="85"/>
      <c r="L69" s="71"/>
      <c r="M69" s="72" t="s">
        <v>27</v>
      </c>
      <c r="N69" s="90">
        <v>3330.0</v>
      </c>
      <c r="O69" s="74" t="s">
        <v>1407</v>
      </c>
      <c r="P69" s="75">
        <v>0.6263888888888889</v>
      </c>
      <c r="R69" s="39"/>
      <c r="S69" s="186"/>
      <c r="T69" s="185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45724.0</v>
      </c>
      <c r="I70" s="68"/>
      <c r="J70" s="69"/>
      <c r="K70" s="70"/>
      <c r="L70" s="71"/>
      <c r="M70" s="72" t="s">
        <v>20</v>
      </c>
      <c r="N70" s="90">
        <v>20.0</v>
      </c>
      <c r="O70" s="74" t="s">
        <v>1156</v>
      </c>
      <c r="P70" s="75">
        <v>0.6972222222222222</v>
      </c>
      <c r="R70" s="39"/>
      <c r="S70" s="190">
        <f>J7</f>
        <v>220136.3988</v>
      </c>
      <c r="T70" s="26" t="s">
        <v>1339</v>
      </c>
      <c r="U70" s="76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45724.0</v>
      </c>
      <c r="I71" s="68"/>
      <c r="J71" s="69"/>
      <c r="K71" s="70"/>
      <c r="L71" s="71"/>
      <c r="M71" s="72" t="s">
        <v>27</v>
      </c>
      <c r="N71" s="90">
        <v>354.0</v>
      </c>
      <c r="O71" s="74" t="s">
        <v>1408</v>
      </c>
      <c r="P71" s="75">
        <v>0.7090277777777778</v>
      </c>
      <c r="R71" s="39"/>
      <c r="S71" s="187">
        <f>SUM(S40:S70)</f>
        <v>1450200.209</v>
      </c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45724.0</v>
      </c>
      <c r="I72" s="68"/>
      <c r="J72" s="69"/>
      <c r="K72" s="87"/>
      <c r="L72" s="71"/>
      <c r="M72" s="72" t="s">
        <v>20</v>
      </c>
      <c r="N72" s="90">
        <v>207.35</v>
      </c>
      <c r="O72" s="74" t="s">
        <v>1409</v>
      </c>
      <c r="P72" s="75">
        <v>0.8375</v>
      </c>
      <c r="R72" s="39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45724.0</v>
      </c>
      <c r="I73" s="68"/>
      <c r="J73" s="69"/>
      <c r="K73" s="85"/>
      <c r="L73" s="71"/>
      <c r="M73" s="72" t="s">
        <v>1345</v>
      </c>
      <c r="N73" s="90">
        <v>1161.5</v>
      </c>
      <c r="O73" s="74" t="s">
        <v>886</v>
      </c>
      <c r="P73" s="75">
        <v>0.7354166666666667</v>
      </c>
      <c r="R73" s="39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45725.0</v>
      </c>
      <c r="I74" s="154"/>
      <c r="J74" s="69"/>
      <c r="K74" s="93"/>
      <c r="L74" s="71"/>
      <c r="M74" s="72" t="s">
        <v>27</v>
      </c>
      <c r="N74" s="90">
        <v>100.0</v>
      </c>
      <c r="O74" s="74" t="s">
        <v>427</v>
      </c>
      <c r="P74" s="75">
        <v>0.7840277777777778</v>
      </c>
      <c r="R74" s="39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45725.0</v>
      </c>
      <c r="I75" s="68"/>
      <c r="J75" s="69"/>
      <c r="K75" s="87"/>
      <c r="L75" s="71"/>
      <c r="M75" s="72" t="s">
        <v>20</v>
      </c>
      <c r="N75" s="90">
        <v>15.0</v>
      </c>
      <c r="O75" s="74" t="s">
        <v>1410</v>
      </c>
      <c r="P75" s="75">
        <v>0.8743055555555556</v>
      </c>
      <c r="R75" s="39"/>
      <c r="S75" s="18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45725.0</v>
      </c>
      <c r="I76" s="68" t="s">
        <v>27</v>
      </c>
      <c r="J76" s="69">
        <v>100.0</v>
      </c>
      <c r="K76" s="87"/>
      <c r="L76" s="71">
        <v>0.9277777777777778</v>
      </c>
      <c r="M76" s="72"/>
      <c r="N76" s="90"/>
      <c r="O76" s="74"/>
      <c r="P76" s="75"/>
      <c r="R76" s="39"/>
      <c r="S76" s="18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45726.0</v>
      </c>
      <c r="I77" s="68"/>
      <c r="J77" s="69"/>
      <c r="K77" s="85"/>
      <c r="L77" s="71"/>
      <c r="M77" s="72" t="s">
        <v>1368</v>
      </c>
      <c r="N77" s="90">
        <v>10.0</v>
      </c>
      <c r="O77" s="96"/>
      <c r="P77" s="75">
        <v>0.4722222222222222</v>
      </c>
      <c r="R77" s="39"/>
      <c r="S77" s="186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45726.0</v>
      </c>
      <c r="I78" s="68"/>
      <c r="J78" s="69"/>
      <c r="K78" s="87"/>
      <c r="L78" s="71"/>
      <c r="M78" s="72" t="s">
        <v>1368</v>
      </c>
      <c r="N78" s="90">
        <f>3450-N77</f>
        <v>3440</v>
      </c>
      <c r="O78" s="74"/>
      <c r="P78" s="75">
        <v>0.47291666666666665</v>
      </c>
      <c r="R78" s="39"/>
      <c r="S78" s="186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45726.0</v>
      </c>
      <c r="I79" s="68"/>
      <c r="J79" s="69"/>
      <c r="K79" s="87"/>
      <c r="L79" s="71"/>
      <c r="M79" s="72" t="s">
        <v>1345</v>
      </c>
      <c r="N79" s="90">
        <v>4393.5</v>
      </c>
      <c r="O79" s="96" t="s">
        <v>1411</v>
      </c>
      <c r="P79" s="75">
        <v>0.5791666666666667</v>
      </c>
      <c r="R79" s="39"/>
      <c r="S79" s="186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45726.0</v>
      </c>
      <c r="I80" s="68"/>
      <c r="J80" s="69"/>
      <c r="K80" s="70"/>
      <c r="L80" s="71"/>
      <c r="M80" s="72" t="s">
        <v>1368</v>
      </c>
      <c r="N80" s="90">
        <f>3450</f>
        <v>3450</v>
      </c>
      <c r="O80" s="74"/>
      <c r="P80" s="75">
        <v>0.6236111111111111</v>
      </c>
      <c r="R80" s="39"/>
      <c r="S80" s="186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45726.0</v>
      </c>
      <c r="I81" s="68"/>
      <c r="J81" s="69"/>
      <c r="K81" s="70"/>
      <c r="L81" s="71"/>
      <c r="M81" s="72" t="s">
        <v>1216</v>
      </c>
      <c r="N81" s="90">
        <v>100.0</v>
      </c>
      <c r="O81" s="74" t="s">
        <v>427</v>
      </c>
      <c r="P81" s="75">
        <v>0.6590277777777778</v>
      </c>
      <c r="R81" s="39"/>
      <c r="S81" s="186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45726.0</v>
      </c>
      <c r="I82" s="68"/>
      <c r="J82" s="69"/>
      <c r="K82" s="70"/>
      <c r="L82" s="71"/>
      <c r="M82" s="72" t="s">
        <v>20</v>
      </c>
      <c r="N82" s="90">
        <v>5.0</v>
      </c>
      <c r="O82" s="74" t="s">
        <v>1272</v>
      </c>
      <c r="P82" s="75">
        <v>0.69375</v>
      </c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45726.0</v>
      </c>
      <c r="I83" s="68"/>
      <c r="J83" s="69"/>
      <c r="K83" s="70"/>
      <c r="L83" s="71"/>
      <c r="M83" s="72" t="s">
        <v>1229</v>
      </c>
      <c r="N83" s="90">
        <v>10600.0</v>
      </c>
      <c r="O83" s="74"/>
      <c r="P83" s="75">
        <v>0.7388888888888889</v>
      </c>
      <c r="R83" s="39"/>
      <c r="S83" s="18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45726.0</v>
      </c>
      <c r="I84" s="68"/>
      <c r="J84" s="69"/>
      <c r="K84" s="70"/>
      <c r="L84" s="71"/>
      <c r="M84" s="72" t="s">
        <v>1361</v>
      </c>
      <c r="N84" s="90">
        <v>10.0</v>
      </c>
      <c r="O84" s="74" t="s">
        <v>155</v>
      </c>
      <c r="P84" s="75">
        <v>0.7659722222222223</v>
      </c>
      <c r="R84" s="39"/>
      <c r="S84" s="76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45726.0</v>
      </c>
      <c r="I85" s="68"/>
      <c r="J85" s="69"/>
      <c r="K85" s="70"/>
      <c r="L85" s="88"/>
      <c r="M85" s="72" t="s">
        <v>1361</v>
      </c>
      <c r="N85" s="90">
        <f>26976-N84</f>
        <v>26966</v>
      </c>
      <c r="O85" s="74" t="s">
        <v>155</v>
      </c>
      <c r="P85" s="75">
        <v>0.7673611111111112</v>
      </c>
      <c r="R85" s="39"/>
      <c r="S85" s="186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45726.0</v>
      </c>
      <c r="I86" s="68"/>
      <c r="J86" s="69"/>
      <c r="K86" s="70"/>
      <c r="L86" s="71"/>
      <c r="M86" s="72" t="s">
        <v>27</v>
      </c>
      <c r="N86" s="90">
        <v>150.0</v>
      </c>
      <c r="O86" s="74" t="s">
        <v>427</v>
      </c>
      <c r="P86" s="75">
        <v>0.7833333333333333</v>
      </c>
      <c r="R86" s="39"/>
      <c r="S86" s="186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45726.0</v>
      </c>
      <c r="I87" s="68"/>
      <c r="J87" s="69"/>
      <c r="K87" s="85"/>
      <c r="L87" s="71"/>
      <c r="M87" s="72" t="s">
        <v>20</v>
      </c>
      <c r="N87" s="90">
        <v>265.0</v>
      </c>
      <c r="O87" s="74" t="s">
        <v>1412</v>
      </c>
      <c r="P87" s="75">
        <v>0.9458333333333333</v>
      </c>
      <c r="R87" s="39"/>
      <c r="S87" s="186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45726.0</v>
      </c>
      <c r="I88" s="68"/>
      <c r="J88" s="69"/>
      <c r="K88" s="70"/>
      <c r="L88" s="71"/>
      <c r="M88" s="72" t="s">
        <v>1345</v>
      </c>
      <c r="N88" s="90">
        <v>1742.25</v>
      </c>
      <c r="O88" s="74" t="s">
        <v>1413</v>
      </c>
      <c r="P88" s="75">
        <v>0.9888888888888889</v>
      </c>
      <c r="R88" s="39"/>
      <c r="S88" s="18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45726.0</v>
      </c>
      <c r="I89" s="68"/>
      <c r="J89" s="69"/>
      <c r="K89" s="85"/>
      <c r="L89" s="71"/>
      <c r="M89" s="72" t="s">
        <v>20</v>
      </c>
      <c r="N89" s="90">
        <v>24.0</v>
      </c>
      <c r="O89" s="74" t="s">
        <v>1414</v>
      </c>
      <c r="P89" s="75">
        <v>0.9916666666666667</v>
      </c>
      <c r="R89" s="39"/>
      <c r="S89" s="186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45727.0</v>
      </c>
      <c r="I90" s="68"/>
      <c r="J90" s="69"/>
      <c r="K90" s="70"/>
      <c r="L90" s="88"/>
      <c r="M90" s="72" t="s">
        <v>1368</v>
      </c>
      <c r="N90" s="90">
        <v>3496.0</v>
      </c>
      <c r="O90" s="74"/>
      <c r="P90" s="75">
        <v>0.5076388888888889</v>
      </c>
      <c r="R90" s="39"/>
      <c r="S90" s="186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45727.0</v>
      </c>
      <c r="I91" s="84"/>
      <c r="J91" s="17"/>
      <c r="K91" s="85"/>
      <c r="L91" s="86"/>
      <c r="M91" s="72" t="s">
        <v>1371</v>
      </c>
      <c r="N91" s="90">
        <v>7000.0</v>
      </c>
      <c r="O91" s="74"/>
      <c r="P91" s="75">
        <v>0.5722222222222222</v>
      </c>
      <c r="R91" s="39"/>
      <c r="S91" s="186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45727.0</v>
      </c>
      <c r="I92" s="68" t="s">
        <v>1385</v>
      </c>
      <c r="J92" s="69">
        <v>3780.0</v>
      </c>
      <c r="K92" s="70" t="s">
        <v>1415</v>
      </c>
      <c r="L92" s="71">
        <v>0.6152777777777778</v>
      </c>
      <c r="M92" s="72"/>
      <c r="N92" s="90"/>
      <c r="O92" s="74"/>
      <c r="P92" s="75"/>
      <c r="Q92" s="41"/>
      <c r="R92" s="39"/>
      <c r="S92" s="186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45727.0</v>
      </c>
      <c r="I93" s="68" t="s">
        <v>1012</v>
      </c>
      <c r="J93" s="69">
        <v>6.0</v>
      </c>
      <c r="K93" s="70" t="s">
        <v>155</v>
      </c>
      <c r="L93" s="71">
        <v>0.6208333333333333</v>
      </c>
      <c r="M93" s="72"/>
      <c r="N93" s="90"/>
      <c r="O93" s="74"/>
      <c r="P93" s="75"/>
      <c r="Q93" s="41"/>
      <c r="R93" s="39"/>
      <c r="S93" s="186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45727.0</v>
      </c>
      <c r="I94" s="68" t="s">
        <v>1012</v>
      </c>
      <c r="J94" s="69">
        <v>4460.0</v>
      </c>
      <c r="K94" s="70" t="s">
        <v>155</v>
      </c>
      <c r="L94" s="71">
        <v>0.6305555555555555</v>
      </c>
      <c r="M94" s="72" t="s">
        <v>27</v>
      </c>
      <c r="N94" s="90">
        <v>1220.0</v>
      </c>
      <c r="O94" s="74" t="s">
        <v>1416</v>
      </c>
      <c r="P94" s="75">
        <v>0.6347222222222222</v>
      </c>
      <c r="R94" s="39"/>
      <c r="S94" s="186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45728.0</v>
      </c>
      <c r="I95" s="68" t="s">
        <v>1385</v>
      </c>
      <c r="J95" s="69">
        <v>9045.0</v>
      </c>
      <c r="K95" s="70" t="s">
        <v>1417</v>
      </c>
      <c r="L95" s="71">
        <v>0.6298611111111111</v>
      </c>
      <c r="M95" s="72" t="s">
        <v>1362</v>
      </c>
      <c r="N95" s="90">
        <v>10.0</v>
      </c>
      <c r="O95" s="96" t="s">
        <v>1418</v>
      </c>
      <c r="P95" s="75">
        <v>0.7673611111111112</v>
      </c>
      <c r="Q95" s="41"/>
      <c r="R95" s="39"/>
      <c r="S95" s="186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45728.0</v>
      </c>
      <c r="I96" s="68"/>
      <c r="J96" s="69"/>
      <c r="K96" s="70"/>
      <c r="L96" s="71"/>
      <c r="M96" s="72" t="s">
        <v>1362</v>
      </c>
      <c r="N96" s="90">
        <f>1188-N95</f>
        <v>1178</v>
      </c>
      <c r="O96" s="74" t="s">
        <v>1418</v>
      </c>
      <c r="P96" s="75">
        <v>0.7694444444444445</v>
      </c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45728.0</v>
      </c>
      <c r="I97" s="68" t="s">
        <v>1393</v>
      </c>
      <c r="J97" s="69">
        <v>50000.0</v>
      </c>
      <c r="K97" s="70"/>
      <c r="L97" s="71">
        <v>0.7770833333333333</v>
      </c>
      <c r="M97" s="72"/>
      <c r="N97" s="90"/>
      <c r="O97" s="74"/>
      <c r="P97" s="75"/>
      <c r="R97" s="39"/>
      <c r="S97" s="186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45729.0</v>
      </c>
      <c r="I98" s="84"/>
      <c r="J98" s="17"/>
      <c r="K98" s="85"/>
      <c r="L98" s="86"/>
      <c r="M98" s="72" t="s">
        <v>1223</v>
      </c>
      <c r="N98" s="90">
        <v>201.37</v>
      </c>
      <c r="O98" s="74"/>
      <c r="P98" s="75">
        <v>0.04583333333333333</v>
      </c>
      <c r="R98" s="39"/>
      <c r="S98" s="186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45729.0</v>
      </c>
      <c r="I99" s="84"/>
      <c r="J99" s="17"/>
      <c r="K99" s="85"/>
      <c r="L99" s="86"/>
      <c r="M99" s="147" t="s">
        <v>1229</v>
      </c>
      <c r="N99" s="90">
        <v>1700.0</v>
      </c>
      <c r="O99" s="74"/>
      <c r="P99" s="75">
        <v>0.5215277777777778</v>
      </c>
      <c r="R99" s="39"/>
      <c r="S99" s="186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45729.0</v>
      </c>
      <c r="I100" s="154"/>
      <c r="J100" s="17"/>
      <c r="K100" s="92"/>
      <c r="L100" s="173"/>
      <c r="M100" s="72" t="s">
        <v>20</v>
      </c>
      <c r="N100" s="90">
        <v>20.0</v>
      </c>
      <c r="O100" s="74" t="s">
        <v>1156</v>
      </c>
      <c r="P100" s="75">
        <v>0.5805555555555556</v>
      </c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45729.0</v>
      </c>
      <c r="I101" s="84"/>
      <c r="J101" s="17"/>
      <c r="K101" s="85"/>
      <c r="L101" s="86"/>
      <c r="M101" s="72" t="s">
        <v>20</v>
      </c>
      <c r="N101" s="90">
        <v>76.0</v>
      </c>
      <c r="O101" s="74" t="s">
        <v>616</v>
      </c>
      <c r="P101" s="75">
        <v>0.6597222222222222</v>
      </c>
      <c r="R101" s="39"/>
      <c r="S101" s="186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45729.0</v>
      </c>
      <c r="I102" s="84"/>
      <c r="J102" s="17"/>
      <c r="K102" s="87"/>
      <c r="L102" s="71"/>
      <c r="M102" s="72" t="s">
        <v>30</v>
      </c>
      <c r="N102" s="90">
        <v>545.0</v>
      </c>
      <c r="O102" s="74" t="s">
        <v>515</v>
      </c>
      <c r="P102" s="75">
        <v>0.68125</v>
      </c>
      <c r="R102" s="39"/>
      <c r="S102" s="186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45729.0</v>
      </c>
      <c r="I103" s="68"/>
      <c r="J103" s="69"/>
      <c r="K103" s="87"/>
      <c r="L103" s="71"/>
      <c r="M103" s="72" t="s">
        <v>20</v>
      </c>
      <c r="N103" s="90">
        <v>220.0</v>
      </c>
      <c r="O103" s="74" t="s">
        <v>1419</v>
      </c>
      <c r="P103" s="75">
        <v>0.6833333333333333</v>
      </c>
      <c r="R103" s="39"/>
      <c r="S103" s="76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45729.0</v>
      </c>
      <c r="I104" s="68"/>
      <c r="J104" s="69"/>
      <c r="K104" s="87"/>
      <c r="L104" s="71"/>
      <c r="M104" s="72" t="s">
        <v>1368</v>
      </c>
      <c r="N104" s="90">
        <v>3634.0</v>
      </c>
      <c r="O104" s="74"/>
      <c r="P104" s="75">
        <v>0.7118055555555556</v>
      </c>
      <c r="R104" s="39"/>
      <c r="S104" s="186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45729.0</v>
      </c>
      <c r="I105" s="84"/>
      <c r="J105" s="17"/>
      <c r="K105" s="93"/>
      <c r="L105" s="155"/>
      <c r="M105" s="72" t="s">
        <v>69</v>
      </c>
      <c r="N105" s="90">
        <v>42.0</v>
      </c>
      <c r="O105" s="74" t="s">
        <v>1420</v>
      </c>
      <c r="P105" s="75">
        <v>0.7388888888888889</v>
      </c>
      <c r="R105" s="39"/>
      <c r="S105" s="186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45729.0</v>
      </c>
      <c r="I106" s="68"/>
      <c r="J106" s="69"/>
      <c r="K106" s="87"/>
      <c r="L106" s="71"/>
      <c r="M106" s="72" t="s">
        <v>827</v>
      </c>
      <c r="N106" s="90">
        <v>4150.21</v>
      </c>
      <c r="O106" s="74"/>
      <c r="P106" s="75">
        <v>0.7409722222222223</v>
      </c>
      <c r="R106" s="39"/>
      <c r="S106" s="186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45729.0</v>
      </c>
      <c r="I107" s="68"/>
      <c r="J107" s="69"/>
      <c r="K107" s="70"/>
      <c r="L107" s="88"/>
      <c r="M107" s="72" t="s">
        <v>69</v>
      </c>
      <c r="N107" s="191">
        <v>505.0</v>
      </c>
      <c r="O107" s="74" t="s">
        <v>127</v>
      </c>
      <c r="P107" s="75">
        <v>0.83125</v>
      </c>
      <c r="R107" s="39"/>
      <c r="S107" s="186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45730.0</v>
      </c>
      <c r="I108" s="68" t="s">
        <v>1341</v>
      </c>
      <c r="J108" s="69">
        <v>120.0</v>
      </c>
      <c r="K108" s="70" t="s">
        <v>1421</v>
      </c>
      <c r="L108" s="71">
        <v>0.5347222222222222</v>
      </c>
      <c r="M108" s="72" t="s">
        <v>1340</v>
      </c>
      <c r="N108" s="90">
        <v>100.0</v>
      </c>
      <c r="O108" s="74" t="s">
        <v>1422</v>
      </c>
      <c r="P108" s="75">
        <v>0.6159722222222223</v>
      </c>
      <c r="R108" s="39"/>
      <c r="S108" s="18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45730.0</v>
      </c>
      <c r="I109" s="84"/>
      <c r="J109" s="17"/>
      <c r="K109" s="85"/>
      <c r="L109" s="86"/>
      <c r="M109" s="72" t="s">
        <v>1362</v>
      </c>
      <c r="N109" s="90">
        <v>100.0</v>
      </c>
      <c r="O109" s="96" t="s">
        <v>1418</v>
      </c>
      <c r="P109" s="75">
        <v>0.7583333333333333</v>
      </c>
      <c r="R109" s="39"/>
      <c r="S109" s="186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45731.0</v>
      </c>
      <c r="I110" s="68"/>
      <c r="J110" s="69"/>
      <c r="K110" s="70"/>
      <c r="L110" s="71"/>
      <c r="M110" s="72" t="s">
        <v>1340</v>
      </c>
      <c r="N110" s="90">
        <v>605.5</v>
      </c>
      <c r="O110" s="96" t="s">
        <v>1423</v>
      </c>
      <c r="P110" s="75">
        <v>0.53125</v>
      </c>
      <c r="R110" s="39"/>
      <c r="S110" s="186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45731.0</v>
      </c>
      <c r="I111" s="68" t="s">
        <v>1385</v>
      </c>
      <c r="J111" s="69">
        <v>11070.0</v>
      </c>
      <c r="K111" s="70" t="s">
        <v>1424</v>
      </c>
      <c r="L111" s="71">
        <v>0.5847222222222223</v>
      </c>
      <c r="M111" s="72" t="s">
        <v>20</v>
      </c>
      <c r="N111" s="90">
        <v>20.0</v>
      </c>
      <c r="O111" s="74" t="s">
        <v>1156</v>
      </c>
      <c r="P111" s="75">
        <v>0.7645833333333333</v>
      </c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45731.0</v>
      </c>
      <c r="I112" s="68"/>
      <c r="J112" s="69"/>
      <c r="K112" s="70"/>
      <c r="L112" s="71"/>
      <c r="M112" s="72" t="s">
        <v>827</v>
      </c>
      <c r="N112" s="90">
        <v>2383.84</v>
      </c>
      <c r="O112" s="74" t="s">
        <v>1425</v>
      </c>
      <c r="P112" s="75">
        <v>0.8361111111111111</v>
      </c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45733.0</v>
      </c>
      <c r="I113" s="68"/>
      <c r="J113" s="69"/>
      <c r="K113" s="70"/>
      <c r="L113" s="71"/>
      <c r="M113" s="72" t="s">
        <v>20</v>
      </c>
      <c r="N113" s="90">
        <v>5.0</v>
      </c>
      <c r="O113" s="74" t="s">
        <v>1272</v>
      </c>
      <c r="P113" s="75">
        <v>0.5083333333333333</v>
      </c>
      <c r="R113" s="39"/>
      <c r="S113" s="18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45733.0</v>
      </c>
      <c r="I114" s="68"/>
      <c r="J114" s="69"/>
      <c r="K114" s="70"/>
      <c r="L114" s="71"/>
      <c r="M114" s="72" t="s">
        <v>1229</v>
      </c>
      <c r="N114" s="90">
        <v>10000.0</v>
      </c>
      <c r="O114" s="74"/>
      <c r="P114" s="75">
        <v>0.59375</v>
      </c>
      <c r="R114" s="39"/>
      <c r="S114" s="186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45733.0</v>
      </c>
      <c r="I115" s="154"/>
      <c r="J115" s="17"/>
      <c r="K115" s="93"/>
      <c r="L115" s="155"/>
      <c r="M115" s="72" t="s">
        <v>20</v>
      </c>
      <c r="N115" s="90">
        <v>11.0</v>
      </c>
      <c r="O115" s="74" t="s">
        <v>1426</v>
      </c>
      <c r="P115" s="75">
        <v>0.6048611111111111</v>
      </c>
      <c r="R115" s="39"/>
      <c r="S115" s="186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45733.0</v>
      </c>
      <c r="I116" s="68"/>
      <c r="J116" s="69"/>
      <c r="K116" s="85"/>
      <c r="L116" s="71"/>
      <c r="M116" s="72" t="s">
        <v>30</v>
      </c>
      <c r="N116" s="90">
        <v>1090.0</v>
      </c>
      <c r="O116" s="74" t="s">
        <v>1427</v>
      </c>
      <c r="P116" s="75">
        <v>0.6256944444444444</v>
      </c>
      <c r="R116" s="39"/>
      <c r="S116" s="186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45733.0</v>
      </c>
      <c r="I117" s="154"/>
      <c r="J117" s="17"/>
      <c r="K117" s="92"/>
      <c r="L117" s="155"/>
      <c r="M117" s="72" t="s">
        <v>20</v>
      </c>
      <c r="N117" s="90">
        <v>160.0</v>
      </c>
      <c r="O117" s="74" t="s">
        <v>1428</v>
      </c>
      <c r="P117" s="75">
        <v>0.6409722222222223</v>
      </c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45733.0</v>
      </c>
      <c r="I118" s="68"/>
      <c r="J118" s="69"/>
      <c r="K118" s="70"/>
      <c r="L118" s="71"/>
      <c r="M118" s="72" t="s">
        <v>1349</v>
      </c>
      <c r="N118" s="90">
        <v>10.0</v>
      </c>
      <c r="O118" s="74" t="s">
        <v>427</v>
      </c>
      <c r="P118" s="75">
        <v>0.6638888888888889</v>
      </c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45733.0</v>
      </c>
      <c r="I119" s="68"/>
      <c r="J119" s="69"/>
      <c r="K119" s="70"/>
      <c r="L119" s="71"/>
      <c r="M119" s="72" t="s">
        <v>27</v>
      </c>
      <c r="N119" s="90">
        <v>2300.0</v>
      </c>
      <c r="O119" s="74" t="s">
        <v>1429</v>
      </c>
      <c r="P119" s="75">
        <v>0.7048611111111112</v>
      </c>
      <c r="R119" s="39"/>
      <c r="S119" s="186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45733.0</v>
      </c>
      <c r="I120" s="68" t="s">
        <v>1394</v>
      </c>
      <c r="J120" s="17">
        <v>100.0</v>
      </c>
      <c r="K120" s="93"/>
      <c r="L120" s="71">
        <v>0.7104166666666667</v>
      </c>
      <c r="M120" s="72"/>
      <c r="N120" s="90"/>
      <c r="O120" s="74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45733.0</v>
      </c>
      <c r="I121" s="68" t="s">
        <v>1394</v>
      </c>
      <c r="J121" s="69">
        <v>49900.0</v>
      </c>
      <c r="K121" s="87"/>
      <c r="L121" s="71">
        <v>0.7111111111111111</v>
      </c>
      <c r="M121" s="72" t="s">
        <v>1430</v>
      </c>
      <c r="N121" s="90">
        <v>10.0</v>
      </c>
      <c r="O121" s="74" t="s">
        <v>155</v>
      </c>
      <c r="P121" s="75">
        <v>0.7361111111111112</v>
      </c>
      <c r="R121" s="39"/>
      <c r="S121" s="186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45733.0</v>
      </c>
      <c r="I122" s="68"/>
      <c r="J122" s="69"/>
      <c r="K122" s="70"/>
      <c r="L122" s="71"/>
      <c r="M122" s="72" t="s">
        <v>1430</v>
      </c>
      <c r="N122" s="90">
        <f>15644-N121</f>
        <v>15634</v>
      </c>
      <c r="O122" s="74" t="s">
        <v>155</v>
      </c>
      <c r="P122" s="75">
        <v>0.7388888888888889</v>
      </c>
      <c r="R122" s="39"/>
      <c r="S122" s="186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45733.0</v>
      </c>
      <c r="I123" s="68"/>
      <c r="J123" s="69"/>
      <c r="K123" s="70"/>
      <c r="L123" s="88"/>
      <c r="M123" s="72" t="s">
        <v>1340</v>
      </c>
      <c r="N123" s="90">
        <v>605.5</v>
      </c>
      <c r="O123" s="74" t="s">
        <v>1431</v>
      </c>
      <c r="P123" s="75">
        <v>0.7520833333333333</v>
      </c>
      <c r="R123" s="39"/>
      <c r="S123" s="186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45734.0</v>
      </c>
      <c r="I124" s="68" t="s">
        <v>1385</v>
      </c>
      <c r="J124" s="69">
        <v>3375.0</v>
      </c>
      <c r="K124" s="70" t="s">
        <v>1432</v>
      </c>
      <c r="L124" s="71">
        <v>0.5354166666666667</v>
      </c>
      <c r="M124" s="72" t="s">
        <v>1345</v>
      </c>
      <c r="N124" s="90">
        <v>3896.01</v>
      </c>
      <c r="O124" s="74" t="s">
        <v>1433</v>
      </c>
      <c r="P124" s="75">
        <v>0.5861111111111111</v>
      </c>
      <c r="R124" s="39"/>
      <c r="S124" s="18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45734.0</v>
      </c>
      <c r="I125" s="68"/>
      <c r="J125" s="69"/>
      <c r="K125" s="70"/>
      <c r="L125" s="71"/>
      <c r="M125" s="72" t="s">
        <v>1350</v>
      </c>
      <c r="N125" s="90">
        <v>424.81</v>
      </c>
      <c r="O125" s="74"/>
      <c r="P125" s="75">
        <v>0.5881944444444445</v>
      </c>
      <c r="R125" s="39"/>
      <c r="S125" s="186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45734.0</v>
      </c>
      <c r="I126" s="68" t="s">
        <v>27</v>
      </c>
      <c r="J126" s="69">
        <v>297.85</v>
      </c>
      <c r="K126" s="70" t="s">
        <v>155</v>
      </c>
      <c r="L126" s="71">
        <v>0.6986111111111111</v>
      </c>
      <c r="M126" s="72" t="s">
        <v>1248</v>
      </c>
      <c r="N126" s="90">
        <v>1040.0</v>
      </c>
      <c r="O126" s="74" t="s">
        <v>1434</v>
      </c>
      <c r="P126" s="75">
        <v>0.7875</v>
      </c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45734.0</v>
      </c>
      <c r="I127" s="84"/>
      <c r="J127" s="17"/>
      <c r="K127" s="85"/>
      <c r="L127" s="86"/>
      <c r="M127" s="72" t="s">
        <v>20</v>
      </c>
      <c r="N127" s="90">
        <v>48.0</v>
      </c>
      <c r="O127" s="74" t="s">
        <v>1435</v>
      </c>
      <c r="P127" s="75">
        <v>0.9513888888888888</v>
      </c>
      <c r="R127" s="39"/>
      <c r="S127" s="186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45734.0</v>
      </c>
      <c r="I128" s="68"/>
      <c r="J128" s="69"/>
      <c r="K128" s="87"/>
      <c r="L128" s="88"/>
      <c r="M128" s="72" t="s">
        <v>671</v>
      </c>
      <c r="N128" s="90">
        <v>9338.0</v>
      </c>
      <c r="O128" s="74"/>
      <c r="P128" s="75">
        <v>0.9534722222222223</v>
      </c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45735.0</v>
      </c>
      <c r="I129" s="68"/>
      <c r="J129" s="69"/>
      <c r="K129" s="70"/>
      <c r="L129" s="88"/>
      <c r="M129" s="72" t="s">
        <v>1345</v>
      </c>
      <c r="N129" s="90">
        <v>976.24</v>
      </c>
      <c r="O129" s="74" t="s">
        <v>1436</v>
      </c>
      <c r="P129" s="75">
        <v>0.575</v>
      </c>
      <c r="R129" s="39"/>
      <c r="S129" s="186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45735.0</v>
      </c>
      <c r="I130" s="68"/>
      <c r="J130" s="69"/>
      <c r="K130" s="70"/>
      <c r="L130" s="71"/>
      <c r="M130" s="72" t="s">
        <v>1340</v>
      </c>
      <c r="N130" s="90">
        <v>1111.0</v>
      </c>
      <c r="O130" s="74" t="s">
        <v>1437</v>
      </c>
      <c r="P130" s="75">
        <v>0.5847222222222223</v>
      </c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45735.0</v>
      </c>
      <c r="I131" s="68"/>
      <c r="J131" s="69"/>
      <c r="K131" s="70"/>
      <c r="L131" s="71"/>
      <c r="M131" s="72" t="s">
        <v>1345</v>
      </c>
      <c r="N131" s="90">
        <v>3484.5</v>
      </c>
      <c r="O131" s="74" t="s">
        <v>1438</v>
      </c>
      <c r="P131" s="75">
        <v>0.5875</v>
      </c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45735.0</v>
      </c>
      <c r="I132" s="68" t="s">
        <v>1396</v>
      </c>
      <c r="J132" s="69">
        <v>2138.39</v>
      </c>
      <c r="K132" s="70"/>
      <c r="L132" s="71">
        <v>0.6326388888888889</v>
      </c>
      <c r="M132" s="72" t="s">
        <v>1350</v>
      </c>
      <c r="N132" s="90">
        <v>1211.05</v>
      </c>
      <c r="O132" s="74" t="s">
        <v>1439</v>
      </c>
      <c r="P132" s="75">
        <v>0.6659722222222222</v>
      </c>
      <c r="R132" s="39"/>
      <c r="S132" s="186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45735.0</v>
      </c>
      <c r="I133" s="68" t="s">
        <v>1397</v>
      </c>
      <c r="J133" s="69">
        <v>3750.0</v>
      </c>
      <c r="K133" s="70" t="s">
        <v>1440</v>
      </c>
      <c r="L133" s="71">
        <v>0.6881944444444444</v>
      </c>
      <c r="M133" s="72" t="s">
        <v>20</v>
      </c>
      <c r="N133" s="90">
        <v>96.0</v>
      </c>
      <c r="O133" s="74" t="s">
        <v>616</v>
      </c>
      <c r="P133" s="75">
        <v>0.7534722222222222</v>
      </c>
      <c r="R133" s="39"/>
      <c r="S133" s="186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45735.0</v>
      </c>
      <c r="I134" s="68" t="s">
        <v>1385</v>
      </c>
      <c r="J134" s="69">
        <v>3105.0</v>
      </c>
      <c r="K134" s="70" t="s">
        <v>1441</v>
      </c>
      <c r="L134" s="71">
        <v>0.8409722222222222</v>
      </c>
      <c r="M134" s="72" t="s">
        <v>1223</v>
      </c>
      <c r="N134" s="90">
        <v>500.74</v>
      </c>
      <c r="O134" s="74"/>
      <c r="P134" s="75">
        <v>0.8729166666666667</v>
      </c>
      <c r="R134" s="39"/>
      <c r="S134" s="186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45735.0</v>
      </c>
      <c r="I135" s="68"/>
      <c r="J135" s="69"/>
      <c r="K135" s="70"/>
      <c r="L135" s="88"/>
      <c r="M135" s="72" t="s">
        <v>671</v>
      </c>
      <c r="N135" s="90">
        <v>8533.0</v>
      </c>
      <c r="O135" s="96"/>
      <c r="P135" s="75">
        <v>0.9298611111111111</v>
      </c>
      <c r="R135" s="39"/>
      <c r="S135" s="186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45736.0</v>
      </c>
      <c r="I136" s="68" t="s">
        <v>1400</v>
      </c>
      <c r="J136" s="69">
        <v>415.0</v>
      </c>
      <c r="K136" s="70" t="s">
        <v>1442</v>
      </c>
      <c r="L136" s="71">
        <v>0.20069444444444445</v>
      </c>
      <c r="M136" s="72" t="s">
        <v>1352</v>
      </c>
      <c r="N136" s="90">
        <v>150.0</v>
      </c>
      <c r="O136" s="74" t="s">
        <v>427</v>
      </c>
      <c r="P136" s="75">
        <v>0.45069444444444445</v>
      </c>
      <c r="R136" s="39"/>
      <c r="S136" s="186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45736.0</v>
      </c>
      <c r="I137" s="68"/>
      <c r="J137" s="69"/>
      <c r="K137" s="70"/>
      <c r="L137" s="71"/>
      <c r="M137" s="72" t="s">
        <v>14</v>
      </c>
      <c r="N137" s="90">
        <v>10000.0</v>
      </c>
      <c r="O137" s="74" t="s">
        <v>120</v>
      </c>
      <c r="P137" s="75">
        <v>0.5805555555555556</v>
      </c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45736.0</v>
      </c>
      <c r="I138" s="68"/>
      <c r="J138" s="69"/>
      <c r="K138" s="85"/>
      <c r="L138" s="71"/>
      <c r="M138" s="72" t="s">
        <v>1345</v>
      </c>
      <c r="N138" s="90">
        <v>31411.0</v>
      </c>
      <c r="O138" s="74" t="s">
        <v>1443</v>
      </c>
      <c r="P138" s="75">
        <v>0.5861111111111111</v>
      </c>
      <c r="R138" s="39"/>
      <c r="S138" s="186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45736.0</v>
      </c>
      <c r="I139" s="154"/>
      <c r="J139" s="17"/>
      <c r="K139" s="70"/>
      <c r="L139" s="71"/>
      <c r="M139" s="72" t="s">
        <v>20</v>
      </c>
      <c r="N139" s="90">
        <v>20.0</v>
      </c>
      <c r="O139" s="74" t="s">
        <v>1156</v>
      </c>
      <c r="P139" s="75">
        <v>0.6152777777777778</v>
      </c>
      <c r="Q139" s="41"/>
      <c r="R139" s="39"/>
      <c r="S139" s="186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45736.0</v>
      </c>
      <c r="I140" s="154" t="s">
        <v>1394</v>
      </c>
      <c r="J140" s="17">
        <v>100.0</v>
      </c>
      <c r="K140" s="70"/>
      <c r="L140" s="71">
        <v>0.6409722222222223</v>
      </c>
      <c r="M140" s="72"/>
      <c r="N140" s="90"/>
      <c r="O140" s="74"/>
      <c r="P140" s="75"/>
      <c r="R140" s="39"/>
      <c r="S140" s="18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45736.0</v>
      </c>
      <c r="I141" s="154" t="s">
        <v>1394</v>
      </c>
      <c r="J141" s="17">
        <v>49900.0</v>
      </c>
      <c r="K141" s="70"/>
      <c r="L141" s="71">
        <v>0.6423611111111112</v>
      </c>
      <c r="M141" s="72"/>
      <c r="N141" s="90"/>
      <c r="O141" s="74"/>
      <c r="P141" s="75"/>
      <c r="R141" s="39"/>
      <c r="S141" s="186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45736.0</v>
      </c>
      <c r="I142" s="68" t="s">
        <v>1229</v>
      </c>
      <c r="J142" s="69">
        <v>3400.0</v>
      </c>
      <c r="K142" s="70" t="s">
        <v>155</v>
      </c>
      <c r="L142" s="71">
        <v>0.9375</v>
      </c>
      <c r="M142" s="72" t="s">
        <v>671</v>
      </c>
      <c r="N142" s="90">
        <v>8280.0</v>
      </c>
      <c r="O142" s="74"/>
      <c r="P142" s="75">
        <v>0.9784722222222222</v>
      </c>
      <c r="R142" s="39"/>
      <c r="S142" s="186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45736.0</v>
      </c>
      <c r="I143" s="68"/>
      <c r="J143" s="69"/>
      <c r="K143" s="70"/>
      <c r="L143" s="71"/>
      <c r="M143" s="72" t="s">
        <v>1352</v>
      </c>
      <c r="N143" s="90">
        <v>309.0</v>
      </c>
      <c r="O143" s="74" t="s">
        <v>1444</v>
      </c>
      <c r="P143" s="75">
        <v>0.9854166666666667</v>
      </c>
      <c r="Q143" s="41"/>
      <c r="R143" s="39"/>
      <c r="S143" s="186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45737.0</v>
      </c>
      <c r="I144" s="68" t="s">
        <v>1385</v>
      </c>
      <c r="J144" s="69">
        <v>3240.0</v>
      </c>
      <c r="K144" s="70" t="s">
        <v>1445</v>
      </c>
      <c r="L144" s="71">
        <v>0.034722222222222224</v>
      </c>
      <c r="M144" s="72" t="s">
        <v>1225</v>
      </c>
      <c r="N144" s="90">
        <v>8349.0</v>
      </c>
      <c r="O144" s="74"/>
      <c r="P144" s="75">
        <v>0.5243055555555556</v>
      </c>
      <c r="R144" s="39"/>
      <c r="S144" s="186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45737.0</v>
      </c>
      <c r="I145" s="68"/>
      <c r="J145" s="69"/>
      <c r="K145" s="87"/>
      <c r="L145" s="71"/>
      <c r="M145" s="72" t="s">
        <v>1345</v>
      </c>
      <c r="N145" s="90">
        <v>35552.0</v>
      </c>
      <c r="O145" s="74" t="s">
        <v>1446</v>
      </c>
      <c r="P145" s="75">
        <v>0.5854166666666667</v>
      </c>
      <c r="R145" s="39"/>
      <c r="S145" s="186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45737.0</v>
      </c>
      <c r="I146" s="68"/>
      <c r="J146" s="69"/>
      <c r="K146" s="87"/>
      <c r="L146" s="71"/>
      <c r="M146" s="72" t="s">
        <v>1345</v>
      </c>
      <c r="N146" s="90">
        <v>1111.0</v>
      </c>
      <c r="O146" s="74" t="s">
        <v>1153</v>
      </c>
      <c r="P146" s="75">
        <v>0.6340277777777777</v>
      </c>
      <c r="R146" s="39"/>
      <c r="S146" s="186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45737.0</v>
      </c>
      <c r="I147" s="84"/>
      <c r="J147" s="17"/>
      <c r="K147" s="85"/>
      <c r="L147" s="86"/>
      <c r="M147" s="72" t="s">
        <v>20</v>
      </c>
      <c r="N147" s="90">
        <v>13.0</v>
      </c>
      <c r="O147" s="74" t="s">
        <v>1447</v>
      </c>
      <c r="P147" s="75">
        <v>0.7215277777777778</v>
      </c>
      <c r="R147" s="39"/>
      <c r="S147" s="186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45737.0</v>
      </c>
      <c r="I148" s="84" t="s">
        <v>1394</v>
      </c>
      <c r="J148" s="17">
        <v>100.0</v>
      </c>
      <c r="K148" s="85"/>
      <c r="L148" s="71">
        <v>0.73125</v>
      </c>
      <c r="M148" s="72"/>
      <c r="N148" s="90"/>
      <c r="O148" s="96"/>
      <c r="P148" s="75"/>
      <c r="Q148" s="41"/>
      <c r="R148" s="39"/>
      <c r="S148" s="186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45737.0</v>
      </c>
      <c r="I149" s="84" t="s">
        <v>1394</v>
      </c>
      <c r="J149" s="17">
        <v>49900.0</v>
      </c>
      <c r="K149" s="85"/>
      <c r="L149" s="71">
        <v>0.7319444444444444</v>
      </c>
      <c r="M149" s="72" t="s">
        <v>1352</v>
      </c>
      <c r="N149" s="90">
        <v>333.0</v>
      </c>
      <c r="O149" s="74" t="s">
        <v>1448</v>
      </c>
      <c r="P149" s="75">
        <v>0.9027777777777778</v>
      </c>
      <c r="R149" s="39"/>
      <c r="S149" s="18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45737.0</v>
      </c>
      <c r="I150" s="84"/>
      <c r="J150" s="17"/>
      <c r="K150" s="85"/>
      <c r="L150" s="86"/>
      <c r="M150" s="72" t="s">
        <v>671</v>
      </c>
      <c r="N150" s="90">
        <v>5359.0</v>
      </c>
      <c r="O150" s="74"/>
      <c r="P150" s="75">
        <v>0.9048611111111111</v>
      </c>
      <c r="R150" s="39"/>
      <c r="S150" s="186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45737.0</v>
      </c>
      <c r="I151" s="68"/>
      <c r="J151" s="69"/>
      <c r="K151" s="70"/>
      <c r="L151" s="88"/>
      <c r="M151" s="72" t="s">
        <v>1352</v>
      </c>
      <c r="N151" s="90">
        <v>150.0</v>
      </c>
      <c r="O151" s="74" t="s">
        <v>427</v>
      </c>
      <c r="P151" s="75">
        <v>0.9277777777777778</v>
      </c>
      <c r="R151" s="39"/>
      <c r="S151" s="186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45738.0</v>
      </c>
      <c r="I152" s="68"/>
      <c r="J152" s="69"/>
      <c r="K152" s="70"/>
      <c r="L152" s="71"/>
      <c r="M152" s="72" t="s">
        <v>1352</v>
      </c>
      <c r="N152" s="90">
        <v>321.0</v>
      </c>
      <c r="O152" s="74" t="s">
        <v>1449</v>
      </c>
      <c r="P152" s="75">
        <v>0.5034722222222222</v>
      </c>
      <c r="R152" s="39"/>
      <c r="S152" s="186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45738.0</v>
      </c>
      <c r="I153" s="68"/>
      <c r="J153" s="69"/>
      <c r="K153" s="85"/>
      <c r="L153" s="71"/>
      <c r="M153" s="72" t="s">
        <v>1219</v>
      </c>
      <c r="N153" s="90">
        <v>270.0</v>
      </c>
      <c r="O153" s="74" t="s">
        <v>427</v>
      </c>
      <c r="P153" s="75">
        <v>0.5326388888888889</v>
      </c>
      <c r="R153" s="39"/>
      <c r="S153" s="186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45738.0</v>
      </c>
      <c r="I154" s="84"/>
      <c r="J154" s="17"/>
      <c r="K154" s="85"/>
      <c r="L154" s="86"/>
      <c r="M154" s="72" t="s">
        <v>20</v>
      </c>
      <c r="N154" s="90">
        <v>41.0</v>
      </c>
      <c r="O154" s="74" t="s">
        <v>1450</v>
      </c>
      <c r="P154" s="75">
        <v>0.5770833333333333</v>
      </c>
      <c r="R154" s="39"/>
      <c r="S154" s="76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45738.0</v>
      </c>
      <c r="I155" s="68"/>
      <c r="J155" s="69"/>
      <c r="K155" s="85"/>
      <c r="L155" s="71"/>
      <c r="M155" s="72" t="s">
        <v>1340</v>
      </c>
      <c r="N155" s="90">
        <v>181.2</v>
      </c>
      <c r="O155" s="74" t="s">
        <v>427</v>
      </c>
      <c r="P155" s="75">
        <v>0.5875</v>
      </c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45738.0</v>
      </c>
      <c r="I156" s="84"/>
      <c r="J156" s="17"/>
      <c r="K156" s="85"/>
      <c r="L156" s="86"/>
      <c r="M156" s="72" t="s">
        <v>1345</v>
      </c>
      <c r="N156" s="90">
        <v>31108.0</v>
      </c>
      <c r="O156" s="74" t="s">
        <v>1451</v>
      </c>
      <c r="P156" s="75">
        <v>0.5895833333333333</v>
      </c>
      <c r="R156" s="39"/>
      <c r="S156" s="186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45738.0</v>
      </c>
      <c r="I157" s="68"/>
      <c r="J157" s="69"/>
      <c r="K157" s="87"/>
      <c r="L157" s="71"/>
      <c r="M157" s="72" t="s">
        <v>1352</v>
      </c>
      <c r="N157" s="90">
        <v>150.0</v>
      </c>
      <c r="O157" s="74" t="s">
        <v>427</v>
      </c>
      <c r="P157" s="75">
        <v>0.6652777777777777</v>
      </c>
      <c r="R157" s="39"/>
      <c r="S157" s="186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45738.0</v>
      </c>
      <c r="I158" s="68"/>
      <c r="J158" s="69"/>
      <c r="K158" s="70"/>
      <c r="L158" s="71"/>
      <c r="M158" s="72" t="s">
        <v>1356</v>
      </c>
      <c r="N158" s="90">
        <v>200.0</v>
      </c>
      <c r="O158" s="74" t="s">
        <v>427</v>
      </c>
      <c r="P158" s="75">
        <v>0.6784722222222223</v>
      </c>
      <c r="R158" s="39"/>
      <c r="S158" s="186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45738.0</v>
      </c>
      <c r="I159" s="68"/>
      <c r="J159" s="69"/>
      <c r="K159" s="85"/>
      <c r="L159" s="71"/>
      <c r="M159" s="72" t="s">
        <v>1352</v>
      </c>
      <c r="N159" s="90">
        <v>321.0</v>
      </c>
      <c r="O159" s="74" t="s">
        <v>1449</v>
      </c>
      <c r="P159" s="75">
        <v>0.6798611111111111</v>
      </c>
      <c r="R159" s="39"/>
      <c r="S159" s="186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45738.0</v>
      </c>
      <c r="I160" s="154"/>
      <c r="J160" s="17"/>
      <c r="K160" s="93"/>
      <c r="L160" s="155"/>
      <c r="M160" s="72" t="s">
        <v>1354</v>
      </c>
      <c r="N160" s="90">
        <v>100.0</v>
      </c>
      <c r="O160" s="74" t="s">
        <v>427</v>
      </c>
      <c r="P160" s="75">
        <v>0.6805555555555556</v>
      </c>
      <c r="R160" s="39"/>
      <c r="S160" s="186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45738.0</v>
      </c>
      <c r="I161" s="154" t="s">
        <v>1394</v>
      </c>
      <c r="J161" s="17">
        <v>100.0</v>
      </c>
      <c r="K161" s="93"/>
      <c r="L161" s="71">
        <v>0.8041666666666667</v>
      </c>
      <c r="M161" s="72"/>
      <c r="N161" s="90"/>
      <c r="O161" s="74"/>
      <c r="P161" s="75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45738.0</v>
      </c>
      <c r="I162" s="154" t="s">
        <v>1394</v>
      </c>
      <c r="J162" s="17">
        <v>49900.0</v>
      </c>
      <c r="K162" s="87"/>
      <c r="L162" s="71">
        <v>0.8048611111111111</v>
      </c>
      <c r="M162" s="72" t="s">
        <v>20</v>
      </c>
      <c r="N162" s="90">
        <v>13.0</v>
      </c>
      <c r="O162" s="74" t="s">
        <v>1452</v>
      </c>
      <c r="P162" s="75">
        <v>0.8430555555555556</v>
      </c>
      <c r="R162" s="39"/>
      <c r="S162" s="76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45738.0</v>
      </c>
      <c r="I163" s="68"/>
      <c r="J163" s="69"/>
      <c r="K163" s="87"/>
      <c r="L163" s="71"/>
      <c r="M163" s="72" t="s">
        <v>671</v>
      </c>
      <c r="N163" s="90">
        <v>17894.0</v>
      </c>
      <c r="O163" s="74"/>
      <c r="P163" s="75">
        <v>0.8604166666666667</v>
      </c>
      <c r="R163" s="39"/>
      <c r="S163" s="186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45739.0</v>
      </c>
      <c r="I164" s="68"/>
      <c r="J164" s="69"/>
      <c r="K164" s="87"/>
      <c r="L164" s="71"/>
      <c r="M164" s="72" t="s">
        <v>1340</v>
      </c>
      <c r="N164" s="90">
        <v>3396.6</v>
      </c>
      <c r="O164" s="74" t="s">
        <v>1453</v>
      </c>
      <c r="P164" s="75">
        <v>0.6104166666666667</v>
      </c>
      <c r="R164" s="39"/>
      <c r="S164" s="186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45739.0</v>
      </c>
      <c r="I165" s="154" t="s">
        <v>1394</v>
      </c>
      <c r="J165" s="17">
        <v>100.0</v>
      </c>
      <c r="K165" s="70"/>
      <c r="L165" s="71">
        <v>0.6791666666666667</v>
      </c>
      <c r="M165" s="72"/>
      <c r="N165" s="90"/>
      <c r="O165" s="74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45739.0</v>
      </c>
      <c r="I166" s="154" t="s">
        <v>1394</v>
      </c>
      <c r="J166" s="17">
        <v>49900.0</v>
      </c>
      <c r="K166" s="87"/>
      <c r="L166" s="71">
        <v>0.6875</v>
      </c>
      <c r="M166" s="147" t="s">
        <v>1225</v>
      </c>
      <c r="N166" s="90">
        <v>9591.0</v>
      </c>
      <c r="O166" s="74"/>
      <c r="P166" s="75">
        <v>0.7395833333333334</v>
      </c>
      <c r="R166" s="39"/>
      <c r="S166" s="76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45739.0</v>
      </c>
      <c r="I167" s="68" t="s">
        <v>1401</v>
      </c>
      <c r="J167" s="69">
        <v>50000.0</v>
      </c>
      <c r="K167" s="85"/>
      <c r="L167" s="71">
        <v>0.9854166666666667</v>
      </c>
      <c r="M167" s="72"/>
      <c r="N167" s="90"/>
      <c r="O167" s="74"/>
      <c r="P167" s="75"/>
      <c r="Q167" s="41"/>
      <c r="R167" s="39"/>
      <c r="S167" s="186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45740.0</v>
      </c>
      <c r="I168" s="68"/>
      <c r="J168" s="69"/>
      <c r="K168" s="70"/>
      <c r="L168" s="71"/>
      <c r="M168" s="72" t="s">
        <v>1340</v>
      </c>
      <c r="N168" s="90">
        <v>2262.4</v>
      </c>
      <c r="O168" s="74" t="s">
        <v>1454</v>
      </c>
      <c r="P168" s="75">
        <v>0.5923611111111111</v>
      </c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45740.0</v>
      </c>
      <c r="I169" s="84"/>
      <c r="J169" s="17"/>
      <c r="K169" s="85"/>
      <c r="L169" s="86"/>
      <c r="M169" s="72" t="s">
        <v>1345</v>
      </c>
      <c r="N169" s="90">
        <v>21109.0</v>
      </c>
      <c r="O169" s="74" t="s">
        <v>1314</v>
      </c>
      <c r="P169" s="75">
        <v>0.59375</v>
      </c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45740.0</v>
      </c>
      <c r="I170" s="84"/>
      <c r="J170" s="17"/>
      <c r="K170" s="85"/>
      <c r="L170" s="86"/>
      <c r="M170" s="147" t="s">
        <v>1368</v>
      </c>
      <c r="N170" s="90">
        <v>4600.0</v>
      </c>
      <c r="O170" s="74"/>
      <c r="P170" s="75">
        <v>0.6326388888888889</v>
      </c>
      <c r="R170" s="39"/>
      <c r="S170" s="186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45740.0</v>
      </c>
      <c r="I171" s="68" t="s">
        <v>1455</v>
      </c>
      <c r="J171" s="69">
        <v>31733.7</v>
      </c>
      <c r="K171" s="70" t="s">
        <v>155</v>
      </c>
      <c r="L171" s="71">
        <v>0.7631944444444444</v>
      </c>
      <c r="M171" s="72" t="s">
        <v>1223</v>
      </c>
      <c r="N171" s="90">
        <v>1020.24</v>
      </c>
      <c r="O171" s="74"/>
      <c r="P171" s="75">
        <v>0.7958333333333333</v>
      </c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45740.0</v>
      </c>
      <c r="I172" s="68" t="s">
        <v>1254</v>
      </c>
      <c r="J172" s="69">
        <v>50000.0</v>
      </c>
      <c r="K172" s="87"/>
      <c r="L172" s="71">
        <v>0.7965277777777777</v>
      </c>
      <c r="M172" s="147" t="s">
        <v>1368</v>
      </c>
      <c r="N172" s="90">
        <v>4600.0</v>
      </c>
      <c r="O172" s="74"/>
      <c r="P172" s="75">
        <v>0.8201388888888889</v>
      </c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45740.0</v>
      </c>
      <c r="I173" s="154"/>
      <c r="J173" s="17"/>
      <c r="K173" s="87"/>
      <c r="L173" s="71"/>
      <c r="M173" s="72" t="s">
        <v>1225</v>
      </c>
      <c r="N173" s="90">
        <v>9154.0</v>
      </c>
      <c r="O173" s="74"/>
      <c r="P173" s="75">
        <v>0.8388888888888889</v>
      </c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45740.0</v>
      </c>
      <c r="I174" s="84"/>
      <c r="J174" s="69"/>
      <c r="K174" s="87"/>
      <c r="L174" s="71"/>
      <c r="M174" s="72" t="s">
        <v>671</v>
      </c>
      <c r="N174" s="90">
        <v>7291.0</v>
      </c>
      <c r="O174" s="74"/>
      <c r="P174" s="75">
        <v>0.8847222222222222</v>
      </c>
      <c r="R174" s="39"/>
      <c r="S174" s="186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45740.0</v>
      </c>
      <c r="I175" s="68"/>
      <c r="J175" s="69"/>
      <c r="K175" s="85"/>
      <c r="L175" s="71"/>
      <c r="M175" s="72" t="s">
        <v>14</v>
      </c>
      <c r="N175" s="90">
        <v>394.0</v>
      </c>
      <c r="O175" s="74" t="s">
        <v>1456</v>
      </c>
      <c r="P175" s="75">
        <v>0.9680555555555556</v>
      </c>
      <c r="R175" s="39"/>
      <c r="S175" s="186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45741.0</v>
      </c>
      <c r="I176" s="84"/>
      <c r="J176" s="69"/>
      <c r="K176" s="70"/>
      <c r="L176" s="71"/>
      <c r="M176" s="72" t="s">
        <v>30</v>
      </c>
      <c r="N176" s="90">
        <v>567.563</v>
      </c>
      <c r="O176" s="74"/>
      <c r="P176" s="75">
        <v>0.4701388888888889</v>
      </c>
      <c r="R176" s="39"/>
      <c r="S176" s="186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>
        <v>45741.0</v>
      </c>
      <c r="I177" s="68"/>
      <c r="J177" s="69"/>
      <c r="K177" s="70"/>
      <c r="L177" s="71"/>
      <c r="M177" s="147" t="s">
        <v>1368</v>
      </c>
      <c r="N177" s="90">
        <v>4600.0</v>
      </c>
      <c r="O177" s="74" t="s">
        <v>1457</v>
      </c>
      <c r="P177" s="75">
        <v>0.5277777777777778</v>
      </c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>
        <v>45741.0</v>
      </c>
      <c r="I178" s="68"/>
      <c r="J178" s="69"/>
      <c r="K178" s="87"/>
      <c r="L178" s="71"/>
      <c r="M178" s="72" t="s">
        <v>30</v>
      </c>
      <c r="N178" s="90">
        <v>1635.0</v>
      </c>
      <c r="O178" s="74" t="s">
        <v>1458</v>
      </c>
      <c r="P178" s="75">
        <v>0.5319444444444444</v>
      </c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>
        <v>45741.0</v>
      </c>
      <c r="I179" s="68"/>
      <c r="J179" s="69"/>
      <c r="K179" s="87"/>
      <c r="L179" s="71"/>
      <c r="M179" s="72" t="s">
        <v>1357</v>
      </c>
      <c r="N179" s="90">
        <v>480.0</v>
      </c>
      <c r="O179" s="74" t="s">
        <v>1459</v>
      </c>
      <c r="P179" s="75">
        <v>0.5965277777777778</v>
      </c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>
        <v>45741.0</v>
      </c>
      <c r="I180" s="84"/>
      <c r="J180" s="17"/>
      <c r="K180" s="85"/>
      <c r="L180" s="86"/>
      <c r="M180" s="72" t="s">
        <v>20</v>
      </c>
      <c r="N180" s="90">
        <v>37.22</v>
      </c>
      <c r="O180" s="74" t="s">
        <v>1460</v>
      </c>
      <c r="P180" s="75">
        <v>0.6277777777777778</v>
      </c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>
        <v>45741.0</v>
      </c>
      <c r="I181" s="84"/>
      <c r="J181" s="17"/>
      <c r="K181" s="85"/>
      <c r="L181" s="86"/>
      <c r="M181" s="72" t="s">
        <v>30</v>
      </c>
      <c r="N181" s="90">
        <v>1090.0</v>
      </c>
      <c r="O181" s="74" t="s">
        <v>1263</v>
      </c>
      <c r="P181" s="75">
        <v>0.6597222222222222</v>
      </c>
      <c r="R181" s="39"/>
      <c r="S181" s="186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>
        <v>45741.0</v>
      </c>
      <c r="I182" s="68" t="s">
        <v>173</v>
      </c>
      <c r="J182" s="69">
        <v>127.0</v>
      </c>
      <c r="K182" s="70" t="s">
        <v>1461</v>
      </c>
      <c r="L182" s="71">
        <v>0.7340277777777777</v>
      </c>
      <c r="M182" s="72"/>
      <c r="N182" s="90"/>
      <c r="O182" s="74"/>
      <c r="P182" s="75"/>
      <c r="R182" s="39"/>
      <c r="S182" s="186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>
        <v>45741.0</v>
      </c>
      <c r="I183" s="68" t="s">
        <v>1356</v>
      </c>
      <c r="J183" s="69">
        <v>200.0</v>
      </c>
      <c r="K183" s="70" t="s">
        <v>155</v>
      </c>
      <c r="L183" s="71">
        <v>0.93125</v>
      </c>
      <c r="M183" s="72"/>
      <c r="N183" s="90"/>
      <c r="O183" s="74"/>
      <c r="P183" s="75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>
        <v>45742.0</v>
      </c>
      <c r="I184" s="68"/>
      <c r="J184" s="69"/>
      <c r="K184" s="87"/>
      <c r="L184" s="71"/>
      <c r="M184" s="72" t="s">
        <v>69</v>
      </c>
      <c r="N184" s="90">
        <v>330.0</v>
      </c>
      <c r="O184" s="74" t="s">
        <v>427</v>
      </c>
      <c r="P184" s="75">
        <v>0.4756944444444444</v>
      </c>
      <c r="R184" s="39"/>
      <c r="S184" s="186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>
        <v>45742.0</v>
      </c>
      <c r="I185" s="68" t="s">
        <v>1397</v>
      </c>
      <c r="J185" s="69">
        <v>3750.0</v>
      </c>
      <c r="K185" s="70" t="s">
        <v>1440</v>
      </c>
      <c r="L185" s="71">
        <v>0.4895833333333333</v>
      </c>
      <c r="M185" s="72" t="s">
        <v>30</v>
      </c>
      <c r="N185" s="90">
        <v>3815.0</v>
      </c>
      <c r="O185" s="74" t="s">
        <v>1462</v>
      </c>
      <c r="P185" s="75">
        <v>0.5333333333333333</v>
      </c>
      <c r="R185" s="39"/>
      <c r="S185" s="186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>
        <v>45742.0</v>
      </c>
      <c r="I186" s="84"/>
      <c r="J186" s="17"/>
      <c r="K186" s="85"/>
      <c r="L186" s="86"/>
      <c r="M186" s="72" t="s">
        <v>30</v>
      </c>
      <c r="N186" s="90">
        <v>1635.0</v>
      </c>
      <c r="O186" s="74" t="s">
        <v>1463</v>
      </c>
      <c r="P186" s="75"/>
      <c r="R186" s="39"/>
      <c r="S186" s="186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>
        <v>45742.0</v>
      </c>
      <c r="I187" s="68" t="s">
        <v>1403</v>
      </c>
      <c r="J187" s="69">
        <v>20000.0</v>
      </c>
      <c r="K187" s="85"/>
      <c r="L187" s="71">
        <v>0.5743055555555555</v>
      </c>
      <c r="M187" s="72" t="s">
        <v>1370</v>
      </c>
      <c r="N187" s="90">
        <v>1390.0</v>
      </c>
      <c r="O187" s="74" t="s">
        <v>1464</v>
      </c>
      <c r="P187" s="75">
        <v>0.6409722222222223</v>
      </c>
      <c r="Q187" s="41"/>
      <c r="R187" s="39"/>
      <c r="S187" s="186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>
        <v>45742.0</v>
      </c>
      <c r="I188" s="68"/>
      <c r="J188" s="69"/>
      <c r="K188" s="70"/>
      <c r="L188" s="71"/>
      <c r="M188" s="72" t="s">
        <v>1225</v>
      </c>
      <c r="N188" s="90">
        <v>12926.0</v>
      </c>
      <c r="O188" s="74"/>
      <c r="P188" s="75">
        <v>0.6673611111111111</v>
      </c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>
        <v>45742.0</v>
      </c>
      <c r="I189" s="84"/>
      <c r="J189" s="17"/>
      <c r="K189" s="85"/>
      <c r="L189" s="86"/>
      <c r="M189" s="72" t="s">
        <v>20</v>
      </c>
      <c r="N189" s="90">
        <v>20.0</v>
      </c>
      <c r="O189" s="74" t="s">
        <v>1465</v>
      </c>
      <c r="P189" s="75">
        <v>0.6965277777777777</v>
      </c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>
        <v>45742.0</v>
      </c>
      <c r="I190" s="84"/>
      <c r="J190" s="17"/>
      <c r="K190" s="85"/>
      <c r="L190" s="86"/>
      <c r="M190" s="72" t="s">
        <v>1368</v>
      </c>
      <c r="N190" s="90">
        <v>3956.0</v>
      </c>
      <c r="O190" s="74"/>
      <c r="P190" s="75">
        <v>0.7222222222222222</v>
      </c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>
        <v>45742.0</v>
      </c>
      <c r="I191" s="68" t="s">
        <v>1234</v>
      </c>
      <c r="J191" s="69">
        <v>50000.0</v>
      </c>
      <c r="K191" s="70"/>
      <c r="L191" s="71">
        <v>0.7395833333333334</v>
      </c>
      <c r="M191" s="72"/>
      <c r="N191" s="90"/>
      <c r="O191" s="74"/>
      <c r="P191" s="75"/>
      <c r="Q191" s="76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>
        <v>45742.0</v>
      </c>
      <c r="I192" s="68" t="s">
        <v>1347</v>
      </c>
      <c r="J192" s="69">
        <v>8640.8</v>
      </c>
      <c r="K192" s="85"/>
      <c r="L192" s="71">
        <v>0.74375</v>
      </c>
      <c r="M192" s="72" t="s">
        <v>1397</v>
      </c>
      <c r="N192" s="90">
        <v>10.0</v>
      </c>
      <c r="O192" s="74"/>
      <c r="P192" s="75">
        <v>0.8513888888888889</v>
      </c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>
        <v>45742.0</v>
      </c>
      <c r="I193" s="84"/>
      <c r="J193" s="17"/>
      <c r="K193" s="85"/>
      <c r="L193" s="86"/>
      <c r="M193" s="72" t="s">
        <v>1397</v>
      </c>
      <c r="N193" s="90">
        <f>2400-N192</f>
        <v>2390</v>
      </c>
      <c r="O193" s="74" t="s">
        <v>1466</v>
      </c>
      <c r="P193" s="75">
        <v>0.8534722222222222</v>
      </c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>
        <v>45742.0</v>
      </c>
      <c r="I194" s="68"/>
      <c r="J194" s="69"/>
      <c r="K194" s="70"/>
      <c r="L194" s="71"/>
      <c r="M194" s="72" t="s">
        <v>671</v>
      </c>
      <c r="N194" s="90">
        <v>19343.0</v>
      </c>
      <c r="O194" s="74"/>
      <c r="P194" s="75">
        <v>0.9625</v>
      </c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>
        <v>45743.0</v>
      </c>
      <c r="I195" s="84"/>
      <c r="J195" s="17"/>
      <c r="K195" s="85"/>
      <c r="L195" s="86"/>
      <c r="M195" s="72" t="s">
        <v>20</v>
      </c>
      <c r="N195" s="90">
        <v>70.0</v>
      </c>
      <c r="O195" s="74" t="s">
        <v>1467</v>
      </c>
      <c r="P195" s="75">
        <v>0.4625</v>
      </c>
      <c r="R195" s="39"/>
      <c r="S195" s="186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>
        <v>45743.0</v>
      </c>
      <c r="I196" s="68" t="s">
        <v>1340</v>
      </c>
      <c r="J196" s="69">
        <v>2000.0</v>
      </c>
      <c r="K196" s="70" t="s">
        <v>155</v>
      </c>
      <c r="L196" s="71">
        <v>0.4826388888888889</v>
      </c>
      <c r="M196" s="72" t="s">
        <v>1368</v>
      </c>
      <c r="N196" s="90">
        <v>4600.0</v>
      </c>
      <c r="O196" s="74"/>
      <c r="P196" s="75">
        <v>0.5451388888888888</v>
      </c>
      <c r="R196" s="39"/>
      <c r="S196" s="186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>
        <v>45743.0</v>
      </c>
      <c r="I197" s="68" t="s">
        <v>1406</v>
      </c>
      <c r="J197" s="69">
        <v>6250.0</v>
      </c>
      <c r="K197" s="70" t="s">
        <v>1244</v>
      </c>
      <c r="L197" s="71">
        <v>0.5673611111111111</v>
      </c>
      <c r="M197" s="72" t="s">
        <v>20</v>
      </c>
      <c r="N197" s="90">
        <v>120.0</v>
      </c>
      <c r="O197" s="74" t="s">
        <v>616</v>
      </c>
      <c r="P197" s="75">
        <v>0.7222222222222222</v>
      </c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>
        <v>45743.0</v>
      </c>
      <c r="I198" s="68"/>
      <c r="J198" s="69"/>
      <c r="K198" s="70"/>
      <c r="L198" s="71"/>
      <c r="M198" s="72" t="s">
        <v>1229</v>
      </c>
      <c r="N198" s="90">
        <v>3000.0</v>
      </c>
      <c r="O198" s="74"/>
      <c r="P198" s="75">
        <v>0.7291666666666666</v>
      </c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>
        <v>45743.0</v>
      </c>
      <c r="I199" s="68"/>
      <c r="J199" s="69"/>
      <c r="K199" s="85"/>
      <c r="L199" s="71"/>
      <c r="M199" s="72" t="s">
        <v>1224</v>
      </c>
      <c r="N199" s="90">
        <v>10.0</v>
      </c>
      <c r="O199" s="74"/>
      <c r="P199" s="75">
        <v>0.7597222222222222</v>
      </c>
      <c r="Q199" s="41"/>
      <c r="R199" s="39"/>
      <c r="S199" s="186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>
        <v>45743.0</v>
      </c>
      <c r="I200" s="84"/>
      <c r="J200" s="17"/>
      <c r="K200" s="85"/>
      <c r="L200" s="86"/>
      <c r="M200" s="72" t="s">
        <v>1224</v>
      </c>
      <c r="N200" s="90">
        <f>3000-N199</f>
        <v>2990</v>
      </c>
      <c r="O200" s="74"/>
      <c r="P200" s="75">
        <v>0.7625</v>
      </c>
      <c r="R200" s="39"/>
      <c r="S200" s="186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>
        <v>45743.0</v>
      </c>
      <c r="I201" s="84"/>
      <c r="J201" s="17"/>
      <c r="K201" s="85"/>
      <c r="L201" s="86"/>
      <c r="M201" s="72" t="s">
        <v>671</v>
      </c>
      <c r="N201" s="90">
        <v>8740.0</v>
      </c>
      <c r="O201" s="74"/>
      <c r="P201" s="75">
        <v>0.88125</v>
      </c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>
        <v>45743.0</v>
      </c>
      <c r="I202" s="84"/>
      <c r="J202" s="17"/>
      <c r="K202" s="85"/>
      <c r="L202" s="86"/>
      <c r="M202" s="72" t="s">
        <v>1225</v>
      </c>
      <c r="N202" s="90">
        <v>12604.0</v>
      </c>
      <c r="O202" s="74"/>
      <c r="P202" s="75">
        <v>0.8958333333333334</v>
      </c>
      <c r="Q202" s="41"/>
      <c r="R202" s="39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>
        <v>45744.0</v>
      </c>
      <c r="I203" s="84"/>
      <c r="J203" s="17"/>
      <c r="K203" s="85"/>
      <c r="L203" s="86"/>
      <c r="M203" s="72" t="s">
        <v>1345</v>
      </c>
      <c r="N203" s="90">
        <v>11980.41</v>
      </c>
      <c r="O203" s="74" t="s">
        <v>1468</v>
      </c>
      <c r="P203" s="75">
        <v>0.5923611111111111</v>
      </c>
      <c r="Q203" s="41"/>
      <c r="R203" s="39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>
        <v>45744.0</v>
      </c>
      <c r="I204" s="84" t="s">
        <v>1401</v>
      </c>
      <c r="J204" s="17">
        <v>50000.0</v>
      </c>
      <c r="K204" s="85"/>
      <c r="L204" s="71">
        <v>0.6458333333333334</v>
      </c>
      <c r="M204" s="72" t="s">
        <v>1225</v>
      </c>
      <c r="N204" s="90">
        <v>26588.0</v>
      </c>
      <c r="O204" s="74"/>
      <c r="P204" s="75">
        <v>0.6465277777777778</v>
      </c>
      <c r="Q204" s="41"/>
      <c r="R204" s="39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>
        <v>45744.0</v>
      </c>
      <c r="I205" s="68" t="s">
        <v>1394</v>
      </c>
      <c r="J205" s="69">
        <v>27200.0</v>
      </c>
      <c r="K205" s="85"/>
      <c r="L205" s="71">
        <v>0.7381944444444445</v>
      </c>
      <c r="M205" s="72"/>
      <c r="N205" s="90"/>
      <c r="O205" s="74"/>
      <c r="P205" s="75"/>
      <c r="Q205" s="41"/>
      <c r="R205" s="39"/>
      <c r="S205" s="186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>
        <v>45744.0</v>
      </c>
      <c r="I206" s="68" t="s">
        <v>1403</v>
      </c>
      <c r="J206" s="69">
        <v>50000.0</v>
      </c>
      <c r="K206" s="85"/>
      <c r="L206" s="71">
        <v>0.7708333333333334</v>
      </c>
      <c r="M206" s="72" t="s">
        <v>20</v>
      </c>
      <c r="N206" s="90">
        <v>34.5</v>
      </c>
      <c r="O206" s="74" t="s">
        <v>1469</v>
      </c>
      <c r="P206" s="75">
        <v>0.7861111111111111</v>
      </c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>
        <v>45744.0</v>
      </c>
      <c r="I207" s="68"/>
      <c r="J207" s="69"/>
      <c r="K207" s="85"/>
      <c r="L207" s="71"/>
      <c r="M207" s="72" t="s">
        <v>1368</v>
      </c>
      <c r="N207" s="90">
        <v>1909.0</v>
      </c>
      <c r="O207" s="74"/>
      <c r="P207" s="75">
        <v>0.8388888888888889</v>
      </c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>
        <v>45744.0</v>
      </c>
      <c r="I208" s="68"/>
      <c r="J208" s="69"/>
      <c r="K208" s="70"/>
      <c r="L208" s="71"/>
      <c r="M208" s="72" t="s">
        <v>20</v>
      </c>
      <c r="N208" s="90">
        <v>11.0</v>
      </c>
      <c r="O208" s="74" t="s">
        <v>1470</v>
      </c>
      <c r="P208" s="75">
        <v>0.9548611111111112</v>
      </c>
      <c r="Q208" s="41"/>
      <c r="R208" s="39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>
        <v>45745.0</v>
      </c>
      <c r="I209" s="84"/>
      <c r="J209" s="17"/>
      <c r="K209" s="85"/>
      <c r="L209" s="86"/>
      <c r="M209" s="72" t="s">
        <v>69</v>
      </c>
      <c r="N209" s="90">
        <v>280.0</v>
      </c>
      <c r="O209" s="74" t="s">
        <v>427</v>
      </c>
      <c r="P209" s="75">
        <v>0.42083333333333334</v>
      </c>
      <c r="Q209" s="41"/>
      <c r="R209" s="39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>
        <v>45745.0</v>
      </c>
      <c r="I210" s="68" t="s">
        <v>1340</v>
      </c>
      <c r="J210" s="69">
        <v>2847.0</v>
      </c>
      <c r="K210" s="70" t="s">
        <v>155</v>
      </c>
      <c r="L210" s="71">
        <v>0.5375</v>
      </c>
      <c r="M210" s="72" t="s">
        <v>1345</v>
      </c>
      <c r="N210" s="90">
        <v>31868.49</v>
      </c>
      <c r="O210" s="74" t="s">
        <v>1471</v>
      </c>
      <c r="P210" s="75">
        <v>0.5930555555555556</v>
      </c>
      <c r="Q210" s="41"/>
      <c r="R210" s="39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>
        <v>45745.0</v>
      </c>
      <c r="I211" s="84"/>
      <c r="J211" s="17"/>
      <c r="K211" s="85"/>
      <c r="L211" s="86"/>
      <c r="M211" s="72" t="s">
        <v>20</v>
      </c>
      <c r="N211" s="90">
        <v>54.0</v>
      </c>
      <c r="O211" s="74" t="s">
        <v>1472</v>
      </c>
      <c r="P211" s="75">
        <v>0.6909722222222222</v>
      </c>
      <c r="Q211" s="41"/>
      <c r="R211" s="39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>
        <v>45745.0</v>
      </c>
      <c r="I212" s="68"/>
      <c r="J212" s="69"/>
      <c r="K212" s="70"/>
      <c r="L212" s="71"/>
      <c r="M212" s="72" t="s">
        <v>20</v>
      </c>
      <c r="N212" s="90">
        <v>10.0</v>
      </c>
      <c r="O212" s="74" t="s">
        <v>1473</v>
      </c>
      <c r="P212" s="75">
        <v>0.6951388888888889</v>
      </c>
      <c r="Q212" s="41"/>
      <c r="R212" s="39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>
        <v>45745.0</v>
      </c>
      <c r="I213" s="84"/>
      <c r="J213" s="17"/>
      <c r="K213" s="85"/>
      <c r="L213" s="86"/>
      <c r="M213" s="72" t="s">
        <v>20</v>
      </c>
      <c r="N213" s="90">
        <v>0.79</v>
      </c>
      <c r="O213" s="74" t="s">
        <v>1474</v>
      </c>
      <c r="P213" s="75">
        <v>0.7027777777777777</v>
      </c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>
        <v>45745.0</v>
      </c>
      <c r="I214" s="84"/>
      <c r="J214" s="17"/>
      <c r="K214" s="85"/>
      <c r="L214" s="86"/>
      <c r="M214" s="72" t="s">
        <v>1225</v>
      </c>
      <c r="N214" s="90">
        <v>17273.0</v>
      </c>
      <c r="O214" s="74"/>
      <c r="P214" s="75">
        <v>0.7097222222222223</v>
      </c>
      <c r="Q214" s="41"/>
      <c r="R214" s="39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>
        <v>45746.0</v>
      </c>
      <c r="I215" s="84"/>
      <c r="J215" s="17"/>
      <c r="K215" s="85"/>
      <c r="L215" s="86"/>
      <c r="M215" s="72" t="s">
        <v>1224</v>
      </c>
      <c r="N215" s="90">
        <v>3000.0</v>
      </c>
      <c r="O215" s="74"/>
      <c r="P215" s="75">
        <v>0.5208333333333334</v>
      </c>
      <c r="Q215" s="41"/>
      <c r="R215" s="39"/>
      <c r="S215" s="186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>
        <v>45746.0</v>
      </c>
      <c r="I216" s="84"/>
      <c r="J216" s="17"/>
      <c r="K216" s="85"/>
      <c r="L216" s="86"/>
      <c r="M216" s="72" t="s">
        <v>1225</v>
      </c>
      <c r="N216" s="90">
        <v>13294.0</v>
      </c>
      <c r="O216" s="74"/>
      <c r="P216" s="75">
        <v>0.6013888888888889</v>
      </c>
      <c r="Q216" s="41"/>
      <c r="R216" s="39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>
        <v>45746.0</v>
      </c>
      <c r="I217" s="68" t="s">
        <v>1234</v>
      </c>
      <c r="J217" s="69">
        <v>50000.0</v>
      </c>
      <c r="K217" s="85"/>
      <c r="L217" s="71">
        <v>0.7409722222222223</v>
      </c>
      <c r="M217" s="72"/>
      <c r="N217" s="90"/>
      <c r="O217" s="74"/>
      <c r="P217" s="75"/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>
        <v>45747.0</v>
      </c>
      <c r="I218" s="68"/>
      <c r="J218" s="69"/>
      <c r="K218" s="85"/>
      <c r="L218" s="71"/>
      <c r="M218" s="72" t="s">
        <v>1358</v>
      </c>
      <c r="N218" s="90">
        <v>680.0</v>
      </c>
      <c r="O218" s="74" t="s">
        <v>1475</v>
      </c>
      <c r="P218" s="75">
        <v>0.5527777777777778</v>
      </c>
      <c r="Q218" s="41"/>
      <c r="R218" s="39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>
        <v>45747.0</v>
      </c>
      <c r="I219" s="84"/>
      <c r="J219" s="17"/>
      <c r="K219" s="85"/>
      <c r="L219" s="86"/>
      <c r="M219" s="72" t="s">
        <v>1345</v>
      </c>
      <c r="N219" s="90">
        <v>9999.0</v>
      </c>
      <c r="O219" s="74" t="s">
        <v>1476</v>
      </c>
      <c r="P219" s="75">
        <v>0.5694444444444444</v>
      </c>
      <c r="Q219" s="41"/>
      <c r="R219" s="39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>
        <v>45747.0</v>
      </c>
      <c r="I220" s="84"/>
      <c r="J220" s="17"/>
      <c r="K220" s="85"/>
      <c r="L220" s="86"/>
      <c r="M220" s="72" t="s">
        <v>1224</v>
      </c>
      <c r="N220" s="90">
        <v>5700.0</v>
      </c>
      <c r="O220" s="74"/>
      <c r="P220" s="75">
        <v>0.6652777777777777</v>
      </c>
      <c r="Q220" s="41"/>
      <c r="R220" s="39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>
        <v>45747.0</v>
      </c>
      <c r="I221" s="84"/>
      <c r="J221" s="17"/>
      <c r="K221" s="85"/>
      <c r="L221" s="86"/>
      <c r="M221" s="72" t="s">
        <v>20</v>
      </c>
      <c r="N221" s="90">
        <v>125.0667</v>
      </c>
      <c r="O221" s="74" t="s">
        <v>1477</v>
      </c>
      <c r="P221" s="75">
        <v>0.6784722222222223</v>
      </c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>
        <v>45747.0</v>
      </c>
      <c r="I222" s="84"/>
      <c r="J222" s="17"/>
      <c r="K222" s="85"/>
      <c r="L222" s="86"/>
      <c r="M222" s="72" t="s">
        <v>20</v>
      </c>
      <c r="N222" s="90">
        <v>206.69</v>
      </c>
      <c r="O222" s="74" t="s">
        <v>1478</v>
      </c>
      <c r="P222" s="75">
        <v>0.6902777777777778</v>
      </c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>
        <v>45747.0</v>
      </c>
      <c r="I223" s="84"/>
      <c r="J223" s="17"/>
      <c r="K223" s="85"/>
      <c r="L223" s="86"/>
      <c r="M223" s="72" t="s">
        <v>1094</v>
      </c>
      <c r="N223" s="90">
        <v>90.0</v>
      </c>
      <c r="O223" s="74" t="s">
        <v>427</v>
      </c>
      <c r="P223" s="75">
        <v>0.73125</v>
      </c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>
        <v>45747.0</v>
      </c>
      <c r="I224" s="84"/>
      <c r="J224" s="17"/>
      <c r="K224" s="85"/>
      <c r="L224" s="86"/>
      <c r="M224" s="72" t="s">
        <v>20</v>
      </c>
      <c r="N224" s="90">
        <v>120.0</v>
      </c>
      <c r="O224" s="74" t="s">
        <v>616</v>
      </c>
      <c r="P224" s="75">
        <v>0.7534722222222222</v>
      </c>
      <c r="Q224" s="41"/>
      <c r="R224" s="39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67">
        <v>45747.0</v>
      </c>
      <c r="I225" s="68" t="s">
        <v>1234</v>
      </c>
      <c r="J225" s="69">
        <v>50000.0</v>
      </c>
      <c r="K225" s="85"/>
      <c r="L225" s="71">
        <v>0.7659722222222223</v>
      </c>
      <c r="M225" s="72" t="s">
        <v>14</v>
      </c>
      <c r="N225" s="90">
        <v>392.0</v>
      </c>
      <c r="O225" s="74" t="s">
        <v>1479</v>
      </c>
      <c r="P225" s="75">
        <v>0.8388888888888889</v>
      </c>
      <c r="Q225" s="41"/>
      <c r="R225" s="39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67">
        <v>45747.0</v>
      </c>
      <c r="I226" s="84"/>
      <c r="J226" s="17"/>
      <c r="K226" s="85"/>
      <c r="L226" s="86"/>
      <c r="M226" s="72" t="s">
        <v>1248</v>
      </c>
      <c r="N226" s="90">
        <v>289.9</v>
      </c>
      <c r="O226" s="74" t="s">
        <v>1480</v>
      </c>
      <c r="P226" s="75">
        <v>0.88125</v>
      </c>
      <c r="Q226" s="41"/>
      <c r="R226" s="39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67">
        <v>45747.0</v>
      </c>
      <c r="I227" s="84"/>
      <c r="J227" s="17"/>
      <c r="K227" s="85"/>
      <c r="L227" s="86"/>
      <c r="M227" s="72" t="s">
        <v>1216</v>
      </c>
      <c r="N227" s="90">
        <v>100.0</v>
      </c>
      <c r="O227" s="74" t="s">
        <v>427</v>
      </c>
      <c r="P227" s="75">
        <v>0.9486111111111111</v>
      </c>
      <c r="Q227" s="41"/>
      <c r="R227" s="39"/>
      <c r="S227" s="76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92"/>
      <c r="I228" s="193"/>
      <c r="J228" s="194"/>
      <c r="K228" s="195"/>
      <c r="L228" s="196"/>
      <c r="M228" s="197"/>
      <c r="N228" s="198"/>
      <c r="O228" s="199"/>
      <c r="P228" s="200"/>
      <c r="Q228" s="41"/>
      <c r="R228" s="39"/>
      <c r="S228" s="186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67"/>
      <c r="I229" s="84"/>
      <c r="J229" s="17"/>
      <c r="K229" s="85"/>
      <c r="L229" s="86"/>
      <c r="M229" s="72"/>
      <c r="N229" s="90"/>
      <c r="O229" s="74"/>
      <c r="P229" s="75"/>
      <c r="Q229" s="41"/>
      <c r="R229" s="39"/>
      <c r="S229" s="186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67"/>
      <c r="I230" s="68"/>
      <c r="J230" s="69"/>
      <c r="K230" s="70"/>
      <c r="L230" s="71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67"/>
      <c r="I231" s="68"/>
      <c r="J231" s="69"/>
      <c r="K231" s="70"/>
      <c r="L231" s="71"/>
      <c r="M231" s="72"/>
      <c r="N231" s="90"/>
      <c r="O231" s="74"/>
      <c r="P231" s="75"/>
      <c r="Q231" s="41"/>
      <c r="R231" s="39"/>
      <c r="S231" s="186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67"/>
      <c r="I232" s="68"/>
      <c r="J232" s="69"/>
      <c r="K232" s="70"/>
      <c r="L232" s="71"/>
      <c r="M232" s="127"/>
      <c r="N232" s="19"/>
      <c r="O232" s="128"/>
      <c r="P232" s="129"/>
      <c r="Q232" s="41"/>
      <c r="R232" s="39"/>
      <c r="S232" s="76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7:AB37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8.75"/>
    <col customWidth="1" min="22" max="22" width="14.0"/>
    <col customWidth="1" min="23" max="28" width="6.88"/>
  </cols>
  <sheetData>
    <row r="1" ht="48.75" customHeight="1">
      <c r="A1" s="9"/>
      <c r="B1" s="2"/>
      <c r="C1" s="3" t="s">
        <v>1481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1482</v>
      </c>
      <c r="D4" s="21"/>
      <c r="E4" s="20"/>
      <c r="F4" s="21"/>
      <c r="G4" s="23" t="s">
        <v>1483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4318.23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389212.2389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1484</v>
      </c>
      <c r="D7" s="54" t="s">
        <v>16</v>
      </c>
      <c r="E7" s="29"/>
      <c r="F7" s="30"/>
      <c r="G7" s="55">
        <v>1.0</v>
      </c>
      <c r="H7" s="56">
        <v>45689.0</v>
      </c>
      <c r="I7" s="57" t="s">
        <v>1485</v>
      </c>
      <c r="J7" s="58">
        <f>'2025年1月收支财务报表'!C13</f>
        <v>324824.0687</v>
      </c>
      <c r="K7" s="59"/>
      <c r="L7" s="60"/>
      <c r="M7" s="63" t="s">
        <v>1486</v>
      </c>
      <c r="N7" s="62">
        <v>4600.0</v>
      </c>
      <c r="O7" s="63" t="s">
        <v>654</v>
      </c>
      <c r="P7" s="64">
        <v>0.5194444444444445</v>
      </c>
      <c r="Q7" s="41"/>
      <c r="R7" s="39"/>
      <c r="S7" s="25">
        <f>SUMIF(M:M,"凤凰&amp;洛阳&amp;白户14",N:N)</f>
        <v>128630.34</v>
      </c>
      <c r="T7" s="26" t="s">
        <v>1486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45689.0</v>
      </c>
      <c r="I8" s="68" t="s">
        <v>1487</v>
      </c>
      <c r="J8" s="69">
        <v>10200.0</v>
      </c>
      <c r="K8" s="70" t="s">
        <v>1488</v>
      </c>
      <c r="L8" s="71">
        <v>0.675</v>
      </c>
      <c r="M8" s="72" t="s">
        <v>1012</v>
      </c>
      <c r="N8" s="90">
        <v>8800.0</v>
      </c>
      <c r="O8" s="74" t="s">
        <v>1489</v>
      </c>
      <c r="P8" s="75">
        <v>0.6958333333333333</v>
      </c>
      <c r="Q8" s="41"/>
      <c r="R8" s="39"/>
      <c r="S8" s="25">
        <f>SUMIF(M:M,"深圳芳林子@SHEN 户",N:N)</f>
        <v>133660.51</v>
      </c>
      <c r="T8" s="101" t="s">
        <v>1345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1368722.629</v>
      </c>
      <c r="D9" s="30"/>
      <c r="E9" s="29"/>
      <c r="F9" s="30"/>
      <c r="G9" s="66">
        <v>3.0</v>
      </c>
      <c r="H9" s="56">
        <v>45689.0</v>
      </c>
      <c r="I9" s="68"/>
      <c r="J9" s="69"/>
      <c r="K9" s="70"/>
      <c r="L9" s="88"/>
      <c r="M9" s="72" t="s">
        <v>1486</v>
      </c>
      <c r="N9" s="90">
        <v>17050.0</v>
      </c>
      <c r="O9" s="74" t="s">
        <v>1490</v>
      </c>
      <c r="P9" s="75">
        <v>0.7402777777777778</v>
      </c>
      <c r="R9" s="39"/>
      <c r="S9" s="25">
        <f>SUMIF(M:M,"CH加白户14➕1",N:N)</f>
        <v>4741.041</v>
      </c>
      <c r="T9" s="101" t="s">
        <v>1340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45689.0</v>
      </c>
      <c r="I10" s="68"/>
      <c r="J10" s="69"/>
      <c r="K10" s="70"/>
      <c r="L10" s="71"/>
      <c r="M10" s="72" t="s">
        <v>1491</v>
      </c>
      <c r="N10" s="90">
        <v>19800.0</v>
      </c>
      <c r="O10" s="74" t="s">
        <v>1492</v>
      </c>
      <c r="P10" s="75">
        <v>0.7673611111111112</v>
      </c>
      <c r="Q10" s="41"/>
      <c r="R10" s="39"/>
      <c r="S10" s="25">
        <f>SUMIF(M:M,"Fb 白户-长夏",N:N)</f>
        <v>709.94</v>
      </c>
      <c r="T10" s="101" t="s">
        <v>1493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1148586.23</v>
      </c>
      <c r="D11" s="30"/>
      <c r="E11" s="29"/>
      <c r="F11" s="30"/>
      <c r="G11" s="66">
        <v>5.0</v>
      </c>
      <c r="H11" s="67">
        <v>45689.0</v>
      </c>
      <c r="I11" s="68"/>
      <c r="J11" s="69"/>
      <c r="K11" s="70"/>
      <c r="L11" s="71"/>
      <c r="M11" s="72" t="s">
        <v>14</v>
      </c>
      <c r="N11" s="90">
        <v>46170.8315</v>
      </c>
      <c r="O11" s="74" t="s">
        <v>1494</v>
      </c>
      <c r="P11" s="75">
        <v>0.8159722222222222</v>
      </c>
      <c r="R11" s="39"/>
      <c r="S11" s="25">
        <f>SUMIF(M:M,"Y-5208 FB欧/美户-Ivan（HX）",N:N)</f>
        <v>560</v>
      </c>
      <c r="T11" s="101" t="s">
        <v>30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45689.0</v>
      </c>
      <c r="I12" s="68"/>
      <c r="J12" s="69"/>
      <c r="K12" s="87"/>
      <c r="L12" s="71"/>
      <c r="M12" s="72" t="s">
        <v>1486</v>
      </c>
      <c r="N12" s="90">
        <v>9080.0</v>
      </c>
      <c r="O12" s="74" t="s">
        <v>1495</v>
      </c>
      <c r="P12" s="75">
        <v>0.9388888888888889</v>
      </c>
      <c r="Q12" s="41"/>
      <c r="R12" s="39"/>
      <c r="S12" s="25">
        <f>SUMIF(M:M,"印度企业户 欧洲美金户下户",N:N)</f>
        <v>54490</v>
      </c>
      <c r="T12" s="101" t="s">
        <v>27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220136.3988</v>
      </c>
      <c r="D13" s="30"/>
      <c r="E13" s="29"/>
      <c r="F13" s="30"/>
      <c r="G13" s="66">
        <v>7.0</v>
      </c>
      <c r="H13" s="67">
        <v>45689.0</v>
      </c>
      <c r="I13" s="68"/>
      <c r="J13" s="69"/>
      <c r="K13" s="87"/>
      <c r="L13" s="71"/>
      <c r="M13" s="72" t="s">
        <v>1345</v>
      </c>
      <c r="N13" s="90">
        <v>1111.0</v>
      </c>
      <c r="O13" s="74" t="s">
        <v>1437</v>
      </c>
      <c r="P13" s="75">
        <v>0.9826388888888888</v>
      </c>
      <c r="R13" s="39"/>
      <c r="S13" s="25">
        <f>SUMIF(M:M,"桃子熊充值",N:N)</f>
        <v>201.2</v>
      </c>
      <c r="T13" s="101" t="s">
        <v>1496</v>
      </c>
      <c r="U13" s="76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45690.0</v>
      </c>
      <c r="I14" s="68" t="s">
        <v>1497</v>
      </c>
      <c r="J14" s="69">
        <v>500.0</v>
      </c>
      <c r="K14" s="70" t="s">
        <v>155</v>
      </c>
      <c r="L14" s="71">
        <v>0.22916666666666666</v>
      </c>
      <c r="M14" s="72" t="s">
        <v>1345</v>
      </c>
      <c r="N14" s="90">
        <v>2222.0</v>
      </c>
      <c r="O14" s="74" t="s">
        <v>1498</v>
      </c>
      <c r="P14" s="75">
        <v>0.5444444444444444</v>
      </c>
      <c r="R14" s="39"/>
      <c r="S14" s="25">
        <f>SUMIF(M:M,"海总-全球户-Milana",N:N)</f>
        <v>565.6</v>
      </c>
      <c r="T14" s="101" t="s">
        <v>1219</v>
      </c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45690.0</v>
      </c>
      <c r="I15" s="68"/>
      <c r="J15" s="69"/>
      <c r="K15" s="87"/>
      <c r="L15" s="71"/>
      <c r="M15" s="72" t="s">
        <v>1012</v>
      </c>
      <c r="N15" s="90">
        <v>13200.0</v>
      </c>
      <c r="O15" s="74" t="s">
        <v>1499</v>
      </c>
      <c r="P15" s="75">
        <v>0.6194444444444445</v>
      </c>
      <c r="R15" s="39"/>
      <c r="S15" s="25">
        <f>SUMIF(M:M,"启航广告费",N:N)</f>
        <v>9807.13</v>
      </c>
      <c r="T15" s="101" t="s">
        <v>827</v>
      </c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45690.0</v>
      </c>
      <c r="I16" s="154"/>
      <c r="J16" s="17"/>
      <c r="K16" s="92"/>
      <c r="L16" s="173"/>
      <c r="M16" s="72" t="s">
        <v>671</v>
      </c>
      <c r="N16" s="90">
        <v>60881.0</v>
      </c>
      <c r="O16" s="74" t="s">
        <v>1500</v>
      </c>
      <c r="P16" s="75">
        <v>0.6659722222222222</v>
      </c>
      <c r="R16" s="39"/>
      <c r="S16" s="25">
        <f>SUMIF(M:M,"十月二不限——（泰华）",N:N)</f>
        <v>21</v>
      </c>
      <c r="T16" s="101" t="s">
        <v>69</v>
      </c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45690.0</v>
      </c>
      <c r="I17" s="68" t="s">
        <v>681</v>
      </c>
      <c r="J17" s="69">
        <v>100000.0</v>
      </c>
      <c r="K17" s="92"/>
      <c r="L17" s="71">
        <v>0.7423611111111111</v>
      </c>
      <c r="M17" s="72" t="s">
        <v>1501</v>
      </c>
      <c r="N17" s="90">
        <v>10.0</v>
      </c>
      <c r="O17" s="74"/>
      <c r="P17" s="75">
        <v>0.7583333333333333</v>
      </c>
      <c r="Q17" s="41"/>
      <c r="R17" s="39"/>
      <c r="S17" s="25">
        <f>SUMIF(M:M,"海总- BM户对接",N:N)</f>
        <v>50</v>
      </c>
      <c r="T17" s="101" t="s">
        <v>1216</v>
      </c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45690.0</v>
      </c>
      <c r="I18" s="68" t="s">
        <v>1122</v>
      </c>
      <c r="J18" s="69">
        <v>100000.0</v>
      </c>
      <c r="K18" s="70"/>
      <c r="L18" s="71">
        <v>0.7659722222222223</v>
      </c>
      <c r="M18" s="72" t="s">
        <v>1353</v>
      </c>
      <c r="N18" s="90">
        <v>18000.0</v>
      </c>
      <c r="O18" s="74" t="s">
        <v>1502</v>
      </c>
      <c r="P18" s="75">
        <v>0.8277777777777777</v>
      </c>
      <c r="R18" s="39"/>
      <c r="S18" s="25"/>
      <c r="T18" s="101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45690.0</v>
      </c>
      <c r="I19" s="154"/>
      <c r="J19" s="17"/>
      <c r="K19" s="93"/>
      <c r="L19" s="155"/>
      <c r="M19" s="72" t="s">
        <v>1501</v>
      </c>
      <c r="N19" s="90">
        <f>2100-N17</f>
        <v>2090</v>
      </c>
      <c r="O19" s="74" t="s">
        <v>1503</v>
      </c>
      <c r="P19" s="75">
        <v>0.8527777777777777</v>
      </c>
      <c r="Q19" s="41"/>
      <c r="R19" s="39"/>
      <c r="S19" s="25"/>
      <c r="T19" s="101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45690.0</v>
      </c>
      <c r="I20" s="68"/>
      <c r="J20" s="69"/>
      <c r="K20" s="93"/>
      <c r="L20" s="71"/>
      <c r="M20" s="72" t="s">
        <v>1491</v>
      </c>
      <c r="N20" s="90">
        <v>26500.0</v>
      </c>
      <c r="O20" s="74" t="s">
        <v>1504</v>
      </c>
      <c r="P20" s="75">
        <v>0.8694444444444445</v>
      </c>
      <c r="Q20" s="41"/>
      <c r="R20" s="39"/>
      <c r="T20" s="95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1368722.629</v>
      </c>
      <c r="D21" s="30"/>
      <c r="E21" s="29"/>
      <c r="F21" s="30"/>
      <c r="G21" s="66">
        <v>15.0</v>
      </c>
      <c r="H21" s="67">
        <v>45691.0</v>
      </c>
      <c r="I21" s="68"/>
      <c r="J21" s="69"/>
      <c r="K21" s="93"/>
      <c r="L21" s="71"/>
      <c r="M21" s="72" t="s">
        <v>1486</v>
      </c>
      <c r="N21" s="90">
        <v>10210.0</v>
      </c>
      <c r="O21" s="74" t="s">
        <v>1505</v>
      </c>
      <c r="P21" s="75">
        <v>0.95</v>
      </c>
      <c r="R21" s="39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45691.0</v>
      </c>
      <c r="I22" s="68" t="s">
        <v>1487</v>
      </c>
      <c r="J22" s="69">
        <v>9120.0</v>
      </c>
      <c r="K22" s="70" t="s">
        <v>1506</v>
      </c>
      <c r="L22" s="71">
        <v>0.4840277777777778</v>
      </c>
      <c r="M22" s="72" t="s">
        <v>1340</v>
      </c>
      <c r="N22" s="90">
        <v>1151.4</v>
      </c>
      <c r="O22" s="74" t="s">
        <v>1507</v>
      </c>
      <c r="P22" s="75">
        <v>0.48333333333333334</v>
      </c>
      <c r="Q22" s="41"/>
      <c r="R22" s="39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1148586.23</v>
      </c>
      <c r="D23" s="30"/>
      <c r="E23" s="29"/>
      <c r="F23" s="30"/>
      <c r="G23" s="66">
        <v>17.0</v>
      </c>
      <c r="H23" s="67">
        <v>45691.0</v>
      </c>
      <c r="I23" s="68"/>
      <c r="J23" s="69"/>
      <c r="K23" s="87"/>
      <c r="L23" s="71"/>
      <c r="M23" s="72" t="s">
        <v>1012</v>
      </c>
      <c r="N23" s="90">
        <v>10.0</v>
      </c>
      <c r="O23" s="74" t="s">
        <v>1508</v>
      </c>
      <c r="P23" s="75">
        <v>0.6006944444444444</v>
      </c>
      <c r="R23" s="39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45691.0</v>
      </c>
      <c r="I24" s="68"/>
      <c r="J24" s="69"/>
      <c r="K24" s="85"/>
      <c r="L24" s="71"/>
      <c r="M24" s="72" t="s">
        <v>1012</v>
      </c>
      <c r="N24" s="90">
        <f>8800-N23</f>
        <v>8790</v>
      </c>
      <c r="O24" s="74" t="s">
        <v>1489</v>
      </c>
      <c r="P24" s="75">
        <v>0.6118055555555556</v>
      </c>
      <c r="Q24" s="41"/>
      <c r="R24" s="39"/>
      <c r="S24" s="25">
        <f>SUMIF(M:M,"印度006对接—henry",N:N)</f>
        <v>71192</v>
      </c>
      <c r="T24" s="101" t="s">
        <v>1012</v>
      </c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220136.3988</v>
      </c>
      <c r="D25" s="30"/>
      <c r="E25" s="29"/>
      <c r="F25" s="30"/>
      <c r="G25" s="66">
        <v>19.0</v>
      </c>
      <c r="H25" s="67">
        <v>45691.0</v>
      </c>
      <c r="I25" s="68"/>
      <c r="J25" s="69"/>
      <c r="K25" s="70"/>
      <c r="L25" s="88"/>
      <c r="M25" s="72" t="s">
        <v>1345</v>
      </c>
      <c r="N25" s="90">
        <v>3392.76</v>
      </c>
      <c r="O25" s="74" t="s">
        <v>1509</v>
      </c>
      <c r="P25" s="75">
        <v>0.6222222222222222</v>
      </c>
      <c r="R25" s="39"/>
      <c r="S25" s="25">
        <f>SUMIF(M:M,"印度驻场-lala(郑总）",N:N)</f>
        <v>206172</v>
      </c>
      <c r="T25" s="101" t="s">
        <v>671</v>
      </c>
      <c r="U25" s="76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45691.0</v>
      </c>
      <c r="I26" s="68" t="s">
        <v>1510</v>
      </c>
      <c r="J26" s="69">
        <v>50000.0</v>
      </c>
      <c r="K26" s="70"/>
      <c r="L26" s="71">
        <v>0.6986111111111111</v>
      </c>
      <c r="M26" s="72" t="s">
        <v>14</v>
      </c>
      <c r="N26" s="90">
        <v>100000.0</v>
      </c>
      <c r="O26" s="74" t="s">
        <v>1494</v>
      </c>
      <c r="P26" s="75">
        <v>0.7027777777777777</v>
      </c>
      <c r="R26" s="39"/>
      <c r="S26" s="25">
        <f>SUMIF(M:M,"印度003对接—胖鱼",N:N)</f>
        <v>45655</v>
      </c>
      <c r="T26" s="101" t="s">
        <v>1225</v>
      </c>
      <c r="U26" s="76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45691.0</v>
      </c>
      <c r="I27" s="68"/>
      <c r="J27" s="69"/>
      <c r="K27" s="70"/>
      <c r="L27" s="71"/>
      <c r="M27" s="72" t="s">
        <v>671</v>
      </c>
      <c r="N27" s="90">
        <v>19550.0</v>
      </c>
      <c r="O27" s="74" t="s">
        <v>1511</v>
      </c>
      <c r="P27" s="75">
        <v>0.7375</v>
      </c>
      <c r="Q27" s="41"/>
      <c r="R27" s="39"/>
      <c r="S27" s="25"/>
      <c r="T27" s="101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45691.0</v>
      </c>
      <c r="I28" s="68"/>
      <c r="J28" s="69"/>
      <c r="K28" s="85"/>
      <c r="L28" s="86"/>
      <c r="M28" s="72" t="s">
        <v>1486</v>
      </c>
      <c r="N28" s="90">
        <v>10170.0</v>
      </c>
      <c r="O28" s="74" t="s">
        <v>1512</v>
      </c>
      <c r="P28" s="75">
        <v>0.9652777777777778</v>
      </c>
      <c r="Q28" s="41"/>
      <c r="R28" s="39"/>
      <c r="S28" s="25"/>
      <c r="T28" s="101"/>
      <c r="U28" s="201"/>
      <c r="V28" s="76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45692.0</v>
      </c>
      <c r="I29" s="68"/>
      <c r="J29" s="69"/>
      <c r="K29" s="70"/>
      <c r="L29" s="71"/>
      <c r="M29" s="72" t="s">
        <v>671</v>
      </c>
      <c r="N29" s="90">
        <v>16813.0</v>
      </c>
      <c r="O29" s="74" t="s">
        <v>1513</v>
      </c>
      <c r="P29" s="75">
        <v>0.5041666666666667</v>
      </c>
      <c r="Q29" s="41"/>
      <c r="R29" s="39"/>
      <c r="S29" s="25">
        <f>SUMIF(M:M,"浩天 意大利对接群",N:N)</f>
        <v>5000</v>
      </c>
      <c r="T29" s="101" t="s">
        <v>1224</v>
      </c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45692.0</v>
      </c>
      <c r="I30" s="68" t="s">
        <v>1514</v>
      </c>
      <c r="J30" s="69">
        <v>1080.0</v>
      </c>
      <c r="K30" s="70" t="s">
        <v>1515</v>
      </c>
      <c r="L30" s="71">
        <v>0.6201388888888889</v>
      </c>
      <c r="M30" s="72" t="s">
        <v>1486</v>
      </c>
      <c r="N30" s="90">
        <v>8475.0</v>
      </c>
      <c r="O30" s="74" t="s">
        <v>1516</v>
      </c>
      <c r="P30" s="75">
        <v>0.6673611111111111</v>
      </c>
      <c r="R30" s="39"/>
      <c r="S30" s="25">
        <f>SUMIF(M:M,"意大利🇮🇹——海月",N:N)</f>
        <v>6100</v>
      </c>
      <c r="T30" s="101" t="s">
        <v>1517</v>
      </c>
      <c r="U30" s="18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45692.0</v>
      </c>
      <c r="I31" s="68"/>
      <c r="J31" s="69"/>
      <c r="K31" s="70"/>
      <c r="L31" s="88"/>
      <c r="M31" s="72" t="s">
        <v>20</v>
      </c>
      <c r="N31" s="90">
        <v>2000.0</v>
      </c>
      <c r="O31" s="74" t="s">
        <v>1048</v>
      </c>
      <c r="P31" s="75">
        <v>0.6708333333333333</v>
      </c>
      <c r="Q31" s="41"/>
      <c r="R31" s="39"/>
      <c r="S31" s="25">
        <f>SUMIF(M:M,"意大利-（岳总）",N:N)</f>
        <v>56300</v>
      </c>
      <c r="T31" s="101" t="s">
        <v>1491</v>
      </c>
      <c r="U31" s="76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45692.0</v>
      </c>
      <c r="I32" s="84"/>
      <c r="J32" s="17"/>
      <c r="K32" s="85"/>
      <c r="L32" s="86"/>
      <c r="M32" s="72" t="s">
        <v>1518</v>
      </c>
      <c r="N32" s="90">
        <v>709.94</v>
      </c>
      <c r="O32" s="74" t="s">
        <v>1519</v>
      </c>
      <c r="P32" s="75">
        <v>0.9090277777777778</v>
      </c>
      <c r="R32" s="39"/>
      <c r="S32" s="25">
        <f>SUMIF(M:M,"意大利打群-fa",N:N)</f>
        <v>27000</v>
      </c>
      <c r="T32" s="101" t="s">
        <v>1353</v>
      </c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45692.0</v>
      </c>
      <c r="I33" s="154"/>
      <c r="J33" s="69"/>
      <c r="K33" s="70"/>
      <c r="L33" s="71"/>
      <c r="M33" s="72" t="s">
        <v>1486</v>
      </c>
      <c r="N33" s="90">
        <v>10170.0</v>
      </c>
      <c r="O33" s="74" t="s">
        <v>1520</v>
      </c>
      <c r="P33" s="75">
        <v>0.9652777777777778</v>
      </c>
      <c r="Q33" s="41"/>
      <c r="R33" s="39"/>
      <c r="S33" s="25">
        <f>SUMIF(M:M,"西班牙70A-xingxing",N:N)</f>
        <v>2100</v>
      </c>
      <c r="T33" s="101" t="s">
        <v>1501</v>
      </c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45693.0</v>
      </c>
      <c r="I34" s="68" t="s">
        <v>1521</v>
      </c>
      <c r="J34" s="69">
        <v>400.0</v>
      </c>
      <c r="K34" s="70" t="s">
        <v>1522</v>
      </c>
      <c r="L34" s="71">
        <v>0.3875</v>
      </c>
      <c r="M34" s="72"/>
      <c r="N34" s="90"/>
      <c r="O34" s="74"/>
      <c r="P34" s="75"/>
      <c r="Q34" s="41"/>
      <c r="R34" s="39"/>
      <c r="S34" s="25">
        <f>SUMIF(M:M,"西班牙/春兰/70A",N:N)</f>
        <v>2100</v>
      </c>
      <c r="T34" s="101" t="s">
        <v>1523</v>
      </c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45693.0</v>
      </c>
      <c r="I35" s="68" t="s">
        <v>1514</v>
      </c>
      <c r="J35" s="69">
        <v>360.0</v>
      </c>
      <c r="K35" s="70" t="s">
        <v>1524</v>
      </c>
      <c r="L35" s="87">
        <v>0.3902777777777778</v>
      </c>
      <c r="M35" s="72"/>
      <c r="N35" s="90"/>
      <c r="O35" s="74"/>
      <c r="P35" s="75"/>
      <c r="Q35" s="41"/>
      <c r="R35" s="39"/>
      <c r="S35" s="106" t="s">
        <v>97</v>
      </c>
      <c r="T35" s="107"/>
      <c r="U35" s="107"/>
      <c r="V35" s="107"/>
      <c r="W35" s="107"/>
      <c r="X35" s="107"/>
      <c r="Y35" s="107"/>
      <c r="Z35" s="107"/>
      <c r="AA35" s="107"/>
      <c r="AB35" s="108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45693.0</v>
      </c>
      <c r="I36" s="154" t="s">
        <v>1122</v>
      </c>
      <c r="J36" s="17">
        <v>100000.0</v>
      </c>
      <c r="K36" s="87"/>
      <c r="L36" s="71">
        <v>0.4097222222222222</v>
      </c>
      <c r="M36" s="72" t="s">
        <v>671</v>
      </c>
      <c r="N36" s="90">
        <v>22701.0</v>
      </c>
      <c r="O36" s="74" t="s">
        <v>1525</v>
      </c>
      <c r="P36" s="75">
        <v>0.5069444444444444</v>
      </c>
      <c r="R36" s="39"/>
      <c r="S36" s="187">
        <f>SUM(S4:S34)</f>
        <v>1148586.23</v>
      </c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45693.0</v>
      </c>
      <c r="I37" s="68"/>
      <c r="J37" s="69"/>
      <c r="K37" s="85"/>
      <c r="L37" s="86"/>
      <c r="M37" s="72" t="s">
        <v>1345</v>
      </c>
      <c r="N37" s="90">
        <v>21109.0</v>
      </c>
      <c r="O37" s="74" t="s">
        <v>1314</v>
      </c>
      <c r="P37" s="75">
        <v>0.5833333333333334</v>
      </c>
      <c r="Q37" s="125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45693.0</v>
      </c>
      <c r="I38" s="68"/>
      <c r="J38" s="69"/>
      <c r="K38" s="85"/>
      <c r="L38" s="86"/>
      <c r="M38" s="72" t="s">
        <v>14</v>
      </c>
      <c r="N38" s="19">
        <v>7593.983483333333</v>
      </c>
      <c r="O38" s="96" t="s">
        <v>1526</v>
      </c>
      <c r="P38" s="99">
        <v>0.6729166666666667</v>
      </c>
      <c r="Q38" s="100"/>
      <c r="R38" s="39"/>
      <c r="S38" s="109">
        <f>SUMIF(I:I,"Alex 法国TMI户&amp;11+1 麦芽-西柚",J:J)</f>
        <v>500</v>
      </c>
      <c r="T38" s="26" t="s">
        <v>1527</v>
      </c>
      <c r="U38" s="76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45693.0</v>
      </c>
      <c r="I39" s="68"/>
      <c r="J39" s="69"/>
      <c r="K39" s="70"/>
      <c r="L39" s="88"/>
      <c r="M39" s="72" t="s">
        <v>14</v>
      </c>
      <c r="N39" s="19">
        <v>6843.136630357142</v>
      </c>
      <c r="O39" s="96" t="s">
        <v>1526</v>
      </c>
      <c r="P39" s="99">
        <v>0.6729166666666667</v>
      </c>
      <c r="Q39" s="100"/>
      <c r="R39" s="39"/>
      <c r="S39" s="109">
        <f>SUMIF(I:I,"桃子熊退款",J:J)</f>
        <v>4135.41</v>
      </c>
      <c r="T39" s="26" t="s">
        <v>1528</v>
      </c>
      <c r="U39" s="76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45693.0</v>
      </c>
      <c r="I40" s="68"/>
      <c r="J40" s="69"/>
      <c r="K40" s="70"/>
      <c r="L40" s="88"/>
      <c r="M40" s="72" t="s">
        <v>14</v>
      </c>
      <c r="N40" s="19">
        <v>3102.1439499999997</v>
      </c>
      <c r="O40" s="96" t="s">
        <v>1526</v>
      </c>
      <c r="P40" s="99">
        <v>0.6736111111111112</v>
      </c>
      <c r="Q40" s="100"/>
      <c r="R40" s="39"/>
      <c r="S40" s="109">
        <f>SUMIF(I:I,"GD&amp;shen 欧洲美金户 10%u1",J:J)</f>
        <v>1170</v>
      </c>
      <c r="T40" s="26" t="s">
        <v>1529</v>
      </c>
      <c r="U40" s="76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45693.0</v>
      </c>
      <c r="I41" s="68"/>
      <c r="J41" s="69"/>
      <c r="K41" s="70"/>
      <c r="L41" s="88"/>
      <c r="M41" s="72" t="s">
        <v>14</v>
      </c>
      <c r="N41" s="19">
        <v>702.0</v>
      </c>
      <c r="O41" s="96" t="s">
        <v>1526</v>
      </c>
      <c r="P41" s="99">
        <v>0.6743055555555556</v>
      </c>
      <c r="Q41" s="100"/>
      <c r="R41" s="39"/>
      <c r="S41" s="109">
        <f>SUMIF(I:I,"GT&amp;Shen 欧洲美金低消户 12%u1",J:J)</f>
        <v>10062</v>
      </c>
      <c r="T41" s="26" t="s">
        <v>1530</v>
      </c>
      <c r="U41" s="76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45693.0</v>
      </c>
      <c r="I42" s="68"/>
      <c r="J42" s="69"/>
      <c r="K42" s="70"/>
      <c r="L42" s="88"/>
      <c r="M42" s="72" t="s">
        <v>14</v>
      </c>
      <c r="N42" s="19">
        <v>3832.64</v>
      </c>
      <c r="O42" s="96" t="s">
        <v>1526</v>
      </c>
      <c r="P42" s="99">
        <v>0.675</v>
      </c>
      <c r="Q42" s="100"/>
      <c r="R42" s="39"/>
      <c r="S42" s="109">
        <f>SUMIF(I:I,"GF&amp;SHEN美国户 开10u 10%+u1",J:J)</f>
        <v>15631</v>
      </c>
      <c r="T42" s="26" t="s">
        <v>1531</v>
      </c>
      <c r="U42" s="76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45693.0</v>
      </c>
      <c r="I43" s="68"/>
      <c r="J43" s="69"/>
      <c r="K43" s="87"/>
      <c r="L43" s="71"/>
      <c r="M43" s="72" t="s">
        <v>14</v>
      </c>
      <c r="N43" s="19">
        <v>718.4333333333334</v>
      </c>
      <c r="O43" s="96" t="s">
        <v>1526</v>
      </c>
      <c r="P43" s="99">
        <v>0.675</v>
      </c>
      <c r="Q43" s="100"/>
      <c r="R43" s="39"/>
      <c r="S43" s="109">
        <f>SUMIF(I:I,"开户美国三不限户-Daisy",J:J)</f>
        <v>4068.69</v>
      </c>
      <c r="T43" s="26" t="s">
        <v>1532</v>
      </c>
      <c r="U43" s="76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45693.0</v>
      </c>
      <c r="I44" s="103"/>
      <c r="J44" s="103"/>
      <c r="K44" s="103"/>
      <c r="L44" s="103"/>
      <c r="M44" s="72" t="s">
        <v>14</v>
      </c>
      <c r="N44" s="19">
        <v>2852.631488125</v>
      </c>
      <c r="O44" s="96" t="s">
        <v>1526</v>
      </c>
      <c r="P44" s="99">
        <v>0.6756944444444445</v>
      </c>
      <c r="Q44" s="100"/>
      <c r="R44" s="39"/>
      <c r="S44" s="109">
        <f>SUMIF(I:I,"CH加白户14➕1",J:J)</f>
        <v>3978</v>
      </c>
      <c r="T44" s="26" t="s">
        <v>1340</v>
      </c>
      <c r="U44" s="76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45693.0</v>
      </c>
      <c r="I45" s="84"/>
      <c r="J45" s="17"/>
      <c r="K45" s="85"/>
      <c r="L45" s="86"/>
      <c r="M45" s="72" t="s">
        <v>14</v>
      </c>
      <c r="N45" s="19">
        <v>1920.4</v>
      </c>
      <c r="O45" s="96" t="s">
        <v>1526</v>
      </c>
      <c r="P45" s="99">
        <v>0.6763888888888889</v>
      </c>
      <c r="Q45" s="100"/>
      <c r="R45" s="39"/>
      <c r="S45" s="109">
        <f>SUMIF(I:I,"GT (井号户）",J:J)</f>
        <v>16816.46</v>
      </c>
      <c r="T45" s="26" t="s">
        <v>1533</v>
      </c>
      <c r="U45" s="76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45693.0</v>
      </c>
      <c r="I46" s="68"/>
      <c r="J46" s="69"/>
      <c r="K46" s="85"/>
      <c r="L46" s="86"/>
      <c r="M46" s="72" t="s">
        <v>14</v>
      </c>
      <c r="N46" s="19">
        <v>2186.7999999999997</v>
      </c>
      <c r="O46" s="96" t="s">
        <v>1526</v>
      </c>
      <c r="P46" s="99">
        <v>0.6770833333333334</v>
      </c>
      <c r="Q46" s="100"/>
      <c r="R46" s="39"/>
      <c r="S46" s="109"/>
      <c r="T46" s="26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45693.0</v>
      </c>
      <c r="I47" s="84"/>
      <c r="J47" s="17"/>
      <c r="K47" s="85"/>
      <c r="L47" s="86"/>
      <c r="M47" s="72" t="s">
        <v>14</v>
      </c>
      <c r="N47" s="19">
        <v>6000.0</v>
      </c>
      <c r="O47" s="96" t="s">
        <v>1526</v>
      </c>
      <c r="P47" s="99">
        <v>0.6777777777777778</v>
      </c>
      <c r="Q47" s="100"/>
      <c r="R47" s="39"/>
      <c r="S47" s="109">
        <f>SUMIF(I:I,"意大利-（岳总）",J:J)</f>
        <v>400</v>
      </c>
      <c r="T47" s="26" t="s">
        <v>1534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45694.0</v>
      </c>
      <c r="I48" s="68"/>
      <c r="J48" s="69"/>
      <c r="K48" s="70"/>
      <c r="L48" s="71"/>
      <c r="M48" s="72" t="s">
        <v>671</v>
      </c>
      <c r="N48" s="90">
        <v>26082.0</v>
      </c>
      <c r="O48" s="96" t="s">
        <v>1535</v>
      </c>
      <c r="P48" s="99">
        <v>0.4708333333333333</v>
      </c>
      <c r="Q48" s="100"/>
      <c r="R48" s="39"/>
      <c r="S48" s="109">
        <f>SUMIF(I:I,"西班牙/春兰/70A",J:J)</f>
        <v>1190</v>
      </c>
      <c r="T48" s="101" t="s">
        <v>1536</v>
      </c>
      <c r="U48" s="76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45694.0</v>
      </c>
      <c r="I49" s="68"/>
      <c r="J49" s="69"/>
      <c r="K49" s="87"/>
      <c r="L49" s="71"/>
      <c r="M49" s="72" t="s">
        <v>1340</v>
      </c>
      <c r="N49" s="90">
        <v>650.541</v>
      </c>
      <c r="O49" s="96" t="s">
        <v>1537</v>
      </c>
      <c r="P49" s="99">
        <v>0.55</v>
      </c>
      <c r="Q49" s="100"/>
      <c r="R49" s="39"/>
      <c r="S49" s="109">
        <f>SUMIF(I:I,"西班牙70A-xingxing",J:J)</f>
        <v>1610</v>
      </c>
      <c r="T49" s="26" t="s">
        <v>1538</v>
      </c>
      <c r="U49" s="76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45694.0</v>
      </c>
      <c r="I50" s="68"/>
      <c r="J50" s="69"/>
      <c r="K50" s="85"/>
      <c r="L50" s="71"/>
      <c r="M50" s="72" t="s">
        <v>20</v>
      </c>
      <c r="N50" s="90">
        <v>900.0</v>
      </c>
      <c r="O50" s="96" t="s">
        <v>1539</v>
      </c>
      <c r="P50" s="97">
        <v>0.6402777777777777</v>
      </c>
      <c r="Q50" s="100"/>
      <c r="R50" s="39"/>
      <c r="S50" s="190">
        <f>J7</f>
        <v>324824.0687</v>
      </c>
      <c r="T50" s="26" t="s">
        <v>1540</v>
      </c>
      <c r="U50" s="76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45694.0</v>
      </c>
      <c r="I51" s="68"/>
      <c r="J51" s="69"/>
      <c r="K51" s="85"/>
      <c r="L51" s="71"/>
      <c r="M51" s="72" t="s">
        <v>20</v>
      </c>
      <c r="N51" s="90">
        <v>5.0</v>
      </c>
      <c r="O51" s="96" t="s">
        <v>1541</v>
      </c>
      <c r="P51" s="97">
        <v>0.6451388888888889</v>
      </c>
      <c r="Q51" s="100"/>
      <c r="R51" s="39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45694.0</v>
      </c>
      <c r="I52" s="68"/>
      <c r="J52" s="69"/>
      <c r="K52" s="87"/>
      <c r="L52" s="71"/>
      <c r="M52" s="72" t="s">
        <v>1012</v>
      </c>
      <c r="N52" s="90">
        <v>8800.0</v>
      </c>
      <c r="O52" s="96" t="s">
        <v>1489</v>
      </c>
      <c r="P52" s="97">
        <v>0.6520833333333333</v>
      </c>
      <c r="Q52" s="100"/>
      <c r="R52" s="39"/>
      <c r="U52" s="188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45694.0</v>
      </c>
      <c r="I53" s="68"/>
      <c r="J53" s="69"/>
      <c r="K53" s="87"/>
      <c r="L53" s="71"/>
      <c r="M53" s="72" t="s">
        <v>14</v>
      </c>
      <c r="N53" s="90">
        <f>32482.407</f>
        <v>32482.407</v>
      </c>
      <c r="O53" s="74" t="s">
        <v>1542</v>
      </c>
      <c r="P53" s="97">
        <v>0.7354166666666667</v>
      </c>
      <c r="R53" s="39"/>
      <c r="S53" s="109">
        <f>SUMIF(I:I,"意大利蟑螂哥2月",J:J)</f>
        <v>19320</v>
      </c>
      <c r="T53" s="26" t="s">
        <v>1487</v>
      </c>
      <c r="U53" s="202" t="s">
        <v>1543</v>
      </c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45694.0</v>
      </c>
      <c r="I54" s="68"/>
      <c r="J54" s="69"/>
      <c r="K54" s="70"/>
      <c r="L54" s="71"/>
      <c r="M54" s="72" t="s">
        <v>1486</v>
      </c>
      <c r="N54" s="90">
        <v>10000.0</v>
      </c>
      <c r="O54" s="74" t="s">
        <v>1544</v>
      </c>
      <c r="P54" s="97">
        <v>0.7583333333333333</v>
      </c>
      <c r="Q54" s="100"/>
      <c r="R54" s="39"/>
      <c r="S54" s="109">
        <f>SUMIF(I:I,"意大利（2000）阿光",J:J)</f>
        <v>50000</v>
      </c>
      <c r="T54" s="26" t="s">
        <v>1510</v>
      </c>
      <c r="U54" s="202" t="s">
        <v>1543</v>
      </c>
      <c r="V54" s="202">
        <f>S54+'2025年1月收支财务报表'!S67</f>
        <v>150000</v>
      </c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45694.0</v>
      </c>
      <c r="I55" s="84"/>
      <c r="J55" s="17"/>
      <c r="K55" s="85"/>
      <c r="L55" s="86"/>
      <c r="M55" s="72" t="s">
        <v>1486</v>
      </c>
      <c r="N55" s="90">
        <v>5689.0</v>
      </c>
      <c r="O55" s="74" t="s">
        <v>1545</v>
      </c>
      <c r="P55" s="75">
        <v>0.9993055555555556</v>
      </c>
      <c r="Q55" s="41"/>
      <c r="R55" s="39"/>
      <c r="S55" s="109">
        <f>SUMIF(I:I,"意大利第三梯队608（蟑螂哥）",J:J)</f>
        <v>27480</v>
      </c>
      <c r="T55" s="26" t="s">
        <v>1514</v>
      </c>
      <c r="U55" s="188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45695.0</v>
      </c>
      <c r="I56" s="68"/>
      <c r="J56" s="69"/>
      <c r="K56" s="87"/>
      <c r="L56" s="71"/>
      <c r="M56" s="72" t="s">
        <v>1486</v>
      </c>
      <c r="N56" s="90">
        <v>4520.0</v>
      </c>
      <c r="O56" s="74" t="s">
        <v>1546</v>
      </c>
      <c r="P56" s="75">
        <v>0.5486111111111112</v>
      </c>
      <c r="Q56" s="41"/>
      <c r="R56" s="39"/>
      <c r="U56" s="203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45695.0</v>
      </c>
      <c r="I57" s="68" t="s">
        <v>1347</v>
      </c>
      <c r="J57" s="69">
        <v>100000.0</v>
      </c>
      <c r="K57" s="87"/>
      <c r="L57" s="71">
        <v>0.6222222222222222</v>
      </c>
      <c r="M57" s="72"/>
      <c r="N57" s="90"/>
      <c r="O57" s="74"/>
      <c r="P57" s="75"/>
      <c r="Q57" s="41"/>
      <c r="R57" s="39"/>
      <c r="S57" s="109">
        <f>SUMIF(I:I,"（蟑螂哥）西班牙",J:J)</f>
        <v>1600</v>
      </c>
      <c r="T57" s="26" t="s">
        <v>1521</v>
      </c>
      <c r="U57" s="202" t="s">
        <v>1543</v>
      </c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45695.0</v>
      </c>
      <c r="I58" s="68" t="s">
        <v>681</v>
      </c>
      <c r="J58" s="69">
        <v>4276.0</v>
      </c>
      <c r="K58" s="70" t="s">
        <v>1547</v>
      </c>
      <c r="L58" s="71">
        <v>0.6944444444444444</v>
      </c>
      <c r="M58" s="72"/>
      <c r="N58" s="90"/>
      <c r="O58" s="74"/>
      <c r="P58" s="75"/>
      <c r="Q58" s="41"/>
      <c r="R58" s="39"/>
      <c r="U58" s="202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45695.0</v>
      </c>
      <c r="I59" s="68" t="s">
        <v>1122</v>
      </c>
      <c r="J59" s="69">
        <v>100000.0</v>
      </c>
      <c r="K59" s="87"/>
      <c r="L59" s="71">
        <v>0.7868055555555555</v>
      </c>
      <c r="M59" s="72" t="s">
        <v>1225</v>
      </c>
      <c r="N59" s="90">
        <v>4255.0</v>
      </c>
      <c r="O59" s="74" t="s">
        <v>1548</v>
      </c>
      <c r="P59" s="75">
        <v>0.7972222222222223</v>
      </c>
      <c r="Q59" s="41"/>
      <c r="R59" s="39"/>
      <c r="U59" s="202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45695.0</v>
      </c>
      <c r="I60" s="68"/>
      <c r="J60" s="69"/>
      <c r="K60" s="85"/>
      <c r="L60" s="71"/>
      <c r="M60" s="72" t="s">
        <v>14</v>
      </c>
      <c r="N60" s="90">
        <v>18076.0</v>
      </c>
      <c r="O60" s="74" t="s">
        <v>1549</v>
      </c>
      <c r="P60" s="75">
        <v>0.8541666666666666</v>
      </c>
      <c r="Q60" s="41"/>
      <c r="R60" s="39"/>
      <c r="S60" s="109">
        <f>SUMIF(I:I,"印度25期",J:J)</f>
        <v>104276</v>
      </c>
      <c r="T60" s="26" t="s">
        <v>1550</v>
      </c>
      <c r="U60" s="202" t="s">
        <v>1543</v>
      </c>
      <c r="V60" s="188">
        <f>S60+'2025年1月收支财务报表'!S59</f>
        <v>304276</v>
      </c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45695.0</v>
      </c>
      <c r="I61" s="68"/>
      <c r="J61" s="69"/>
      <c r="K61" s="70"/>
      <c r="L61" s="71"/>
      <c r="M61" s="72" t="s">
        <v>1486</v>
      </c>
      <c r="N61" s="90">
        <v>5085.0</v>
      </c>
      <c r="O61" s="74" t="s">
        <v>1551</v>
      </c>
      <c r="P61" s="75">
        <v>0.9659722222222222</v>
      </c>
      <c r="Q61" s="41"/>
      <c r="R61" s="39"/>
      <c r="S61" s="109">
        <f>SUMIF(I:I,"印度9期",J:J)</f>
        <v>362840</v>
      </c>
      <c r="T61" s="26" t="s">
        <v>1122</v>
      </c>
      <c r="U61" s="202" t="s">
        <v>1543</v>
      </c>
      <c r="V61" s="188">
        <f>S61+'2025年1月收支财务报表'!S58</f>
        <v>462840</v>
      </c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45696.0</v>
      </c>
      <c r="I62" s="68"/>
      <c r="J62" s="69"/>
      <c r="K62" s="70"/>
      <c r="L62" s="71"/>
      <c r="M62" s="72" t="s">
        <v>671</v>
      </c>
      <c r="N62" s="90">
        <v>26634.0</v>
      </c>
      <c r="O62" s="74" t="s">
        <v>1552</v>
      </c>
      <c r="P62" s="75">
        <v>0.50625</v>
      </c>
      <c r="Q62" s="41"/>
      <c r="R62" s="39"/>
      <c r="S62" s="109">
        <f>SUMIF(I:I,"印度2期",J:J)</f>
        <v>200000</v>
      </c>
      <c r="T62" s="26" t="s">
        <v>1388</v>
      </c>
      <c r="U62" s="202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45696.0</v>
      </c>
      <c r="I63" s="68"/>
      <c r="J63" s="69"/>
      <c r="K63" s="87"/>
      <c r="L63" s="71"/>
      <c r="M63" s="72" t="s">
        <v>20</v>
      </c>
      <c r="N63" s="90">
        <v>255.0</v>
      </c>
      <c r="O63" s="74" t="s">
        <v>1553</v>
      </c>
      <c r="P63" s="75">
        <v>0.5159722222222223</v>
      </c>
      <c r="Q63" s="41"/>
      <c r="R63" s="39"/>
      <c r="S63" s="109">
        <f>SUMIF(I:I,"印度（10）金山",J:J)</f>
        <v>100000</v>
      </c>
      <c r="T63" s="26" t="s">
        <v>1389</v>
      </c>
      <c r="U63" s="188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45696.0</v>
      </c>
      <c r="I64" s="68"/>
      <c r="J64" s="69"/>
      <c r="K64" s="87"/>
      <c r="L64" s="71"/>
      <c r="M64" s="72" t="s">
        <v>20</v>
      </c>
      <c r="N64" s="90">
        <v>466.0</v>
      </c>
      <c r="O64" s="74" t="s">
        <v>1554</v>
      </c>
      <c r="P64" s="75">
        <v>0.6284722222222222</v>
      </c>
      <c r="Q64" s="41"/>
      <c r="R64" s="39"/>
      <c r="S64" s="109">
        <f>SUMIF(I:I,"意大利张总单导",J:J)</f>
        <v>8760</v>
      </c>
      <c r="T64" s="26" t="s">
        <v>1341</v>
      </c>
      <c r="U64" s="188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45696.0</v>
      </c>
      <c r="I65" s="68"/>
      <c r="J65" s="69"/>
      <c r="K65" s="87"/>
      <c r="L65" s="71"/>
      <c r="M65" s="72" t="s">
        <v>1486</v>
      </c>
      <c r="N65" s="90">
        <v>6780.0</v>
      </c>
      <c r="O65" s="74" t="s">
        <v>1555</v>
      </c>
      <c r="P65" s="75">
        <v>0.6986111111111111</v>
      </c>
      <c r="Q65" s="41"/>
      <c r="R65" s="39"/>
      <c r="S65" s="109">
        <f>SUMIF(I:I,"印度11期",J:J)</f>
        <v>60004</v>
      </c>
      <c r="T65" s="26" t="s">
        <v>1018</v>
      </c>
      <c r="U65" s="202" t="s">
        <v>1543</v>
      </c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45696.0</v>
      </c>
      <c r="I66" s="68"/>
      <c r="J66" s="69"/>
      <c r="K66" s="70"/>
      <c r="L66" s="88"/>
      <c r="M66" s="72" t="s">
        <v>1345</v>
      </c>
      <c r="N66" s="90">
        <v>3140.95</v>
      </c>
      <c r="O66" s="74" t="s">
        <v>1556</v>
      </c>
      <c r="P66" s="75">
        <v>0.7270833333333333</v>
      </c>
      <c r="Q66" s="41"/>
      <c r="R66" s="39"/>
      <c r="S66" s="109">
        <f>SUMIF(I:I,"印度FB天叶（2/24）",J:J)</f>
        <v>50000</v>
      </c>
      <c r="T66" s="26" t="s">
        <v>1361</v>
      </c>
      <c r="U66" s="202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45696.0</v>
      </c>
      <c r="I67" s="68"/>
      <c r="J67" s="69"/>
      <c r="K67" s="70"/>
      <c r="L67" s="71"/>
      <c r="M67" s="72" t="s">
        <v>1557</v>
      </c>
      <c r="N67" s="90">
        <v>560.0</v>
      </c>
      <c r="O67" s="74" t="s">
        <v>1558</v>
      </c>
      <c r="P67" s="75">
        <v>0.7361111111111112</v>
      </c>
      <c r="R67" s="39"/>
      <c r="S67" s="109">
        <f>SUMIF(I:I,"月度差值",J:J)</f>
        <v>57</v>
      </c>
      <c r="T67" s="26" t="s">
        <v>1559</v>
      </c>
      <c r="U67" s="204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45696.0</v>
      </c>
      <c r="I68" s="68"/>
      <c r="J68" s="69"/>
      <c r="K68" s="70"/>
      <c r="L68" s="88"/>
      <c r="M68" s="72" t="s">
        <v>1225</v>
      </c>
      <c r="N68" s="90">
        <v>4094.0</v>
      </c>
      <c r="O68" s="74" t="s">
        <v>1560</v>
      </c>
      <c r="P68" s="75">
        <v>0.7881944444444444</v>
      </c>
      <c r="Q68" s="41"/>
      <c r="R68" s="39"/>
      <c r="S68" s="109"/>
      <c r="T68" s="26"/>
      <c r="U68" s="202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45696.0</v>
      </c>
      <c r="I69" s="68"/>
      <c r="J69" s="69"/>
      <c r="K69" s="85"/>
      <c r="L69" s="71"/>
      <c r="M69" s="72" t="s">
        <v>1486</v>
      </c>
      <c r="N69" s="90">
        <v>6780.0</v>
      </c>
      <c r="O69" s="74" t="s">
        <v>1561</v>
      </c>
      <c r="P69" s="75">
        <v>0.9444444444444444</v>
      </c>
      <c r="Q69" s="41"/>
      <c r="R69" s="39"/>
      <c r="S69" s="109"/>
      <c r="T69" s="26"/>
      <c r="U69" s="204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45696.0</v>
      </c>
      <c r="I70" s="68" t="s">
        <v>1501</v>
      </c>
      <c r="J70" s="69">
        <v>1610.0</v>
      </c>
      <c r="K70" s="70" t="s">
        <v>1562</v>
      </c>
      <c r="L70" s="71">
        <v>0.9631944444444445</v>
      </c>
      <c r="M70" s="72" t="s">
        <v>1486</v>
      </c>
      <c r="N70" s="90">
        <v>5085.0</v>
      </c>
      <c r="O70" s="74" t="s">
        <v>1551</v>
      </c>
      <c r="P70" s="75">
        <v>0.9993055555555556</v>
      </c>
      <c r="Q70" s="72"/>
      <c r="R70" s="39"/>
      <c r="S70" s="109"/>
      <c r="T70" s="26"/>
      <c r="U70" s="204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45697.0</v>
      </c>
      <c r="I71" s="68"/>
      <c r="J71" s="69"/>
      <c r="K71" s="70"/>
      <c r="L71" s="71"/>
      <c r="M71" s="72" t="s">
        <v>1523</v>
      </c>
      <c r="N71" s="90">
        <v>10.0</v>
      </c>
      <c r="O71" s="74"/>
      <c r="P71" s="75">
        <v>0.5034722222222222</v>
      </c>
      <c r="Q71" s="41"/>
      <c r="R71" s="39"/>
      <c r="S71" s="109"/>
      <c r="T71" s="26"/>
      <c r="U71" s="204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45697.0</v>
      </c>
      <c r="I72" s="68"/>
      <c r="J72" s="69"/>
      <c r="K72" s="87"/>
      <c r="L72" s="71"/>
      <c r="M72" s="72" t="s">
        <v>1523</v>
      </c>
      <c r="N72" s="90">
        <f>2100-N71</f>
        <v>2090</v>
      </c>
      <c r="O72" s="74" t="s">
        <v>1503</v>
      </c>
      <c r="P72" s="75">
        <v>0.5048611111111111</v>
      </c>
      <c r="Q72" s="41"/>
      <c r="R72" s="39"/>
      <c r="S72" s="187">
        <f>SUM(S38:S71)</f>
        <v>1368722.629</v>
      </c>
      <c r="T72" s="40"/>
      <c r="U72" s="204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45697.0</v>
      </c>
      <c r="I73" s="68"/>
      <c r="J73" s="69"/>
      <c r="K73" s="85"/>
      <c r="L73" s="71"/>
      <c r="M73" s="72" t="s">
        <v>1225</v>
      </c>
      <c r="N73" s="90">
        <v>12926.0</v>
      </c>
      <c r="O73" s="74" t="s">
        <v>1563</v>
      </c>
      <c r="P73" s="75">
        <v>0.5652777777777778</v>
      </c>
      <c r="Q73" s="41"/>
      <c r="R73" s="39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45697.0</v>
      </c>
      <c r="I74" s="154"/>
      <c r="J74" s="69"/>
      <c r="K74" s="93"/>
      <c r="L74" s="71"/>
      <c r="M74" s="72" t="s">
        <v>1345</v>
      </c>
      <c r="N74" s="90">
        <v>1111.0</v>
      </c>
      <c r="O74" s="74" t="s">
        <v>1437</v>
      </c>
      <c r="P74" s="75">
        <v>0.5847222222222223</v>
      </c>
      <c r="Q74" s="41"/>
      <c r="R74" s="39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45697.0</v>
      </c>
      <c r="I75" s="68"/>
      <c r="J75" s="69"/>
      <c r="K75" s="87"/>
      <c r="L75" s="71"/>
      <c r="M75" s="72" t="s">
        <v>1486</v>
      </c>
      <c r="N75" s="90">
        <v>3955.0</v>
      </c>
      <c r="O75" s="74" t="s">
        <v>1564</v>
      </c>
      <c r="P75" s="75">
        <v>0.6430555555555556</v>
      </c>
      <c r="Q75" s="41"/>
      <c r="R75" s="39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45697.0</v>
      </c>
      <c r="I76" s="154"/>
      <c r="J76" s="69"/>
      <c r="K76" s="87"/>
      <c r="L76" s="71"/>
      <c r="M76" s="72" t="s">
        <v>671</v>
      </c>
      <c r="N76" s="90">
        <v>25093.0</v>
      </c>
      <c r="O76" s="74" t="s">
        <v>1565</v>
      </c>
      <c r="P76" s="75">
        <v>0.7083333333333334</v>
      </c>
      <c r="Q76" s="41"/>
      <c r="R76" s="39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45698.0</v>
      </c>
      <c r="I77" s="68"/>
      <c r="J77" s="69"/>
      <c r="K77" s="85"/>
      <c r="L77" s="71"/>
      <c r="M77" s="72" t="s">
        <v>1012</v>
      </c>
      <c r="N77" s="90">
        <v>5192.0</v>
      </c>
      <c r="O77" s="96" t="s">
        <v>1566</v>
      </c>
      <c r="P77" s="75">
        <v>0.5236111111111111</v>
      </c>
      <c r="Q77" s="41"/>
      <c r="R77" s="39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45698.0</v>
      </c>
      <c r="I78" s="68"/>
      <c r="J78" s="69"/>
      <c r="K78" s="87"/>
      <c r="L78" s="71"/>
      <c r="M78" s="72" t="s">
        <v>20</v>
      </c>
      <c r="N78" s="90">
        <v>5.0</v>
      </c>
      <c r="O78" s="74" t="s">
        <v>1567</v>
      </c>
      <c r="P78" s="75">
        <v>0.5493055555555556</v>
      </c>
      <c r="Q78" s="41"/>
      <c r="R78" s="39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45698.0</v>
      </c>
      <c r="I79" s="68"/>
      <c r="J79" s="69"/>
      <c r="K79" s="87"/>
      <c r="L79" s="71"/>
      <c r="M79" s="72" t="s">
        <v>14</v>
      </c>
      <c r="N79" s="90">
        <v>560.0</v>
      </c>
      <c r="O79" s="96" t="s">
        <v>1568</v>
      </c>
      <c r="P79" s="75">
        <v>0.6069444444444444</v>
      </c>
      <c r="Q79" s="41"/>
      <c r="R79" s="39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45699.0</v>
      </c>
      <c r="I80" s="68" t="s">
        <v>1569</v>
      </c>
      <c r="J80" s="69">
        <v>4135.41</v>
      </c>
      <c r="K80" s="70" t="s">
        <v>155</v>
      </c>
      <c r="L80" s="71">
        <v>0.04236111111111111</v>
      </c>
      <c r="M80" s="72"/>
      <c r="N80" s="90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45699.0</v>
      </c>
      <c r="I81" s="68" t="s">
        <v>1521</v>
      </c>
      <c r="J81" s="69">
        <v>1120.0</v>
      </c>
      <c r="K81" s="70" t="s">
        <v>1570</v>
      </c>
      <c r="L81" s="71">
        <v>0.6409722222222223</v>
      </c>
      <c r="M81" s="72"/>
      <c r="N81" s="90"/>
      <c r="O81" s="74"/>
      <c r="P81" s="75"/>
      <c r="Q81" s="41"/>
      <c r="R81" s="39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45699.0</v>
      </c>
      <c r="I82" s="68" t="s">
        <v>1523</v>
      </c>
      <c r="J82" s="69">
        <v>1190.0</v>
      </c>
      <c r="K82" s="70" t="s">
        <v>1571</v>
      </c>
      <c r="L82" s="71">
        <v>0.8159722222222222</v>
      </c>
      <c r="M82" s="72" t="s">
        <v>1486</v>
      </c>
      <c r="N82" s="90">
        <v>10981.34</v>
      </c>
      <c r="O82" s="74" t="s">
        <v>1572</v>
      </c>
      <c r="P82" s="75">
        <v>0.9125</v>
      </c>
      <c r="Q82" s="41"/>
      <c r="R82" s="39"/>
      <c r="S82" s="76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45699.0</v>
      </c>
      <c r="I83" s="68" t="s">
        <v>1122</v>
      </c>
      <c r="J83" s="69">
        <v>62840.0</v>
      </c>
      <c r="K83" s="70" t="s">
        <v>981</v>
      </c>
      <c r="L83" s="71">
        <v>0.9361111111111111</v>
      </c>
      <c r="M83" s="72"/>
      <c r="N83" s="90"/>
      <c r="O83" s="74"/>
      <c r="P83" s="75"/>
      <c r="Q83" s="41"/>
      <c r="R83" s="39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45700.0</v>
      </c>
      <c r="I84" s="68" t="s">
        <v>1521</v>
      </c>
      <c r="J84" s="69">
        <v>80.0</v>
      </c>
      <c r="K84" s="70" t="s">
        <v>1573</v>
      </c>
      <c r="L84" s="71">
        <v>0.1597222222222222</v>
      </c>
      <c r="M84" s="72" t="s">
        <v>1345</v>
      </c>
      <c r="N84" s="90">
        <v>424.48</v>
      </c>
      <c r="O84" s="74" t="s">
        <v>1574</v>
      </c>
      <c r="P84" s="75">
        <v>0.6305555555555555</v>
      </c>
      <c r="Q84" s="41"/>
      <c r="R84" s="39"/>
      <c r="S84" s="76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45700.0</v>
      </c>
      <c r="I85" s="68"/>
      <c r="J85" s="69"/>
      <c r="K85" s="70"/>
      <c r="L85" s="88"/>
      <c r="M85" s="72" t="s">
        <v>1345</v>
      </c>
      <c r="N85" s="90">
        <v>1111.0</v>
      </c>
      <c r="O85" s="74" t="s">
        <v>1153</v>
      </c>
      <c r="P85" s="75">
        <v>0.7583333333333333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45700.0</v>
      </c>
      <c r="I86" s="68"/>
      <c r="J86" s="69"/>
      <c r="K86" s="70"/>
      <c r="L86" s="71"/>
      <c r="M86" s="72" t="s">
        <v>1345</v>
      </c>
      <c r="N86" s="90">
        <v>2222.0</v>
      </c>
      <c r="O86" s="74" t="s">
        <v>1498</v>
      </c>
      <c r="P86" s="75">
        <v>0.9479166666666666</v>
      </c>
      <c r="Q86" s="41"/>
      <c r="R86" s="39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45701.0</v>
      </c>
      <c r="I87" s="68"/>
      <c r="J87" s="69"/>
      <c r="K87" s="85"/>
      <c r="L87" s="71"/>
      <c r="M87" s="72" t="s">
        <v>1345</v>
      </c>
      <c r="N87" s="90">
        <v>3333.0</v>
      </c>
      <c r="O87" s="74" t="s">
        <v>1178</v>
      </c>
      <c r="P87" s="75">
        <v>0.49166666666666664</v>
      </c>
      <c r="Q87" s="41"/>
      <c r="R87" s="39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45701.0</v>
      </c>
      <c r="I88" s="68"/>
      <c r="J88" s="69"/>
      <c r="K88" s="70"/>
      <c r="L88" s="71"/>
      <c r="M88" s="72" t="s">
        <v>20</v>
      </c>
      <c r="N88" s="90">
        <v>205.23</v>
      </c>
      <c r="O88" s="74" t="s">
        <v>275</v>
      </c>
      <c r="P88" s="75">
        <v>0.5618055555555556</v>
      </c>
      <c r="Q88" s="41"/>
      <c r="R88" s="39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45701.0</v>
      </c>
      <c r="I89" s="68"/>
      <c r="J89" s="69"/>
      <c r="K89" s="85"/>
      <c r="L89" s="71"/>
      <c r="M89" s="72" t="s">
        <v>1345</v>
      </c>
      <c r="N89" s="90">
        <v>3333.0</v>
      </c>
      <c r="O89" s="74" t="s">
        <v>1178</v>
      </c>
      <c r="P89" s="75">
        <v>0.5840277777777778</v>
      </c>
      <c r="Q89" s="41"/>
      <c r="R89" s="39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45701.0</v>
      </c>
      <c r="I90" s="68"/>
      <c r="J90" s="69"/>
      <c r="K90" s="70"/>
      <c r="L90" s="88"/>
      <c r="M90" s="72" t="s">
        <v>1345</v>
      </c>
      <c r="N90" s="90">
        <v>3333.0</v>
      </c>
      <c r="O90" s="74" t="s">
        <v>1178</v>
      </c>
      <c r="P90" s="75">
        <v>0.6138888888888889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45701.0</v>
      </c>
      <c r="I91" s="84"/>
      <c r="J91" s="17"/>
      <c r="K91" s="85"/>
      <c r="L91" s="86"/>
      <c r="M91" s="72" t="s">
        <v>1345</v>
      </c>
      <c r="N91" s="90">
        <v>3333.0</v>
      </c>
      <c r="O91" s="74" t="s">
        <v>1178</v>
      </c>
      <c r="P91" s="75">
        <v>0.6430555555555556</v>
      </c>
      <c r="Q91" s="41"/>
      <c r="R91" s="39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45701.0</v>
      </c>
      <c r="I92" s="68"/>
      <c r="J92" s="69"/>
      <c r="K92" s="87"/>
      <c r="L92" s="71"/>
      <c r="M92" s="72" t="s">
        <v>27</v>
      </c>
      <c r="N92" s="90">
        <v>2320.0</v>
      </c>
      <c r="O92" s="74" t="s">
        <v>1575</v>
      </c>
      <c r="P92" s="75">
        <v>0.6652777777777777</v>
      </c>
      <c r="Q92" s="41"/>
      <c r="R92" s="39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45701.0</v>
      </c>
      <c r="I93" s="68"/>
      <c r="J93" s="69"/>
      <c r="K93" s="85"/>
      <c r="L93" s="71"/>
      <c r="M93" s="72" t="s">
        <v>1576</v>
      </c>
      <c r="N93" s="90">
        <v>10.0</v>
      </c>
      <c r="O93" s="74"/>
      <c r="P93" s="75">
        <v>0.7361111111111112</v>
      </c>
      <c r="Q93" s="41"/>
      <c r="R93" s="39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45701.0</v>
      </c>
      <c r="I94" s="68"/>
      <c r="J94" s="69"/>
      <c r="K94" s="70"/>
      <c r="L94" s="88"/>
      <c r="M94" s="72" t="s">
        <v>1576</v>
      </c>
      <c r="N94" s="90">
        <f>565.6-N93</f>
        <v>555.6</v>
      </c>
      <c r="O94" s="74" t="s">
        <v>1577</v>
      </c>
      <c r="P94" s="75">
        <v>0.7409722222222223</v>
      </c>
      <c r="Q94" s="41"/>
      <c r="R94" s="39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45701.0</v>
      </c>
      <c r="I95" s="68"/>
      <c r="J95" s="69"/>
      <c r="K95" s="70"/>
      <c r="L95" s="71"/>
      <c r="M95" s="72" t="s">
        <v>14</v>
      </c>
      <c r="N95" s="90">
        <v>10000.0</v>
      </c>
      <c r="O95" s="96" t="s">
        <v>1578</v>
      </c>
      <c r="P95" s="75">
        <v>0.7944444444444444</v>
      </c>
      <c r="Q95" s="41"/>
      <c r="R95" s="39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45701.0</v>
      </c>
      <c r="I96" s="68" t="s">
        <v>1340</v>
      </c>
      <c r="J96" s="69">
        <v>1386.0</v>
      </c>
      <c r="K96" s="70" t="s">
        <v>1579</v>
      </c>
      <c r="L96" s="71">
        <v>0.9631944444444445</v>
      </c>
      <c r="M96" s="72"/>
      <c r="N96" s="90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45702.0</v>
      </c>
      <c r="I97" s="68"/>
      <c r="J97" s="69"/>
      <c r="K97" s="70"/>
      <c r="L97" s="71"/>
      <c r="M97" s="72" t="s">
        <v>1340</v>
      </c>
      <c r="N97" s="90">
        <v>2302.8</v>
      </c>
      <c r="O97" s="74" t="s">
        <v>1580</v>
      </c>
      <c r="P97" s="75">
        <v>0.54375</v>
      </c>
      <c r="Q97" s="41"/>
      <c r="R97" s="39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45702.0</v>
      </c>
      <c r="I98" s="84"/>
      <c r="J98" s="17"/>
      <c r="K98" s="85"/>
      <c r="L98" s="86"/>
      <c r="M98" s="72" t="s">
        <v>1345</v>
      </c>
      <c r="N98" s="90">
        <v>23331.0</v>
      </c>
      <c r="O98" s="74" t="s">
        <v>1581</v>
      </c>
      <c r="P98" s="75">
        <v>0.5930555555555556</v>
      </c>
      <c r="Q98" s="41"/>
      <c r="R98" s="39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45702.0</v>
      </c>
      <c r="I99" s="84"/>
      <c r="J99" s="17"/>
      <c r="K99" s="85"/>
      <c r="L99" s="86"/>
      <c r="M99" s="72" t="s">
        <v>27</v>
      </c>
      <c r="N99" s="90">
        <v>2220.0</v>
      </c>
      <c r="O99" s="74" t="s">
        <v>1582</v>
      </c>
      <c r="P99" s="75">
        <v>0.6006944444444444</v>
      </c>
      <c r="Q99" s="41"/>
      <c r="R99" s="39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45702.0</v>
      </c>
      <c r="I100" s="154"/>
      <c r="J100" s="17"/>
      <c r="K100" s="92"/>
      <c r="L100" s="173"/>
      <c r="M100" s="72" t="s">
        <v>14</v>
      </c>
      <c r="N100" s="90">
        <v>100000.0</v>
      </c>
      <c r="O100" s="74" t="s">
        <v>1583</v>
      </c>
      <c r="P100" s="75">
        <v>0.6548611111111111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45703.0</v>
      </c>
      <c r="I101" s="84"/>
      <c r="J101" s="17"/>
      <c r="K101" s="85"/>
      <c r="L101" s="86"/>
      <c r="M101" s="72" t="s">
        <v>27</v>
      </c>
      <c r="N101" s="90">
        <v>5550.0</v>
      </c>
      <c r="O101" s="74" t="s">
        <v>1584</v>
      </c>
      <c r="P101" s="75">
        <v>0.5493055555555556</v>
      </c>
      <c r="Q101" s="41"/>
      <c r="R101" s="39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45703.0</v>
      </c>
      <c r="I102" s="84"/>
      <c r="J102" s="17"/>
      <c r="K102" s="87"/>
      <c r="L102" s="71"/>
      <c r="M102" s="72" t="s">
        <v>1345</v>
      </c>
      <c r="N102" s="90">
        <v>22220.0</v>
      </c>
      <c r="O102" s="74" t="s">
        <v>1585</v>
      </c>
      <c r="P102" s="75">
        <v>0.5951388888888889</v>
      </c>
      <c r="Q102" s="41"/>
      <c r="R102" s="39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45703.0</v>
      </c>
      <c r="I103" s="68"/>
      <c r="J103" s="69"/>
      <c r="K103" s="87"/>
      <c r="L103" s="71"/>
      <c r="M103" s="72" t="s">
        <v>1012</v>
      </c>
      <c r="N103" s="90">
        <v>8800.0</v>
      </c>
      <c r="O103" s="74" t="s">
        <v>1489</v>
      </c>
      <c r="P103" s="75">
        <v>0.6493055555555556</v>
      </c>
      <c r="Q103" s="41"/>
      <c r="R103" s="39"/>
      <c r="S103" s="76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45703.0</v>
      </c>
      <c r="I104" s="68"/>
      <c r="J104" s="69"/>
      <c r="K104" s="87"/>
      <c r="L104" s="71"/>
      <c r="M104" s="72" t="s">
        <v>1345</v>
      </c>
      <c r="N104" s="90">
        <v>1076.47</v>
      </c>
      <c r="O104" s="74" t="s">
        <v>1586</v>
      </c>
      <c r="P104" s="75">
        <v>0.9125</v>
      </c>
      <c r="Q104" s="41"/>
      <c r="R104" s="39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45704.0</v>
      </c>
      <c r="I105" s="84"/>
      <c r="J105" s="17"/>
      <c r="K105" s="93"/>
      <c r="L105" s="155"/>
      <c r="M105" s="72" t="s">
        <v>20</v>
      </c>
      <c r="N105" s="90">
        <v>14.0</v>
      </c>
      <c r="O105" s="74" t="s">
        <v>1587</v>
      </c>
      <c r="P105" s="75">
        <v>0.6541666666666667</v>
      </c>
      <c r="Q105" s="41"/>
      <c r="R105" s="39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45705.0</v>
      </c>
      <c r="I106" s="68"/>
      <c r="J106" s="69"/>
      <c r="K106" s="87"/>
      <c r="L106" s="71"/>
      <c r="M106" s="72" t="s">
        <v>20</v>
      </c>
      <c r="N106" s="90">
        <v>70.0</v>
      </c>
      <c r="O106" s="74" t="s">
        <v>1265</v>
      </c>
      <c r="P106" s="75">
        <v>0.5104166666666666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45705.0</v>
      </c>
      <c r="I107" s="68" t="s">
        <v>1514</v>
      </c>
      <c r="J107" s="69">
        <v>5040.0</v>
      </c>
      <c r="K107" s="70" t="s">
        <v>1588</v>
      </c>
      <c r="L107" s="88" t="s">
        <v>1589</v>
      </c>
      <c r="M107" s="72" t="s">
        <v>27</v>
      </c>
      <c r="N107" s="191">
        <v>3330.0</v>
      </c>
      <c r="O107" s="74" t="s">
        <v>1407</v>
      </c>
      <c r="P107" s="75">
        <v>0.6493055555555556</v>
      </c>
      <c r="Q107" s="41"/>
      <c r="R107" s="39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45705.0</v>
      </c>
      <c r="I108" s="84"/>
      <c r="J108" s="17"/>
      <c r="K108" s="93"/>
      <c r="L108" s="155"/>
      <c r="M108" s="72" t="s">
        <v>1491</v>
      </c>
      <c r="N108" s="90">
        <v>10000.0</v>
      </c>
      <c r="O108" s="74"/>
      <c r="P108" s="75">
        <v>0.8881944444444444</v>
      </c>
      <c r="Q108" s="41"/>
      <c r="R108" s="39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45706.0</v>
      </c>
      <c r="I109" s="84"/>
      <c r="J109" s="17"/>
      <c r="K109" s="85"/>
      <c r="L109" s="86"/>
      <c r="M109" s="72" t="s">
        <v>20</v>
      </c>
      <c r="N109" s="90">
        <v>225.0</v>
      </c>
      <c r="O109" s="74" t="s">
        <v>1590</v>
      </c>
      <c r="P109" s="75">
        <v>0.5604166666666667</v>
      </c>
      <c r="Q109" s="41"/>
      <c r="R109" s="39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45706.0</v>
      </c>
      <c r="I110" s="68"/>
      <c r="J110" s="69"/>
      <c r="K110" s="70"/>
      <c r="L110" s="71"/>
      <c r="M110" s="72" t="s">
        <v>27</v>
      </c>
      <c r="N110" s="90">
        <v>5550.0</v>
      </c>
      <c r="O110" s="74" t="s">
        <v>1584</v>
      </c>
      <c r="P110" s="75">
        <v>0.58125</v>
      </c>
      <c r="Q110" s="41"/>
      <c r="R110" s="39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45706.0</v>
      </c>
      <c r="I111" s="68" t="s">
        <v>1529</v>
      </c>
      <c r="J111" s="69">
        <v>1170.0</v>
      </c>
      <c r="K111" s="70" t="s">
        <v>1591</v>
      </c>
      <c r="L111" s="71">
        <v>0.5944444444444444</v>
      </c>
      <c r="M111" s="72"/>
      <c r="N111" s="90"/>
      <c r="O111" s="74"/>
      <c r="P111" s="75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45706.0</v>
      </c>
      <c r="I112" s="68" t="s">
        <v>1530</v>
      </c>
      <c r="J112" s="69">
        <v>10062.0</v>
      </c>
      <c r="K112" s="70" t="s">
        <v>1592</v>
      </c>
      <c r="L112" s="71">
        <v>0.5951388888888889</v>
      </c>
      <c r="M112" s="72"/>
      <c r="N112" s="90"/>
      <c r="O112" s="74"/>
      <c r="P112" s="75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45706.0</v>
      </c>
      <c r="I113" s="68" t="s">
        <v>1514</v>
      </c>
      <c r="J113" s="69">
        <v>3960.0</v>
      </c>
      <c r="K113" s="70" t="s">
        <v>1593</v>
      </c>
      <c r="L113" s="71">
        <v>0.6111111111111112</v>
      </c>
      <c r="M113" s="72"/>
      <c r="N113" s="90"/>
      <c r="O113" s="74"/>
      <c r="P113" s="75"/>
      <c r="Q113" s="41"/>
      <c r="R113" s="39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45706.0</v>
      </c>
      <c r="I114" s="68" t="s">
        <v>1347</v>
      </c>
      <c r="J114" s="69">
        <v>100000.0</v>
      </c>
      <c r="K114" s="70"/>
      <c r="L114" s="71">
        <v>0.6756944444444445</v>
      </c>
      <c r="M114" s="72"/>
      <c r="N114" s="90"/>
      <c r="O114" s="74"/>
      <c r="P114" s="75"/>
      <c r="Q114" s="41"/>
      <c r="R114" s="39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45707.0</v>
      </c>
      <c r="I115" s="154"/>
      <c r="J115" s="17"/>
      <c r="K115" s="93"/>
      <c r="L115" s="155"/>
      <c r="M115" s="72" t="s">
        <v>20</v>
      </c>
      <c r="N115" s="90">
        <v>65.0</v>
      </c>
      <c r="O115" s="74" t="s">
        <v>1594</v>
      </c>
      <c r="P115" s="75">
        <v>0.48819444444444443</v>
      </c>
      <c r="Q115" s="41"/>
      <c r="R115" s="39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45707.0</v>
      </c>
      <c r="I116" s="68"/>
      <c r="J116" s="69"/>
      <c r="K116" s="85"/>
      <c r="L116" s="71"/>
      <c r="M116" s="72" t="s">
        <v>1345</v>
      </c>
      <c r="N116" s="90">
        <v>3920.85</v>
      </c>
      <c r="O116" s="74" t="s">
        <v>1595</v>
      </c>
      <c r="P116" s="75">
        <v>0.5868055555555556</v>
      </c>
      <c r="Q116" s="41"/>
      <c r="R116" s="39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45707.0</v>
      </c>
      <c r="I117" s="154"/>
      <c r="J117" s="17"/>
      <c r="K117" s="92"/>
      <c r="L117" s="155"/>
      <c r="M117" s="72"/>
      <c r="N117" s="90"/>
      <c r="O117" s="74"/>
      <c r="P117" s="75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45707.0</v>
      </c>
      <c r="I118" s="68" t="s">
        <v>1514</v>
      </c>
      <c r="J118" s="69">
        <v>3960.0</v>
      </c>
      <c r="K118" s="70" t="s">
        <v>1596</v>
      </c>
      <c r="L118" s="71">
        <v>0.6652777777777777</v>
      </c>
      <c r="M118" s="72"/>
      <c r="N118" s="90"/>
      <c r="O118" s="74"/>
      <c r="P118" s="75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45707.0</v>
      </c>
      <c r="I119" s="68" t="s">
        <v>1532</v>
      </c>
      <c r="J119" s="69">
        <v>4068.69</v>
      </c>
      <c r="K119" s="70" t="s">
        <v>155</v>
      </c>
      <c r="L119" s="71">
        <v>0.6715277777777777</v>
      </c>
      <c r="M119" s="72"/>
      <c r="N119" s="90"/>
      <c r="O119" s="74"/>
      <c r="P119" s="75"/>
      <c r="Q119" s="41"/>
      <c r="R119" s="39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45708.0</v>
      </c>
      <c r="I120" s="154"/>
      <c r="J120" s="17"/>
      <c r="K120" s="93"/>
      <c r="L120" s="155"/>
      <c r="M120" s="72" t="s">
        <v>1496</v>
      </c>
      <c r="N120" s="90">
        <v>201.2</v>
      </c>
      <c r="O120" s="74" t="s">
        <v>1597</v>
      </c>
      <c r="P120" s="75">
        <v>0.45694444444444443</v>
      </c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45708.0</v>
      </c>
      <c r="I121" s="68"/>
      <c r="J121" s="69"/>
      <c r="K121" s="87"/>
      <c r="L121" s="71"/>
      <c r="M121" s="72" t="s">
        <v>20</v>
      </c>
      <c r="N121" s="90">
        <v>18.0</v>
      </c>
      <c r="O121" s="74" t="s">
        <v>1598</v>
      </c>
      <c r="P121" s="75">
        <v>0.46041666666666664</v>
      </c>
      <c r="Q121" s="41"/>
      <c r="R121" s="39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45708.0</v>
      </c>
      <c r="I122" s="68"/>
      <c r="J122" s="69"/>
      <c r="K122" s="70"/>
      <c r="L122" s="71"/>
      <c r="M122" s="72" t="s">
        <v>1345</v>
      </c>
      <c r="N122" s="90">
        <v>5555.0</v>
      </c>
      <c r="O122" s="74" t="s">
        <v>1316</v>
      </c>
      <c r="P122" s="75">
        <v>0.5875</v>
      </c>
      <c r="Q122" s="41"/>
      <c r="R122" s="39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45708.0</v>
      </c>
      <c r="I123" s="68" t="s">
        <v>1340</v>
      </c>
      <c r="J123" s="69">
        <v>1992.0</v>
      </c>
      <c r="K123" s="70" t="s">
        <v>1599</v>
      </c>
      <c r="L123" s="88"/>
      <c r="M123" s="72" t="s">
        <v>20</v>
      </c>
      <c r="N123" s="90">
        <v>24.0</v>
      </c>
      <c r="O123" s="74" t="s">
        <v>1600</v>
      </c>
      <c r="P123" s="75">
        <v>0.7659722222222223</v>
      </c>
      <c r="Q123" s="41"/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45708.0</v>
      </c>
      <c r="I124" s="68" t="s">
        <v>1531</v>
      </c>
      <c r="J124" s="69">
        <v>15631.0</v>
      </c>
      <c r="K124" s="70" t="s">
        <v>1601</v>
      </c>
      <c r="L124" s="71">
        <v>0.7909722222222222</v>
      </c>
      <c r="M124" s="72" t="s">
        <v>1340</v>
      </c>
      <c r="N124" s="90">
        <v>636.3</v>
      </c>
      <c r="O124" s="74" t="s">
        <v>1602</v>
      </c>
      <c r="P124" s="75">
        <v>0.8916666666666667</v>
      </c>
      <c r="Q124" s="41"/>
      <c r="R124" s="39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45709.0</v>
      </c>
      <c r="I125" s="68" t="s">
        <v>1514</v>
      </c>
      <c r="J125" s="69">
        <v>480.0</v>
      </c>
      <c r="K125" s="70" t="s">
        <v>1603</v>
      </c>
      <c r="L125" s="71">
        <v>0.6097222222222223</v>
      </c>
      <c r="M125" s="72" t="s">
        <v>27</v>
      </c>
      <c r="N125" s="90">
        <v>4440.0</v>
      </c>
      <c r="O125" s="74" t="s">
        <v>1604</v>
      </c>
      <c r="P125" s="75">
        <v>0.6159722222222223</v>
      </c>
      <c r="Q125" s="41"/>
      <c r="R125" s="39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45709.0</v>
      </c>
      <c r="I126" s="84"/>
      <c r="J126" s="17"/>
      <c r="K126" s="85"/>
      <c r="L126" s="86"/>
      <c r="M126" s="72" t="s">
        <v>27</v>
      </c>
      <c r="N126" s="90">
        <v>2220.0</v>
      </c>
      <c r="O126" s="74" t="s">
        <v>1605</v>
      </c>
      <c r="P126" s="75">
        <v>0.6604166666666667</v>
      </c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45709.0</v>
      </c>
      <c r="I127" s="84"/>
      <c r="J127" s="17"/>
      <c r="K127" s="85"/>
      <c r="L127" s="86"/>
      <c r="M127" s="72" t="s">
        <v>1345</v>
      </c>
      <c r="N127" s="90">
        <v>3333.0</v>
      </c>
      <c r="O127" s="74" t="s">
        <v>1178</v>
      </c>
      <c r="P127" s="75">
        <v>0.6618055555555555</v>
      </c>
      <c r="Q127" s="41"/>
      <c r="R127" s="39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45709.0</v>
      </c>
      <c r="I128" s="68" t="s">
        <v>1348</v>
      </c>
      <c r="J128" s="69">
        <v>100.0</v>
      </c>
      <c r="K128" s="87"/>
      <c r="L128" s="88" t="s">
        <v>1606</v>
      </c>
      <c r="M128" s="72"/>
      <c r="N128" s="90"/>
      <c r="O128" s="74"/>
      <c r="P128" s="75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45709.0</v>
      </c>
      <c r="I129" s="68" t="s">
        <v>1348</v>
      </c>
      <c r="J129" s="69">
        <v>99900.0</v>
      </c>
      <c r="K129" s="70"/>
      <c r="L129" s="88" t="s">
        <v>1607</v>
      </c>
      <c r="M129" s="72"/>
      <c r="N129" s="90"/>
      <c r="O129" s="74"/>
      <c r="P129" s="75"/>
      <c r="Q129" s="41"/>
      <c r="R129" s="39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45710.0</v>
      </c>
      <c r="I130" s="68" t="s">
        <v>1341</v>
      </c>
      <c r="J130" s="69">
        <v>2520.0</v>
      </c>
      <c r="K130" s="70" t="s">
        <v>1608</v>
      </c>
      <c r="L130" s="71">
        <v>0.6083333333333333</v>
      </c>
      <c r="M130" s="72"/>
      <c r="N130" s="90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45710.0</v>
      </c>
      <c r="I131" s="68" t="s">
        <v>1514</v>
      </c>
      <c r="J131" s="69">
        <v>5400.0</v>
      </c>
      <c r="K131" s="70" t="s">
        <v>1609</v>
      </c>
      <c r="L131" s="71">
        <v>0.6118055555555556</v>
      </c>
      <c r="M131" s="72"/>
      <c r="N131" s="90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45710.0</v>
      </c>
      <c r="I132" s="68"/>
      <c r="J132" s="69"/>
      <c r="K132" s="70"/>
      <c r="L132" s="71"/>
      <c r="M132" s="72" t="s">
        <v>1345</v>
      </c>
      <c r="N132" s="90">
        <v>5555.0</v>
      </c>
      <c r="O132" s="74" t="s">
        <v>1316</v>
      </c>
      <c r="P132" s="75">
        <v>0.6173611111111111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45710.0</v>
      </c>
      <c r="I133" s="68" t="s">
        <v>1491</v>
      </c>
      <c r="J133" s="69">
        <v>400.0</v>
      </c>
      <c r="K133" s="70" t="s">
        <v>1610</v>
      </c>
      <c r="L133" s="71">
        <v>0.8819444444444444</v>
      </c>
      <c r="M133" s="72" t="s">
        <v>1517</v>
      </c>
      <c r="N133" s="90">
        <v>10.0</v>
      </c>
      <c r="O133" s="74"/>
      <c r="P133" s="75">
        <v>0.8993055555555556</v>
      </c>
      <c r="Q133" s="41"/>
      <c r="R133" s="39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45710.0</v>
      </c>
      <c r="I134" s="68"/>
      <c r="J134" s="69"/>
      <c r="K134" s="70"/>
      <c r="L134" s="88"/>
      <c r="M134" s="72" t="s">
        <v>1517</v>
      </c>
      <c r="N134" s="90">
        <f>5000-N133</f>
        <v>4990</v>
      </c>
      <c r="O134" s="74"/>
      <c r="P134" s="75">
        <v>0.9</v>
      </c>
      <c r="Q134" s="41"/>
      <c r="R134" s="39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45711.0</v>
      </c>
      <c r="I135" s="68"/>
      <c r="J135" s="69"/>
      <c r="K135" s="70"/>
      <c r="L135" s="88"/>
      <c r="M135" s="72" t="s">
        <v>1012</v>
      </c>
      <c r="N135" s="90">
        <v>8800.0</v>
      </c>
      <c r="O135" s="96" t="s">
        <v>1489</v>
      </c>
      <c r="P135" s="75">
        <v>0.5958333333333333</v>
      </c>
      <c r="Q135" s="41"/>
      <c r="R135" s="39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45711.0</v>
      </c>
      <c r="I136" s="68" t="s">
        <v>1018</v>
      </c>
      <c r="J136" s="69">
        <v>60004.0</v>
      </c>
      <c r="K136" s="70" t="s">
        <v>1611</v>
      </c>
      <c r="L136" s="71">
        <v>0.7333333333333333</v>
      </c>
      <c r="M136" s="72" t="s">
        <v>14</v>
      </c>
      <c r="N136" s="90">
        <v>46170.8315</v>
      </c>
      <c r="O136" s="74" t="s">
        <v>1612</v>
      </c>
      <c r="P136" s="75">
        <v>0.7486111111111111</v>
      </c>
      <c r="Q136" s="41"/>
      <c r="R136" s="39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45711.0</v>
      </c>
      <c r="I137" s="68" t="s">
        <v>1361</v>
      </c>
      <c r="J137" s="69">
        <v>100.0</v>
      </c>
      <c r="K137" s="70"/>
      <c r="L137" s="71">
        <v>0.9333333333333333</v>
      </c>
      <c r="M137" s="72"/>
      <c r="N137" s="90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45711.0</v>
      </c>
      <c r="I138" s="68" t="s">
        <v>1361</v>
      </c>
      <c r="J138" s="69">
        <v>49900.0</v>
      </c>
      <c r="K138" s="85"/>
      <c r="L138" s="71">
        <v>0.9354166666666667</v>
      </c>
      <c r="M138" s="72"/>
      <c r="N138" s="90"/>
      <c r="O138" s="74"/>
      <c r="P138" s="75"/>
      <c r="Q138" s="41"/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45712.0</v>
      </c>
      <c r="I139" s="68"/>
      <c r="J139" s="69"/>
      <c r="K139" s="70"/>
      <c r="L139" s="71"/>
      <c r="M139" s="72" t="s">
        <v>27</v>
      </c>
      <c r="N139" s="90">
        <v>7770.0</v>
      </c>
      <c r="O139" s="74" t="s">
        <v>1613</v>
      </c>
      <c r="P139" s="75">
        <v>0.5097222222222222</v>
      </c>
      <c r="Q139" s="41"/>
      <c r="R139" s="39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45712.0</v>
      </c>
      <c r="I140" s="68"/>
      <c r="J140" s="69"/>
      <c r="K140" s="70"/>
      <c r="L140" s="71"/>
      <c r="M140" s="72" t="s">
        <v>1345</v>
      </c>
      <c r="N140" s="90">
        <v>5555.0</v>
      </c>
      <c r="O140" s="74" t="s">
        <v>1316</v>
      </c>
      <c r="P140" s="75">
        <v>0.5659722222222222</v>
      </c>
      <c r="Q140" s="41"/>
      <c r="R140" s="39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45712.0</v>
      </c>
      <c r="I141" s="68"/>
      <c r="J141" s="69"/>
      <c r="K141" s="70"/>
      <c r="L141" s="88"/>
      <c r="M141" s="72" t="s">
        <v>1345</v>
      </c>
      <c r="N141" s="90">
        <v>2828.0</v>
      </c>
      <c r="O141" s="74" t="s">
        <v>1614</v>
      </c>
      <c r="P141" s="75">
        <v>0.5951388888888889</v>
      </c>
      <c r="Q141" s="41"/>
      <c r="R141" s="39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45712.0</v>
      </c>
      <c r="I142" s="68" t="s">
        <v>1514</v>
      </c>
      <c r="J142" s="69">
        <v>3480.0</v>
      </c>
      <c r="K142" s="70" t="s">
        <v>1615</v>
      </c>
      <c r="L142" s="71">
        <v>0.65625</v>
      </c>
      <c r="M142" s="147" t="s">
        <v>1353</v>
      </c>
      <c r="N142" s="90">
        <v>9000.0</v>
      </c>
      <c r="O142" s="74" t="s">
        <v>1616</v>
      </c>
      <c r="P142" s="75">
        <v>0.6736111111111112</v>
      </c>
      <c r="Q142" s="41"/>
      <c r="R142" s="39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45712.0</v>
      </c>
      <c r="I143" s="68"/>
      <c r="J143" s="69"/>
      <c r="K143" s="85"/>
      <c r="L143" s="71"/>
      <c r="M143" s="72" t="s">
        <v>671</v>
      </c>
      <c r="N143" s="90">
        <v>8148.0</v>
      </c>
      <c r="O143" s="74" t="s">
        <v>1617</v>
      </c>
      <c r="P143" s="75">
        <v>0.9229166666666667</v>
      </c>
      <c r="Q143" s="41"/>
      <c r="R143" s="39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45712.0</v>
      </c>
      <c r="I144" s="68"/>
      <c r="J144" s="69"/>
      <c r="K144" s="85"/>
      <c r="L144" s="71"/>
      <c r="M144" s="72" t="s">
        <v>20</v>
      </c>
      <c r="N144" s="90">
        <v>14.0</v>
      </c>
      <c r="O144" s="74" t="s">
        <v>1618</v>
      </c>
      <c r="P144" s="75">
        <v>0.925</v>
      </c>
      <c r="Q144" s="41"/>
      <c r="R144" s="39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45713.0</v>
      </c>
      <c r="I145" s="68"/>
      <c r="J145" s="69"/>
      <c r="K145" s="87"/>
      <c r="L145" s="71"/>
      <c r="M145" s="72" t="s">
        <v>27</v>
      </c>
      <c r="N145" s="90">
        <v>14430.0</v>
      </c>
      <c r="O145" s="74" t="s">
        <v>1619</v>
      </c>
      <c r="P145" s="75">
        <v>0.5763888888888888</v>
      </c>
      <c r="Q145" s="41"/>
      <c r="R145" s="39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45713.0</v>
      </c>
      <c r="I146" s="68"/>
      <c r="J146" s="69"/>
      <c r="K146" s="87"/>
      <c r="L146" s="71"/>
      <c r="M146" s="72" t="s">
        <v>1345</v>
      </c>
      <c r="N146" s="90">
        <v>5555.0</v>
      </c>
      <c r="O146" s="74" t="s">
        <v>1316</v>
      </c>
      <c r="P146" s="75">
        <v>0.5777777777777777</v>
      </c>
      <c r="Q146" s="41"/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45713.0</v>
      </c>
      <c r="I147" s="84"/>
      <c r="J147" s="17"/>
      <c r="K147" s="85"/>
      <c r="L147" s="86"/>
      <c r="M147" s="72" t="s">
        <v>827</v>
      </c>
      <c r="N147" s="90">
        <v>5039.45</v>
      </c>
      <c r="O147" s="74"/>
      <c r="P147" s="75">
        <v>0.7534722222222222</v>
      </c>
      <c r="Q147" s="41"/>
      <c r="R147" s="39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45714.0</v>
      </c>
      <c r="I148" s="68" t="s">
        <v>1340</v>
      </c>
      <c r="J148" s="69">
        <v>600.0</v>
      </c>
      <c r="K148" s="70" t="s">
        <v>155</v>
      </c>
      <c r="L148" s="71">
        <v>0.9944444444444445</v>
      </c>
      <c r="M148" s="72" t="s">
        <v>1012</v>
      </c>
      <c r="N148" s="90">
        <v>8800.0</v>
      </c>
      <c r="O148" s="96" t="s">
        <v>1489</v>
      </c>
      <c r="P148" s="75">
        <v>0.5333333333333333</v>
      </c>
      <c r="Q148" s="41"/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45714.0</v>
      </c>
      <c r="I149" s="84"/>
      <c r="J149" s="17"/>
      <c r="K149" s="85"/>
      <c r="L149" s="86"/>
      <c r="M149" s="72" t="s">
        <v>20</v>
      </c>
      <c r="N149" s="90">
        <v>52.0</v>
      </c>
      <c r="O149" s="74" t="s">
        <v>1620</v>
      </c>
      <c r="P149" s="75">
        <v>0.5569444444444445</v>
      </c>
      <c r="Q149" s="41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45714.0</v>
      </c>
      <c r="I150" s="84"/>
      <c r="J150" s="17"/>
      <c r="K150" s="85"/>
      <c r="L150" s="86"/>
      <c r="M150" s="72" t="s">
        <v>27</v>
      </c>
      <c r="N150" s="90">
        <v>6660.0</v>
      </c>
      <c r="O150" s="74" t="s">
        <v>1306</v>
      </c>
      <c r="P150" s="75">
        <v>0.5729166666666666</v>
      </c>
      <c r="Q150" s="41"/>
      <c r="R150" s="39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45714.0</v>
      </c>
      <c r="I151" s="68"/>
      <c r="J151" s="69"/>
      <c r="K151" s="70"/>
      <c r="L151" s="88"/>
      <c r="M151" s="72" t="s">
        <v>1345</v>
      </c>
      <c r="N151" s="90">
        <v>5555.0</v>
      </c>
      <c r="O151" s="74" t="s">
        <v>1316</v>
      </c>
      <c r="P151" s="75">
        <v>0.5777777777777777</v>
      </c>
      <c r="Q151" s="41"/>
      <c r="R151" s="39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45714.0</v>
      </c>
      <c r="I152" s="68" t="s">
        <v>1514</v>
      </c>
      <c r="J152" s="69">
        <v>3600.0</v>
      </c>
      <c r="K152" s="70" t="s">
        <v>1621</v>
      </c>
      <c r="L152" s="71">
        <v>0.5909722222222222</v>
      </c>
      <c r="M152" s="72" t="s">
        <v>671</v>
      </c>
      <c r="N152" s="90">
        <f>8418-N143</f>
        <v>270</v>
      </c>
      <c r="O152" s="74" t="s">
        <v>1622</v>
      </c>
      <c r="P152" s="75">
        <v>0.64375</v>
      </c>
      <c r="Q152" s="41"/>
      <c r="R152" s="39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45714.0</v>
      </c>
      <c r="I153" s="68"/>
      <c r="J153" s="69"/>
      <c r="K153" s="85"/>
      <c r="L153" s="71"/>
      <c r="M153" s="72" t="s">
        <v>1517</v>
      </c>
      <c r="N153" s="90">
        <v>1100.0</v>
      </c>
      <c r="O153" s="74" t="s">
        <v>1623</v>
      </c>
      <c r="P153" s="75">
        <v>0.8666666666666667</v>
      </c>
      <c r="Q153" s="41"/>
      <c r="R153" s="39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45715.0</v>
      </c>
      <c r="I154" s="84"/>
      <c r="J154" s="17"/>
      <c r="K154" s="85"/>
      <c r="L154" s="86"/>
      <c r="M154" s="72" t="s">
        <v>827</v>
      </c>
      <c r="N154" s="90">
        <v>4767.68</v>
      </c>
      <c r="O154" s="74" t="s">
        <v>1355</v>
      </c>
      <c r="P154" s="75">
        <v>0.5104166666666666</v>
      </c>
      <c r="Q154" s="41"/>
      <c r="R154" s="39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45715.0</v>
      </c>
      <c r="I155" s="68" t="s">
        <v>1341</v>
      </c>
      <c r="J155" s="69">
        <v>6240.0</v>
      </c>
      <c r="K155" s="70" t="s">
        <v>1624</v>
      </c>
      <c r="L155" s="88" t="s">
        <v>1625</v>
      </c>
      <c r="M155" s="72"/>
      <c r="N155" s="90"/>
      <c r="O155" s="74"/>
      <c r="P155" s="75"/>
      <c r="Q155" s="41"/>
      <c r="R155" s="39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45715.0</v>
      </c>
      <c r="I156" s="68" t="s">
        <v>1533</v>
      </c>
      <c r="J156" s="69">
        <v>16816.46</v>
      </c>
      <c r="K156" s="85"/>
      <c r="L156" s="71">
        <v>0.6763888888888889</v>
      </c>
      <c r="M156" s="72" t="s">
        <v>1224</v>
      </c>
      <c r="N156" s="90">
        <v>10.0</v>
      </c>
      <c r="O156" s="74"/>
      <c r="P156" s="75">
        <v>0.6951388888888889</v>
      </c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45715.0</v>
      </c>
      <c r="I157" s="68"/>
      <c r="J157" s="69"/>
      <c r="K157" s="87"/>
      <c r="L157" s="71"/>
      <c r="M157" s="72" t="s">
        <v>1224</v>
      </c>
      <c r="N157" s="90">
        <f>5000-N156</f>
        <v>4990</v>
      </c>
      <c r="O157" s="74" t="s">
        <v>1626</v>
      </c>
      <c r="P157" s="75">
        <v>0.6972222222222222</v>
      </c>
      <c r="Q157" s="41"/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45716.0</v>
      </c>
      <c r="I158" s="68"/>
      <c r="J158" s="69"/>
      <c r="K158" s="70"/>
      <c r="L158" s="71"/>
      <c r="M158" s="72" t="s">
        <v>69</v>
      </c>
      <c r="N158" s="90">
        <v>21.0</v>
      </c>
      <c r="O158" s="74" t="s">
        <v>1627</v>
      </c>
      <c r="P158" s="75">
        <v>0.49166666666666664</v>
      </c>
      <c r="Q158" s="41"/>
      <c r="R158" s="39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45716.0</v>
      </c>
      <c r="I159" s="68" t="s">
        <v>1514</v>
      </c>
      <c r="J159" s="69">
        <v>120.0</v>
      </c>
      <c r="K159" s="70" t="s">
        <v>1628</v>
      </c>
      <c r="L159" s="71">
        <v>0.5298611111111111</v>
      </c>
      <c r="M159" s="72" t="s">
        <v>1225</v>
      </c>
      <c r="N159" s="90">
        <v>6900.0</v>
      </c>
      <c r="O159" s="74" t="s">
        <v>1629</v>
      </c>
      <c r="P159" s="75">
        <v>0.5208333333333334</v>
      </c>
      <c r="Q159" s="41"/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45716.0</v>
      </c>
      <c r="I160" s="154"/>
      <c r="J160" s="17"/>
      <c r="K160" s="93"/>
      <c r="L160" s="155"/>
      <c r="M160" s="72" t="s">
        <v>1225</v>
      </c>
      <c r="N160" s="90">
        <v>8280.0</v>
      </c>
      <c r="O160" s="74" t="s">
        <v>1630</v>
      </c>
      <c r="P160" s="75">
        <v>0.8166666666666667</v>
      </c>
      <c r="Q160" s="41"/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45716.0</v>
      </c>
      <c r="I161" s="154"/>
      <c r="J161" s="17"/>
      <c r="K161" s="93"/>
      <c r="L161" s="155"/>
      <c r="M161" s="72" t="s">
        <v>1216</v>
      </c>
      <c r="N161" s="90">
        <v>50.0</v>
      </c>
      <c r="O161" s="74"/>
      <c r="P161" s="75">
        <v>0.8166666666666667</v>
      </c>
      <c r="Q161" s="41"/>
      <c r="R161" s="39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45716.0</v>
      </c>
      <c r="I162" s="68" t="s">
        <v>1559</v>
      </c>
      <c r="J162" s="69">
        <v>57.0</v>
      </c>
      <c r="K162" s="93"/>
      <c r="L162" s="71"/>
      <c r="M162" s="72" t="s">
        <v>1225</v>
      </c>
      <c r="N162" s="90">
        <v>9200.0</v>
      </c>
      <c r="O162" s="74" t="s">
        <v>1631</v>
      </c>
      <c r="P162" s="75">
        <v>0.9194444444444444</v>
      </c>
      <c r="Q162" s="41"/>
      <c r="R162" s="39"/>
      <c r="S162" s="76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/>
      <c r="I163" s="68"/>
      <c r="J163" s="69"/>
      <c r="K163" s="87"/>
      <c r="L163" s="71"/>
      <c r="M163" s="72"/>
      <c r="N163" s="90"/>
      <c r="O163" s="74"/>
      <c r="P163" s="75"/>
      <c r="Q163" s="41"/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/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/>
      <c r="I165" s="68"/>
      <c r="J165" s="69"/>
      <c r="K165" s="70"/>
      <c r="L165" s="71"/>
      <c r="M165" s="72"/>
      <c r="N165" s="90"/>
      <c r="O165" s="74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/>
      <c r="I166" s="68"/>
      <c r="J166" s="69"/>
      <c r="K166" s="87"/>
      <c r="L166" s="71"/>
      <c r="M166" s="72"/>
      <c r="N166" s="90"/>
      <c r="O166" s="74"/>
      <c r="P166" s="75"/>
      <c r="Q166" s="41"/>
      <c r="R166" s="39"/>
      <c r="S166" s="76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/>
      <c r="I167" s="84"/>
      <c r="J167" s="17"/>
      <c r="K167" s="85"/>
      <c r="L167" s="86"/>
      <c r="M167" s="72"/>
      <c r="N167" s="90"/>
      <c r="O167" s="74"/>
      <c r="P167" s="75"/>
      <c r="Q167" s="41"/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/>
      <c r="I168" s="68"/>
      <c r="J168" s="69"/>
      <c r="K168" s="70"/>
      <c r="L168" s="71"/>
      <c r="M168" s="72"/>
      <c r="N168" s="90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/>
      <c r="I169" s="84"/>
      <c r="J169" s="17"/>
      <c r="K169" s="85"/>
      <c r="L169" s="86"/>
      <c r="M169" s="147"/>
      <c r="N169" s="90"/>
      <c r="O169" s="74"/>
      <c r="P169" s="75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/>
      <c r="I170" s="84"/>
      <c r="J170" s="17"/>
      <c r="K170" s="85"/>
      <c r="L170" s="86"/>
      <c r="M170" s="72"/>
      <c r="N170" s="90"/>
      <c r="O170" s="74"/>
      <c r="P170" s="75"/>
      <c r="Q170" s="41"/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/>
      <c r="I171" s="84"/>
      <c r="J171" s="17"/>
      <c r="K171" s="85"/>
      <c r="L171" s="86"/>
      <c r="M171" s="72"/>
      <c r="N171" s="90"/>
      <c r="O171" s="74"/>
      <c r="P171" s="75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/>
      <c r="I172" s="68"/>
      <c r="J172" s="69"/>
      <c r="K172" s="87"/>
      <c r="L172" s="71"/>
      <c r="M172" s="72"/>
      <c r="N172" s="90"/>
      <c r="O172" s="74"/>
      <c r="P172" s="75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/>
      <c r="I173" s="154"/>
      <c r="J173" s="17"/>
      <c r="K173" s="87"/>
      <c r="L173" s="71"/>
      <c r="M173" s="72"/>
      <c r="N173" s="90"/>
      <c r="O173" s="74"/>
      <c r="P173" s="75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/>
      <c r="I174" s="84"/>
      <c r="J174" s="69"/>
      <c r="K174" s="87"/>
      <c r="L174" s="71"/>
      <c r="M174" s="72"/>
      <c r="N174" s="90"/>
      <c r="O174" s="74"/>
      <c r="P174" s="75"/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/>
      <c r="I175" s="68"/>
      <c r="J175" s="69"/>
      <c r="K175" s="85"/>
      <c r="L175" s="71"/>
      <c r="M175" s="72"/>
      <c r="N175" s="90"/>
      <c r="O175" s="74"/>
      <c r="P175" s="75"/>
      <c r="Q175" s="41"/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/>
      <c r="I176" s="84"/>
      <c r="J176" s="69"/>
      <c r="K176" s="70"/>
      <c r="L176" s="71"/>
      <c r="M176" s="72"/>
      <c r="N176" s="90"/>
      <c r="O176" s="74"/>
      <c r="P176" s="75"/>
      <c r="Q176" s="41"/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/>
      <c r="I177" s="68"/>
      <c r="J177" s="69"/>
      <c r="K177" s="70"/>
      <c r="L177" s="71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/>
      <c r="I178" s="68"/>
      <c r="J178" s="69"/>
      <c r="K178" s="87"/>
      <c r="L178" s="71"/>
      <c r="M178" s="147"/>
      <c r="N178" s="90"/>
      <c r="O178" s="74"/>
      <c r="P178" s="75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/>
      <c r="I179" s="68"/>
      <c r="J179" s="69"/>
      <c r="K179" s="87"/>
      <c r="L179" s="71"/>
      <c r="M179" s="72"/>
      <c r="N179" s="90"/>
      <c r="O179" s="74"/>
      <c r="P179" s="75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/>
      <c r="I180" s="84"/>
      <c r="J180" s="17"/>
      <c r="K180" s="85"/>
      <c r="L180" s="86"/>
      <c r="M180" s="72"/>
      <c r="N180" s="90"/>
      <c r="O180" s="74"/>
      <c r="P180" s="75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/>
      <c r="I181" s="84"/>
      <c r="J181" s="17"/>
      <c r="K181" s="85"/>
      <c r="L181" s="86"/>
      <c r="M181" s="72"/>
      <c r="N181" s="90"/>
      <c r="O181" s="74"/>
      <c r="P181" s="75"/>
      <c r="Q181" s="41"/>
      <c r="R181" s="39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/>
      <c r="I182" s="84"/>
      <c r="J182" s="17"/>
      <c r="K182" s="85"/>
      <c r="L182" s="86"/>
      <c r="M182" s="72"/>
      <c r="N182" s="90"/>
      <c r="O182" s="74"/>
      <c r="P182" s="75"/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/>
      <c r="I183" s="68"/>
      <c r="J183" s="69"/>
      <c r="K183" s="87"/>
      <c r="L183" s="71"/>
      <c r="M183" s="72"/>
      <c r="N183" s="90"/>
      <c r="O183" s="74"/>
      <c r="P183" s="75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/>
      <c r="I184" s="68"/>
      <c r="J184" s="69"/>
      <c r="K184" s="87"/>
      <c r="L184" s="71"/>
      <c r="M184" s="72"/>
      <c r="N184" s="90"/>
      <c r="O184" s="74"/>
      <c r="P184" s="75"/>
      <c r="Q184" s="41"/>
      <c r="R184" s="39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/>
      <c r="I185" s="154"/>
      <c r="J185" s="69"/>
      <c r="K185" s="87"/>
      <c r="L185" s="71"/>
      <c r="M185" s="72"/>
      <c r="N185" s="90"/>
      <c r="O185" s="74"/>
      <c r="P185" s="75"/>
      <c r="Q185" s="41"/>
      <c r="R185" s="39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/>
      <c r="I186" s="84"/>
      <c r="J186" s="17"/>
      <c r="K186" s="85"/>
      <c r="L186" s="86"/>
      <c r="M186" s="72"/>
      <c r="N186" s="90"/>
      <c r="O186" s="74"/>
      <c r="P186" s="75"/>
      <c r="Q186" s="41"/>
      <c r="R186" s="39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/>
      <c r="I187" s="84"/>
      <c r="J187" s="17"/>
      <c r="K187" s="85"/>
      <c r="L187" s="86"/>
      <c r="M187" s="72"/>
      <c r="N187" s="90"/>
      <c r="O187" s="74"/>
      <c r="P187" s="75"/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/>
      <c r="I188" s="68"/>
      <c r="J188" s="69"/>
      <c r="K188" s="70"/>
      <c r="L188" s="71"/>
      <c r="M188" s="72"/>
      <c r="N188" s="90"/>
      <c r="O188" s="74"/>
      <c r="P188" s="75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/>
      <c r="I189" s="84"/>
      <c r="J189" s="17"/>
      <c r="K189" s="85"/>
      <c r="L189" s="86"/>
      <c r="M189" s="72"/>
      <c r="N189" s="90"/>
      <c r="O189" s="74"/>
      <c r="P189" s="75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/>
      <c r="I190" s="84"/>
      <c r="J190" s="17"/>
      <c r="K190" s="85"/>
      <c r="L190" s="86"/>
      <c r="M190" s="72"/>
      <c r="N190" s="90"/>
      <c r="O190" s="74"/>
      <c r="P190" s="75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/>
      <c r="I191" s="68"/>
      <c r="J191" s="69"/>
      <c r="K191" s="70"/>
      <c r="L191" s="71"/>
      <c r="M191" s="72"/>
      <c r="N191" s="90"/>
      <c r="O191" s="74"/>
      <c r="P191" s="75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/>
      <c r="I192" s="84"/>
      <c r="J192" s="17"/>
      <c r="K192" s="85"/>
      <c r="L192" s="86"/>
      <c r="M192" s="72"/>
      <c r="N192" s="90"/>
      <c r="O192" s="74"/>
      <c r="P192" s="75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/>
      <c r="I193" s="84"/>
      <c r="J193" s="17"/>
      <c r="K193" s="85"/>
      <c r="L193" s="86"/>
      <c r="M193" s="72"/>
      <c r="N193" s="90"/>
      <c r="O193" s="74"/>
      <c r="P193" s="75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/>
      <c r="I194" s="68"/>
      <c r="J194" s="69"/>
      <c r="K194" s="70"/>
      <c r="L194" s="71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/>
      <c r="I195" s="84"/>
      <c r="J195" s="17"/>
      <c r="K195" s="85"/>
      <c r="L195" s="86"/>
      <c r="M195" s="72"/>
      <c r="N195" s="90"/>
      <c r="O195" s="74"/>
      <c r="P195" s="75"/>
      <c r="Q195" s="41"/>
      <c r="R195" s="39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/>
      <c r="I196" s="68"/>
      <c r="J196" s="69"/>
      <c r="K196" s="70"/>
      <c r="L196" s="71"/>
      <c r="M196" s="72"/>
      <c r="N196" s="90"/>
      <c r="O196" s="74"/>
      <c r="P196" s="75"/>
      <c r="Q196" s="41"/>
      <c r="R196" s="39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/>
      <c r="I197" s="68"/>
      <c r="J197" s="69"/>
      <c r="K197" s="70"/>
      <c r="L197" s="71"/>
      <c r="M197" s="72"/>
      <c r="N197" s="90"/>
      <c r="O197" s="74"/>
      <c r="P197" s="75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/>
      <c r="I198" s="68"/>
      <c r="J198" s="69"/>
      <c r="K198" s="70"/>
      <c r="L198" s="71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/>
      <c r="I199" s="68"/>
      <c r="J199" s="69"/>
      <c r="K199" s="85"/>
      <c r="L199" s="71"/>
      <c r="M199" s="72"/>
      <c r="N199" s="90"/>
      <c r="O199" s="74"/>
      <c r="P199" s="75"/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/>
      <c r="I200" s="84"/>
      <c r="J200" s="17"/>
      <c r="K200" s="85"/>
      <c r="L200" s="86"/>
      <c r="M200" s="72"/>
      <c r="N200" s="90"/>
      <c r="O200" s="74"/>
      <c r="P200" s="75"/>
      <c r="Q200" s="41"/>
      <c r="R200" s="39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/>
      <c r="I201" s="84"/>
      <c r="J201" s="17"/>
      <c r="K201" s="85"/>
      <c r="L201" s="86"/>
      <c r="M201" s="72"/>
      <c r="N201" s="90"/>
      <c r="O201" s="74"/>
      <c r="P201" s="75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/>
      <c r="I202" s="84"/>
      <c r="J202" s="17"/>
      <c r="K202" s="85"/>
      <c r="L202" s="86"/>
      <c r="M202" s="72"/>
      <c r="N202" s="90"/>
      <c r="O202" s="74"/>
      <c r="P202" s="75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/>
      <c r="I203" s="84"/>
      <c r="J203" s="17"/>
      <c r="K203" s="85"/>
      <c r="L203" s="86"/>
      <c r="M203" s="72"/>
      <c r="N203" s="90"/>
      <c r="O203" s="74"/>
      <c r="P203" s="75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/>
      <c r="I204" s="84"/>
      <c r="J204" s="17"/>
      <c r="K204" s="85"/>
      <c r="L204" s="86"/>
      <c r="M204" s="72"/>
      <c r="N204" s="90"/>
      <c r="O204" s="74"/>
      <c r="P204" s="75"/>
      <c r="Q204" s="41"/>
      <c r="R204" s="39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/>
      <c r="I205" s="68"/>
      <c r="J205" s="69"/>
      <c r="K205" s="85"/>
      <c r="L205" s="71"/>
      <c r="M205" s="72"/>
      <c r="N205" s="90"/>
      <c r="O205" s="74"/>
      <c r="P205" s="75"/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/>
      <c r="I206" s="84"/>
      <c r="J206" s="17"/>
      <c r="K206" s="85"/>
      <c r="L206" s="86"/>
      <c r="M206" s="72"/>
      <c r="N206" s="90"/>
      <c r="O206" s="74"/>
      <c r="P206" s="75"/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/>
      <c r="I207" s="68"/>
      <c r="J207" s="69"/>
      <c r="K207" s="85"/>
      <c r="L207" s="71"/>
      <c r="M207" s="72"/>
      <c r="N207" s="90"/>
      <c r="O207" s="74"/>
      <c r="P207" s="75"/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/>
      <c r="I208" s="68"/>
      <c r="J208" s="69"/>
      <c r="K208" s="70"/>
      <c r="L208" s="71"/>
      <c r="M208" s="72"/>
      <c r="N208" s="90"/>
      <c r="O208" s="128"/>
      <c r="P208" s="75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/>
      <c r="I209" s="84"/>
      <c r="J209" s="17"/>
      <c r="K209" s="85"/>
      <c r="L209" s="86"/>
      <c r="M209" s="72"/>
      <c r="N209" s="90"/>
      <c r="O209" s="74"/>
      <c r="P209" s="75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/>
      <c r="I210" s="84"/>
      <c r="J210" s="17"/>
      <c r="K210" s="85"/>
      <c r="L210" s="86"/>
      <c r="M210" s="72"/>
      <c r="N210" s="90"/>
      <c r="O210" s="74"/>
      <c r="P210" s="75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/>
      <c r="I211" s="84"/>
      <c r="J211" s="17"/>
      <c r="K211" s="85"/>
      <c r="L211" s="86"/>
      <c r="M211" s="72"/>
      <c r="N211" s="90"/>
      <c r="O211" s="74"/>
      <c r="P211" s="75"/>
      <c r="Q211" s="41"/>
      <c r="R211" s="39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/>
      <c r="I212" s="68"/>
      <c r="J212" s="69"/>
      <c r="K212" s="70"/>
      <c r="L212" s="71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/>
      <c r="I213" s="84"/>
      <c r="J213" s="17"/>
      <c r="K213" s="85"/>
      <c r="L213" s="86"/>
      <c r="M213" s="72"/>
      <c r="N213" s="90"/>
      <c r="O213" s="128"/>
      <c r="P213" s="75"/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/>
      <c r="I214" s="84"/>
      <c r="J214" s="17"/>
      <c r="K214" s="85"/>
      <c r="L214" s="86"/>
      <c r="M214" s="72"/>
      <c r="N214" s="90"/>
      <c r="O214" s="128"/>
      <c r="P214" s="75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/>
      <c r="I215" s="84"/>
      <c r="J215" s="17"/>
      <c r="K215" s="85"/>
      <c r="L215" s="86"/>
      <c r="M215" s="72"/>
      <c r="N215" s="90"/>
      <c r="O215" s="74"/>
      <c r="P215" s="75"/>
      <c r="Q215" s="41"/>
      <c r="R215" s="39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/>
      <c r="I216" s="84"/>
      <c r="J216" s="17"/>
      <c r="K216" s="85"/>
      <c r="L216" s="86"/>
      <c r="M216" s="72"/>
      <c r="N216" s="90"/>
      <c r="O216" s="74"/>
      <c r="P216" s="75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/>
      <c r="I217" s="84"/>
      <c r="J217" s="17"/>
      <c r="K217" s="85"/>
      <c r="L217" s="86"/>
      <c r="M217" s="72"/>
      <c r="N217" s="90"/>
      <c r="O217" s="74"/>
      <c r="P217" s="75"/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/>
      <c r="I218" s="68"/>
      <c r="J218" s="69"/>
      <c r="K218" s="85"/>
      <c r="L218" s="71"/>
      <c r="M218" s="72"/>
      <c r="N218" s="90"/>
      <c r="O218" s="74"/>
      <c r="P218" s="75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/>
      <c r="I219" s="84"/>
      <c r="J219" s="17"/>
      <c r="K219" s="85"/>
      <c r="L219" s="86"/>
      <c r="M219" s="72"/>
      <c r="N219" s="90"/>
      <c r="O219" s="74"/>
      <c r="P219" s="75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/>
      <c r="I220" s="84"/>
      <c r="J220" s="17"/>
      <c r="K220" s="85"/>
      <c r="L220" s="86"/>
      <c r="M220" s="72"/>
      <c r="N220" s="90"/>
      <c r="O220" s="74"/>
      <c r="P220" s="75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/>
      <c r="I221" s="84"/>
      <c r="J221" s="17"/>
      <c r="K221" s="85"/>
      <c r="L221" s="86"/>
      <c r="M221" s="72"/>
      <c r="N221" s="90"/>
      <c r="O221" s="74"/>
      <c r="P221" s="75"/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/>
      <c r="I222" s="84"/>
      <c r="J222" s="17"/>
      <c r="K222" s="85"/>
      <c r="L222" s="86"/>
      <c r="M222" s="72"/>
      <c r="N222" s="90"/>
      <c r="O222" s="74"/>
      <c r="P222" s="75"/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/>
      <c r="I223" s="84"/>
      <c r="J223" s="17"/>
      <c r="K223" s="85"/>
      <c r="L223" s="86"/>
      <c r="M223" s="72"/>
      <c r="N223" s="90"/>
      <c r="O223" s="74"/>
      <c r="P223" s="75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/>
      <c r="I224" s="84"/>
      <c r="J224" s="17"/>
      <c r="K224" s="85"/>
      <c r="L224" s="86"/>
      <c r="M224" s="72"/>
      <c r="N224" s="90"/>
      <c r="O224" s="74"/>
      <c r="P224" s="75"/>
      <c r="Q224" s="41"/>
      <c r="R224" s="39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67"/>
      <c r="I225" s="84"/>
      <c r="J225" s="17"/>
      <c r="K225" s="85"/>
      <c r="L225" s="86"/>
      <c r="M225" s="72"/>
      <c r="N225" s="90"/>
      <c r="O225" s="74"/>
      <c r="P225" s="75"/>
      <c r="Q225" s="41"/>
      <c r="R225" s="39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67"/>
      <c r="I226" s="84"/>
      <c r="J226" s="17"/>
      <c r="K226" s="85"/>
      <c r="L226" s="86"/>
      <c r="M226" s="72"/>
      <c r="N226" s="90"/>
      <c r="O226" s="74"/>
      <c r="P226" s="75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67"/>
      <c r="I227" s="84"/>
      <c r="J227" s="17"/>
      <c r="K227" s="85"/>
      <c r="L227" s="86"/>
      <c r="M227" s="72"/>
      <c r="N227" s="90"/>
      <c r="O227" s="74"/>
      <c r="P227" s="75"/>
      <c r="Q227" s="41"/>
      <c r="R227" s="39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67"/>
      <c r="I228" s="84"/>
      <c r="J228" s="17"/>
      <c r="K228" s="85"/>
      <c r="L228" s="86"/>
      <c r="M228" s="72"/>
      <c r="N228" s="90"/>
      <c r="O228" s="74"/>
      <c r="P228" s="75"/>
      <c r="Q228" s="41"/>
      <c r="R228" s="39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67"/>
      <c r="I229" s="84"/>
      <c r="J229" s="17"/>
      <c r="K229" s="85"/>
      <c r="L229" s="86"/>
      <c r="M229" s="72"/>
      <c r="N229" s="90"/>
      <c r="O229" s="74"/>
      <c r="P229" s="75"/>
      <c r="Q229" s="41"/>
      <c r="R229" s="39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67"/>
      <c r="I230" s="68"/>
      <c r="J230" s="69"/>
      <c r="K230" s="70"/>
      <c r="L230" s="71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67"/>
      <c r="I231" s="68"/>
      <c r="J231" s="69"/>
      <c r="K231" s="70"/>
      <c r="L231" s="71"/>
      <c r="M231" s="72"/>
      <c r="N231" s="90"/>
      <c r="O231" s="74"/>
      <c r="P231" s="75"/>
      <c r="Q231" s="41"/>
      <c r="R231" s="39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67"/>
      <c r="I232" s="68"/>
      <c r="J232" s="69"/>
      <c r="K232" s="70"/>
      <c r="L232" s="71"/>
      <c r="M232" s="127"/>
      <c r="N232" s="19"/>
      <c r="O232" s="128"/>
      <c r="P232" s="129"/>
      <c r="Q232" s="41"/>
      <c r="R232" s="39"/>
      <c r="S232" s="76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35:AB3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8.75"/>
    <col customWidth="1" min="22" max="22" width="14.0"/>
    <col customWidth="1" min="23" max="28" width="6.88"/>
  </cols>
  <sheetData>
    <row r="1" ht="48.75" customHeight="1">
      <c r="A1" s="9"/>
      <c r="B1" s="2"/>
      <c r="C1" s="3" t="s">
        <v>1632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1633</v>
      </c>
      <c r="D4" s="21"/>
      <c r="E4" s="20"/>
      <c r="F4" s="21"/>
      <c r="G4" s="23" t="s">
        <v>1634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5">
        <f>SUMIF(M:M,"广告配套",N:N)</f>
        <v>4127.07</v>
      </c>
      <c r="T4" s="26" t="s">
        <v>4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5"/>
      <c r="T5" s="2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SUMIF(M:M,"后勤支出",N:N)</f>
        <v>244956.44</v>
      </c>
      <c r="T6" s="26" t="s">
        <v>14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1635</v>
      </c>
      <c r="D7" s="54" t="s">
        <v>16</v>
      </c>
      <c r="E7" s="29"/>
      <c r="F7" s="30"/>
      <c r="G7" s="55">
        <v>1.0</v>
      </c>
      <c r="H7" s="56">
        <v>45658.0</v>
      </c>
      <c r="I7" s="57" t="s">
        <v>1636</v>
      </c>
      <c r="J7" s="58">
        <f>'12月收支财务报表'!C13</f>
        <v>69219.83187</v>
      </c>
      <c r="K7" s="59"/>
      <c r="L7" s="60"/>
      <c r="M7" s="61"/>
      <c r="N7" s="62"/>
      <c r="O7" s="63"/>
      <c r="P7" s="205"/>
      <c r="Q7" s="41"/>
      <c r="R7" s="39"/>
      <c r="S7" s="25">
        <f>SUMIF(M:M,"Dong老虎",N:N)</f>
        <v>6000</v>
      </c>
      <c r="T7" s="26" t="s">
        <v>1637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67">
        <v>45658.0</v>
      </c>
      <c r="I8" s="68" t="s">
        <v>1638</v>
      </c>
      <c r="J8" s="69">
        <v>6000.0</v>
      </c>
      <c r="K8" s="70"/>
      <c r="L8" s="71">
        <v>0.9326388888888889</v>
      </c>
      <c r="M8" s="72"/>
      <c r="N8" s="90"/>
      <c r="O8" s="74"/>
      <c r="P8" s="75"/>
      <c r="Q8" s="41"/>
      <c r="R8" s="39"/>
      <c r="S8" s="25">
        <f>SUMIF(M:M,"深圳芳林子@SHEN 户",N:N)</f>
        <v>335165.98</v>
      </c>
      <c r="T8" s="101" t="s">
        <v>1345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1854003.402</v>
      </c>
      <c r="D9" s="30"/>
      <c r="E9" s="29"/>
      <c r="F9" s="30"/>
      <c r="G9" s="66">
        <v>3.0</v>
      </c>
      <c r="H9" s="67">
        <v>45659.0</v>
      </c>
      <c r="I9" s="68"/>
      <c r="J9" s="69"/>
      <c r="K9" s="70"/>
      <c r="L9" s="88"/>
      <c r="M9" s="72" t="s">
        <v>1345</v>
      </c>
      <c r="N9" s="90">
        <v>6666.0</v>
      </c>
      <c r="O9" s="74" t="s">
        <v>1639</v>
      </c>
      <c r="P9" s="75">
        <v>0.5506944444444445</v>
      </c>
      <c r="Q9" s="41"/>
      <c r="R9" s="39"/>
      <c r="S9" s="25">
        <f>SUMIF(M:M,"GT&amp;Shen (井号户）",N:N)</f>
        <v>85880</v>
      </c>
      <c r="T9" s="101" t="s">
        <v>1640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67">
        <v>45659.0</v>
      </c>
      <c r="I10" s="68" t="s">
        <v>1641</v>
      </c>
      <c r="J10" s="69">
        <v>187.2</v>
      </c>
      <c r="K10" s="70" t="s">
        <v>155</v>
      </c>
      <c r="L10" s="71">
        <v>0.6493055555555556</v>
      </c>
      <c r="M10" s="72" t="s">
        <v>1640</v>
      </c>
      <c r="N10" s="90">
        <v>9040.0</v>
      </c>
      <c r="O10" s="74" t="s">
        <v>926</v>
      </c>
      <c r="P10" s="75">
        <v>0.7270833333333333</v>
      </c>
      <c r="Q10" s="41"/>
      <c r="R10" s="39"/>
      <c r="S10" s="25">
        <f>SUMIF(M:M,"凤凰&amp;洛阳&amp;白户14",N:N)</f>
        <v>230196</v>
      </c>
      <c r="T10" s="101" t="s">
        <v>1486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1529179.333</v>
      </c>
      <c r="D11" s="30"/>
      <c r="E11" s="29"/>
      <c r="F11" s="30"/>
      <c r="G11" s="66">
        <v>5.0</v>
      </c>
      <c r="H11" s="67">
        <v>45659.0</v>
      </c>
      <c r="I11" s="68" t="s">
        <v>1642</v>
      </c>
      <c r="J11" s="69">
        <v>3915.0</v>
      </c>
      <c r="K11" s="70" t="s">
        <v>1643</v>
      </c>
      <c r="L11" s="71"/>
      <c r="M11" s="72" t="s">
        <v>1345</v>
      </c>
      <c r="N11" s="90">
        <v>1111.0</v>
      </c>
      <c r="O11" s="74" t="s">
        <v>1153</v>
      </c>
      <c r="P11" s="75">
        <v>0.7402777777777778</v>
      </c>
      <c r="Q11" s="41"/>
      <c r="R11" s="39"/>
      <c r="S11" s="25">
        <f>SUMIF(M:M,"江小南＃字户10+1",N:N)</f>
        <v>1110</v>
      </c>
      <c r="T11" s="101" t="s">
        <v>1644</v>
      </c>
      <c r="U11" s="76" t="s">
        <v>1645</v>
      </c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67">
        <v>45659.0</v>
      </c>
      <c r="I12" s="68"/>
      <c r="J12" s="69"/>
      <c r="K12" s="87"/>
      <c r="L12" s="71"/>
      <c r="M12" s="72" t="s">
        <v>1486</v>
      </c>
      <c r="N12" s="90">
        <v>9040.0</v>
      </c>
      <c r="O12" s="74" t="s">
        <v>926</v>
      </c>
      <c r="P12" s="75">
        <v>0.7604166666666666</v>
      </c>
      <c r="Q12" s="41"/>
      <c r="R12" s="39"/>
      <c r="S12" s="25">
        <f>SUMIF(M:M,"开户美国三不限户",N:N)</f>
        <v>11550</v>
      </c>
      <c r="T12" s="101" t="s">
        <v>1646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324824.0687</v>
      </c>
      <c r="D13" s="30"/>
      <c r="E13" s="29"/>
      <c r="F13" s="30"/>
      <c r="G13" s="66">
        <v>7.0</v>
      </c>
      <c r="H13" s="67">
        <v>45660.0</v>
      </c>
      <c r="I13" s="68"/>
      <c r="J13" s="69"/>
      <c r="K13" s="87"/>
      <c r="L13" s="71"/>
      <c r="M13" s="72" t="s">
        <v>1638</v>
      </c>
      <c r="N13" s="90">
        <v>6000.0</v>
      </c>
      <c r="O13" s="74" t="s">
        <v>155</v>
      </c>
      <c r="P13" s="75">
        <v>0.37083333333333335</v>
      </c>
      <c r="Q13" s="41"/>
      <c r="R13" s="39"/>
      <c r="S13" s="25">
        <f>SUMIF(M:M,"越南三不限-线条-泰华",N:N)</f>
        <v>2180</v>
      </c>
      <c r="T13" s="101" t="s">
        <v>1647</v>
      </c>
      <c r="U13" s="76" t="s">
        <v>1648</v>
      </c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67">
        <v>45660.0</v>
      </c>
      <c r="I14" s="84"/>
      <c r="J14" s="17"/>
      <c r="K14" s="85"/>
      <c r="L14" s="86"/>
      <c r="M14" s="72" t="s">
        <v>1345</v>
      </c>
      <c r="N14" s="90">
        <v>14443.0</v>
      </c>
      <c r="O14" s="74" t="s">
        <v>1649</v>
      </c>
      <c r="P14" s="75">
        <v>0.5395833333333333</v>
      </c>
      <c r="Q14" s="41"/>
      <c r="R14" s="39"/>
      <c r="S14" s="25">
        <f>SUMIF(M:M,"kk户（史塔克）913",N:N)</f>
        <v>3510</v>
      </c>
      <c r="T14" s="101" t="s">
        <v>1650</v>
      </c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67">
        <v>45660.0</v>
      </c>
      <c r="I15" s="68" t="s">
        <v>669</v>
      </c>
      <c r="J15" s="69">
        <v>100000.0</v>
      </c>
      <c r="K15" s="87"/>
      <c r="L15" s="71">
        <v>0.6611111111111111</v>
      </c>
      <c r="M15" s="72" t="s">
        <v>1640</v>
      </c>
      <c r="N15" s="90">
        <v>11300.0</v>
      </c>
      <c r="O15" s="74" t="s">
        <v>1651</v>
      </c>
      <c r="P15" s="75">
        <v>0.68125</v>
      </c>
      <c r="Q15" s="41"/>
      <c r="R15" s="39"/>
      <c r="S15" s="25">
        <f>SUMIF(M:M,"🌹Y/量多多&amp;YF FB合作群-（海登）",N:N)</f>
        <v>1650</v>
      </c>
      <c r="T15" s="101" t="s">
        <v>1652</v>
      </c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67">
        <v>45660.0</v>
      </c>
      <c r="I16" s="154"/>
      <c r="J16" s="17"/>
      <c r="K16" s="92"/>
      <c r="L16" s="173"/>
      <c r="M16" s="72" t="s">
        <v>1644</v>
      </c>
      <c r="N16" s="90">
        <v>10.0</v>
      </c>
      <c r="O16" s="74" t="s">
        <v>546</v>
      </c>
      <c r="P16" s="75">
        <v>0.7451388888888889</v>
      </c>
      <c r="Q16" s="41"/>
      <c r="R16" s="39"/>
      <c r="S16" s="25">
        <f>SUMIF(M:M,"Alex 法国TMI户&amp;11+1 麦芽-西柚",N:N)</f>
        <v>610.55</v>
      </c>
      <c r="T16" s="101" t="s">
        <v>1497</v>
      </c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67">
        <v>45660.0</v>
      </c>
      <c r="I17" s="154"/>
      <c r="J17" s="17"/>
      <c r="K17" s="92"/>
      <c r="L17" s="173"/>
      <c r="M17" s="72" t="s">
        <v>1644</v>
      </c>
      <c r="N17" s="90">
        <f>1110-N16</f>
        <v>1100</v>
      </c>
      <c r="O17" s="74" t="s">
        <v>546</v>
      </c>
      <c r="P17" s="75">
        <v>0.7506944444444444</v>
      </c>
      <c r="Q17" s="41"/>
      <c r="R17" s="39"/>
      <c r="S17" s="25">
        <f>SUMIF(M:M,"印度企业户 欧洲美金户下户",N:N)</f>
        <v>2320</v>
      </c>
      <c r="T17" s="101" t="s">
        <v>27</v>
      </c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67">
        <v>45660.0</v>
      </c>
      <c r="I18" s="68" t="s">
        <v>1653</v>
      </c>
      <c r="J18" s="69">
        <v>1460.0</v>
      </c>
      <c r="K18" s="70" t="s">
        <v>1654</v>
      </c>
      <c r="L18" s="71">
        <v>0.7513888888888889</v>
      </c>
      <c r="M18" s="72" t="s">
        <v>1345</v>
      </c>
      <c r="N18" s="90">
        <v>3333.0</v>
      </c>
      <c r="O18" s="74" t="s">
        <v>1281</v>
      </c>
      <c r="P18" s="75">
        <v>0.8201388888888889</v>
      </c>
      <c r="Q18" s="41"/>
      <c r="R18" s="39"/>
      <c r="S18" s="25">
        <f>SUMIF(M:M,"CH加白户14➕1",N:N)</f>
        <v>24418.2932</v>
      </c>
      <c r="T18" s="101" t="s">
        <v>1340</v>
      </c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67">
        <v>45661.0</v>
      </c>
      <c r="I19" s="154"/>
      <c r="J19" s="17"/>
      <c r="K19" s="93"/>
      <c r="L19" s="155"/>
      <c r="M19" s="72" t="s">
        <v>1640</v>
      </c>
      <c r="N19" s="90">
        <v>20340.0</v>
      </c>
      <c r="O19" s="74" t="s">
        <v>1655</v>
      </c>
      <c r="P19" s="75">
        <v>0.5465277777777777</v>
      </c>
      <c r="Q19" s="41"/>
      <c r="R19" s="39"/>
      <c r="S19" s="25">
        <f>SUMIF(M:M,"Fb 白户-长夏",N:N)</f>
        <v>110000</v>
      </c>
      <c r="T19" s="101" t="s">
        <v>1518</v>
      </c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67">
        <v>45661.0</v>
      </c>
      <c r="I20" s="68" t="s">
        <v>1644</v>
      </c>
      <c r="J20" s="69">
        <v>1000.0</v>
      </c>
      <c r="K20" s="93"/>
      <c r="L20" s="71">
        <v>0.6868055555555556</v>
      </c>
      <c r="M20" s="72" t="s">
        <v>1345</v>
      </c>
      <c r="N20" s="90">
        <v>16665.0</v>
      </c>
      <c r="O20" s="74" t="s">
        <v>1656</v>
      </c>
      <c r="P20" s="75">
        <v>0.5486111111111112</v>
      </c>
      <c r="Q20" s="41"/>
      <c r="R20" s="39"/>
      <c r="T20" s="95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1854003.402</v>
      </c>
      <c r="D21" s="30"/>
      <c r="E21" s="29"/>
      <c r="F21" s="30"/>
      <c r="G21" s="66">
        <v>15.0</v>
      </c>
      <c r="H21" s="67">
        <v>45662.0</v>
      </c>
      <c r="I21" s="154"/>
      <c r="J21" s="17"/>
      <c r="K21" s="93"/>
      <c r="L21" s="155"/>
      <c r="M21" s="72" t="s">
        <v>1345</v>
      </c>
      <c r="N21" s="90">
        <v>2777.5</v>
      </c>
      <c r="O21" s="74" t="s">
        <v>1657</v>
      </c>
      <c r="P21" s="75">
        <v>0.45625</v>
      </c>
      <c r="Q21" s="41"/>
      <c r="R21" s="39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67">
        <v>45662.0</v>
      </c>
      <c r="I22" s="68"/>
      <c r="J22" s="17"/>
      <c r="K22" s="93"/>
      <c r="L22" s="155"/>
      <c r="M22" s="72" t="s">
        <v>1345</v>
      </c>
      <c r="N22" s="90">
        <v>11665.5</v>
      </c>
      <c r="O22" s="74" t="s">
        <v>1658</v>
      </c>
      <c r="P22" s="75">
        <v>0.5583333333333333</v>
      </c>
      <c r="Q22" s="41"/>
      <c r="R22" s="39"/>
      <c r="T22" s="95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1529179.333</v>
      </c>
      <c r="D23" s="30"/>
      <c r="E23" s="29"/>
      <c r="F23" s="30"/>
      <c r="G23" s="66">
        <v>17.0</v>
      </c>
      <c r="H23" s="67">
        <v>45662.0</v>
      </c>
      <c r="I23" s="68"/>
      <c r="J23" s="69"/>
      <c r="K23" s="87"/>
      <c r="L23" s="71"/>
      <c r="M23" s="72" t="s">
        <v>1345</v>
      </c>
      <c r="N23" s="90">
        <v>11110.0</v>
      </c>
      <c r="O23" s="74" t="s">
        <v>1026</v>
      </c>
      <c r="P23" s="75">
        <v>0.5868055555555556</v>
      </c>
      <c r="Q23" s="41"/>
      <c r="R23" s="39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67">
        <v>45662.0</v>
      </c>
      <c r="I24" s="68" t="s">
        <v>859</v>
      </c>
      <c r="J24" s="69">
        <v>100000.0</v>
      </c>
      <c r="K24" s="85"/>
      <c r="L24" s="71">
        <v>0.6979166666666666</v>
      </c>
      <c r="M24" s="72" t="s">
        <v>20</v>
      </c>
      <c r="N24" s="90">
        <v>500.0</v>
      </c>
      <c r="O24" s="74" t="s">
        <v>211</v>
      </c>
      <c r="P24" s="75">
        <v>0.7125</v>
      </c>
      <c r="Q24" s="41"/>
      <c r="R24" s="39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324824.0687</v>
      </c>
      <c r="D25" s="30"/>
      <c r="E25" s="29"/>
      <c r="F25" s="30"/>
      <c r="G25" s="66">
        <v>19.0</v>
      </c>
      <c r="H25" s="67">
        <v>45662.0</v>
      </c>
      <c r="I25" s="68"/>
      <c r="J25" s="69"/>
      <c r="K25" s="70"/>
      <c r="L25" s="88"/>
      <c r="M25" s="72" t="s">
        <v>14</v>
      </c>
      <c r="N25" s="19">
        <v>6929.77</v>
      </c>
      <c r="O25" s="74" t="s">
        <v>1526</v>
      </c>
      <c r="P25" s="75">
        <v>0.7090277777777778</v>
      </c>
      <c r="Q25" s="41"/>
      <c r="R25" s="39"/>
      <c r="S25" s="25">
        <f>SUMIF(M:M,"印度006对接—henry",N:N)</f>
        <v>101882</v>
      </c>
      <c r="T25" s="101" t="s">
        <v>1012</v>
      </c>
      <c r="U25" s="76" t="s">
        <v>1659</v>
      </c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67">
        <v>45662.0</v>
      </c>
      <c r="I26" s="68"/>
      <c r="J26" s="69"/>
      <c r="K26" s="70"/>
      <c r="L26" s="71"/>
      <c r="M26" s="72" t="s">
        <v>14</v>
      </c>
      <c r="N26" s="19">
        <v>2085.69</v>
      </c>
      <c r="O26" s="74" t="s">
        <v>1526</v>
      </c>
      <c r="P26" s="75">
        <v>0.7131944444444445</v>
      </c>
      <c r="Q26" s="41"/>
      <c r="R26" s="39"/>
      <c r="S26" s="25">
        <f>SUMIF(M:M,"印度003对接—胖鱼",N:N)</f>
        <v>91448</v>
      </c>
      <c r="T26" s="101" t="s">
        <v>1225</v>
      </c>
      <c r="U26" s="76" t="s">
        <v>1660</v>
      </c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67">
        <v>45662.0</v>
      </c>
      <c r="I27" s="68"/>
      <c r="J27" s="69"/>
      <c r="K27" s="70"/>
      <c r="L27" s="71"/>
      <c r="M27" s="72" t="s">
        <v>14</v>
      </c>
      <c r="N27" s="19">
        <v>1415.19</v>
      </c>
      <c r="O27" s="74" t="s">
        <v>1526</v>
      </c>
      <c r="P27" s="75">
        <v>0.7145833333333333</v>
      </c>
      <c r="Q27" s="41"/>
      <c r="R27" s="39"/>
      <c r="S27" s="25">
        <f>SUMIF(M:M,"印度005对接_—李白",N:N)</f>
        <v>4922</v>
      </c>
      <c r="T27" s="101" t="s">
        <v>1661</v>
      </c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67">
        <v>45662.0</v>
      </c>
      <c r="I28" s="68"/>
      <c r="J28" s="69"/>
      <c r="K28" s="85"/>
      <c r="L28" s="86"/>
      <c r="M28" s="72" t="s">
        <v>14</v>
      </c>
      <c r="N28" s="19">
        <v>2000.0</v>
      </c>
      <c r="O28" s="74" t="s">
        <v>1526</v>
      </c>
      <c r="P28" s="75">
        <v>0.7152777777777778</v>
      </c>
      <c r="Q28" s="41"/>
      <c r="R28" s="39"/>
      <c r="S28" s="25">
        <f>SUMIF(M:M,"意大利打群-fa",N:N)</f>
        <v>93148</v>
      </c>
      <c r="T28" s="101" t="s">
        <v>1353</v>
      </c>
      <c r="U28" s="201" t="s">
        <v>1662</v>
      </c>
      <c r="V28" s="76">
        <f>S28-7560</f>
        <v>85588</v>
      </c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67">
        <v>45662.0</v>
      </c>
      <c r="I29" s="68"/>
      <c r="J29" s="69"/>
      <c r="K29" s="70"/>
      <c r="L29" s="71"/>
      <c r="M29" s="72" t="s">
        <v>14</v>
      </c>
      <c r="N29" s="19">
        <v>4000.0</v>
      </c>
      <c r="O29" s="74" t="s">
        <v>1526</v>
      </c>
      <c r="P29" s="75">
        <v>0.7159722222222222</v>
      </c>
      <c r="Q29" s="41"/>
      <c r="R29" s="39"/>
      <c r="S29" s="25">
        <f>SUMIF(M:M,"印度打群-fa",N:N)</f>
        <v>4400</v>
      </c>
      <c r="T29" s="101" t="s">
        <v>1663</v>
      </c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67">
        <v>45662.0</v>
      </c>
      <c r="I30" s="68"/>
      <c r="J30" s="69"/>
      <c r="K30" s="85"/>
      <c r="L30" s="86"/>
      <c r="M30" s="72" t="s">
        <v>14</v>
      </c>
      <c r="N30" s="19">
        <v>3575.71</v>
      </c>
      <c r="O30" s="74" t="s">
        <v>1526</v>
      </c>
      <c r="P30" s="75">
        <v>0.7166666666666667</v>
      </c>
      <c r="Q30" s="41"/>
      <c r="R30" s="39"/>
      <c r="S30" s="25">
        <f>SUMIF(M:M,"德国；意大利-（岳总）",N:N)</f>
        <v>36780</v>
      </c>
      <c r="T30" s="101" t="s">
        <v>1664</v>
      </c>
      <c r="U30" s="186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67">
        <v>45662.0</v>
      </c>
      <c r="I31" s="68"/>
      <c r="J31" s="69"/>
      <c r="K31" s="70"/>
      <c r="L31" s="88"/>
      <c r="M31" s="72" t="s">
        <v>14</v>
      </c>
      <c r="N31" s="19">
        <v>1756.91</v>
      </c>
      <c r="O31" s="74" t="s">
        <v>1526</v>
      </c>
      <c r="P31" s="75">
        <v>0.7173611111111111</v>
      </c>
      <c r="Q31" s="41"/>
      <c r="R31" s="39"/>
      <c r="S31" s="25">
        <f>SUMIF(M:M,"德 LALA(郑总)",N:N)</f>
        <v>3895</v>
      </c>
      <c r="T31" s="101" t="s">
        <v>1665</v>
      </c>
      <c r="U31" s="76" t="s">
        <v>1666</v>
      </c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67">
        <v>45662.0</v>
      </c>
      <c r="I32" s="84"/>
      <c r="J32" s="17"/>
      <c r="K32" s="85"/>
      <c r="L32" s="86"/>
      <c r="M32" s="72" t="s">
        <v>14</v>
      </c>
      <c r="N32" s="19">
        <v>3606.08</v>
      </c>
      <c r="O32" s="74" t="s">
        <v>1526</v>
      </c>
      <c r="P32" s="75">
        <v>0.7180555555555556</v>
      </c>
      <c r="Q32" s="41"/>
      <c r="R32" s="39"/>
      <c r="S32" s="25">
        <f>SUMIF(M:M,"印度驻场-lala(郑总）",N:N)</f>
        <v>122590</v>
      </c>
      <c r="T32" s="101" t="s">
        <v>671</v>
      </c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67">
        <v>45662.0</v>
      </c>
      <c r="I33" s="154"/>
      <c r="J33" s="69"/>
      <c r="K33" s="70"/>
      <c r="L33" s="71"/>
      <c r="M33" s="72" t="s">
        <v>14</v>
      </c>
      <c r="N33" s="19">
        <v>3249.4</v>
      </c>
      <c r="O33" s="74" t="s">
        <v>1526</v>
      </c>
      <c r="P33" s="75">
        <v>0.7201388888888889</v>
      </c>
      <c r="Q33" s="41"/>
      <c r="R33" s="39"/>
      <c r="S33" s="25">
        <f>SUMIF(M:M,"印度测试菜总",N:N)</f>
        <v>1840</v>
      </c>
      <c r="T33" s="101" t="s">
        <v>1667</v>
      </c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67">
        <v>45662.0</v>
      </c>
      <c r="I34" s="154"/>
      <c r="J34" s="69"/>
      <c r="K34" s="87"/>
      <c r="L34" s="71"/>
      <c r="M34" s="72" t="s">
        <v>14</v>
      </c>
      <c r="N34" s="19">
        <v>1026.82</v>
      </c>
      <c r="O34" s="74" t="s">
        <v>1526</v>
      </c>
      <c r="P34" s="75">
        <v>0.7208333333333333</v>
      </c>
      <c r="Q34" s="41"/>
      <c r="R34" s="39"/>
      <c r="S34" s="25">
        <f>SUMIF(M:M,"印度002对接 - Yao",N:N)</f>
        <v>4600</v>
      </c>
      <c r="T34" s="101" t="s">
        <v>1668</v>
      </c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67">
        <v>45662.0</v>
      </c>
      <c r="I35" s="68"/>
      <c r="J35" s="69"/>
      <c r="K35" s="85"/>
      <c r="L35" s="71"/>
      <c r="M35" s="72" t="s">
        <v>20</v>
      </c>
      <c r="N35" s="90">
        <v>900.0</v>
      </c>
      <c r="O35" s="74" t="s">
        <v>1669</v>
      </c>
      <c r="P35" s="75">
        <v>0.8090277777777778</v>
      </c>
      <c r="Q35" s="41"/>
      <c r="R35" s="39"/>
      <c r="S35" s="106" t="s">
        <v>97</v>
      </c>
      <c r="T35" s="107"/>
      <c r="U35" s="107"/>
      <c r="V35" s="107"/>
      <c r="W35" s="107"/>
      <c r="X35" s="107"/>
      <c r="Y35" s="107"/>
      <c r="Z35" s="107"/>
      <c r="AA35" s="107"/>
      <c r="AB35" s="108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67">
        <v>45663.0</v>
      </c>
      <c r="I36" s="84"/>
      <c r="J36" s="17"/>
      <c r="K36" s="85"/>
      <c r="L36" s="86"/>
      <c r="M36" s="72" t="s">
        <v>14</v>
      </c>
      <c r="N36" s="90">
        <v>13621.53</v>
      </c>
      <c r="O36" s="74" t="s">
        <v>1526</v>
      </c>
      <c r="P36" s="75">
        <v>0.4652777777777778</v>
      </c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67">
        <v>45663.0</v>
      </c>
      <c r="I37" s="68"/>
      <c r="J37" s="69"/>
      <c r="K37" s="85"/>
      <c r="L37" s="86"/>
      <c r="M37" s="72" t="s">
        <v>20</v>
      </c>
      <c r="N37" s="90">
        <v>2.16</v>
      </c>
      <c r="O37" s="74" t="s">
        <v>1670</v>
      </c>
      <c r="P37" s="75">
        <v>0.5277777777777778</v>
      </c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67">
        <v>45663.0</v>
      </c>
      <c r="I38" s="68"/>
      <c r="J38" s="69"/>
      <c r="K38" s="85"/>
      <c r="L38" s="86"/>
      <c r="M38" s="72" t="s">
        <v>1345</v>
      </c>
      <c r="N38" s="90">
        <v>21109.0</v>
      </c>
      <c r="O38" s="74" t="s">
        <v>1314</v>
      </c>
      <c r="P38" s="75">
        <v>0.5479166666666667</v>
      </c>
      <c r="Q38" s="41"/>
      <c r="R38" s="39"/>
      <c r="S38" s="109">
        <f>SUMIF(I:I,"印度002对接 - Yao",J:J)</f>
        <v>4600</v>
      </c>
      <c r="T38" s="26" t="s">
        <v>1671</v>
      </c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67">
        <v>45663.0</v>
      </c>
      <c r="I39" s="68"/>
      <c r="J39" s="69"/>
      <c r="K39" s="70"/>
      <c r="L39" s="88"/>
      <c r="M39" s="72" t="s">
        <v>1640</v>
      </c>
      <c r="N39" s="90">
        <v>22600.0</v>
      </c>
      <c r="O39" s="74" t="s">
        <v>897</v>
      </c>
      <c r="P39" s="75">
        <v>0.5666666666666667</v>
      </c>
      <c r="Q39" s="41"/>
      <c r="R39" s="39"/>
      <c r="S39" s="109">
        <f>SUMIF(I:I,"意大利打群-fa",J:J)</f>
        <v>7560</v>
      </c>
      <c r="T39" s="26" t="s">
        <v>1672</v>
      </c>
      <c r="U39" s="206">
        <v>45672.0</v>
      </c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67">
        <v>45663.0</v>
      </c>
      <c r="I40" s="68"/>
      <c r="J40" s="69"/>
      <c r="K40" s="70"/>
      <c r="L40" s="88"/>
      <c r="M40" s="72" t="s">
        <v>1345</v>
      </c>
      <c r="N40" s="90">
        <v>3333.0</v>
      </c>
      <c r="O40" s="74" t="s">
        <v>1178</v>
      </c>
      <c r="P40" s="75">
        <v>0.56875</v>
      </c>
      <c r="Q40" s="41"/>
      <c r="R40" s="39"/>
      <c r="S40" s="109">
        <f>SUMIF(I:I,"江小南＃字户10+1",J:J)</f>
        <v>1000</v>
      </c>
      <c r="T40" s="26" t="s">
        <v>1673</v>
      </c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67">
        <v>45663.0</v>
      </c>
      <c r="I41" s="68"/>
      <c r="J41" s="69"/>
      <c r="K41" s="70"/>
      <c r="L41" s="88"/>
      <c r="M41" s="72" t="s">
        <v>20</v>
      </c>
      <c r="N41" s="90">
        <v>19.0</v>
      </c>
      <c r="O41" s="74" t="s">
        <v>1674</v>
      </c>
      <c r="P41" s="75">
        <v>0.5701388888888889</v>
      </c>
      <c r="Q41" s="41"/>
      <c r="R41" s="39"/>
      <c r="S41" s="109">
        <f>SUMIF(I:I,"十月二不限-泰华",J:J)</f>
        <v>1460</v>
      </c>
      <c r="T41" s="26" t="s">
        <v>1653</v>
      </c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67">
        <v>45663.0</v>
      </c>
      <c r="I42" s="68"/>
      <c r="J42" s="69"/>
      <c r="K42" s="70"/>
      <c r="L42" s="88"/>
      <c r="M42" s="72" t="s">
        <v>865</v>
      </c>
      <c r="N42" s="90">
        <v>10.0</v>
      </c>
      <c r="O42" s="74" t="s">
        <v>1675</v>
      </c>
      <c r="P42" s="75">
        <v>0.78125</v>
      </c>
      <c r="Q42" s="41"/>
      <c r="R42" s="39"/>
      <c r="S42" s="109">
        <f>SUMIF(I:I,"金融户印度-泰华",J:J)</f>
        <v>234.01</v>
      </c>
      <c r="T42" s="26" t="s">
        <v>1676</v>
      </c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67">
        <v>45663.0</v>
      </c>
      <c r="I43" s="68"/>
      <c r="J43" s="69"/>
      <c r="K43" s="87"/>
      <c r="L43" s="71"/>
      <c r="M43" s="72" t="s">
        <v>865</v>
      </c>
      <c r="N43" s="90">
        <f>1575-N42</f>
        <v>1565</v>
      </c>
      <c r="O43" s="74" t="s">
        <v>1677</v>
      </c>
      <c r="P43" s="75">
        <v>0.7868055555555555</v>
      </c>
      <c r="Q43" s="41"/>
      <c r="R43" s="39"/>
      <c r="S43" s="109">
        <f>SUMIF(I:I,"越南三不限-线条-泰华",J:J)</f>
        <v>1803</v>
      </c>
      <c r="T43" s="26" t="s">
        <v>1678</v>
      </c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67">
        <v>45663.0</v>
      </c>
      <c r="I44" s="103"/>
      <c r="J44" s="103"/>
      <c r="K44" s="103"/>
      <c r="L44" s="103"/>
      <c r="M44" s="72" t="s">
        <v>20</v>
      </c>
      <c r="N44" s="90">
        <v>20.0</v>
      </c>
      <c r="O44" s="74" t="s">
        <v>1679</v>
      </c>
      <c r="P44" s="75">
        <v>0.9430555555555555</v>
      </c>
      <c r="Q44" s="41"/>
      <c r="R44" s="39"/>
      <c r="S44" s="109">
        <f>SUMIF(I:I,"kk户（史塔克）913",J:J)</f>
        <v>2967</v>
      </c>
      <c r="T44" s="26" t="s">
        <v>1680</v>
      </c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67">
        <v>45664.0</v>
      </c>
      <c r="I45" s="84"/>
      <c r="J45" s="17"/>
      <c r="K45" s="85"/>
      <c r="L45" s="86"/>
      <c r="M45" s="72" t="s">
        <v>1012</v>
      </c>
      <c r="N45" s="90">
        <v>10.0</v>
      </c>
      <c r="O45" s="74"/>
      <c r="P45" s="75">
        <v>0.4263888888888889</v>
      </c>
      <c r="Q45" s="41"/>
      <c r="R45" s="39"/>
      <c r="S45" s="109">
        <f>SUMIF(I:I,"启航广告费",J:J)</f>
        <v>25000</v>
      </c>
      <c r="T45" s="26" t="s">
        <v>1681</v>
      </c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67">
        <v>45664.0</v>
      </c>
      <c r="I46" s="68"/>
      <c r="J46" s="69"/>
      <c r="K46" s="85"/>
      <c r="L46" s="86"/>
      <c r="M46" s="72" t="s">
        <v>1012</v>
      </c>
      <c r="N46" s="90">
        <f>4400-N45</f>
        <v>4390</v>
      </c>
      <c r="O46" s="74" t="s">
        <v>1682</v>
      </c>
      <c r="P46" s="75">
        <v>0.42777777777777776</v>
      </c>
      <c r="Q46" s="41"/>
      <c r="R46" s="39"/>
      <c r="S46" s="109">
        <f>SUMIF(I:I,"🌹Y/量多多&amp;YF FB合作群-（海登）",J:J)</f>
        <v>1500</v>
      </c>
      <c r="T46" s="26" t="s">
        <v>1683</v>
      </c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67">
        <v>45664.0</v>
      </c>
      <c r="I47" s="84"/>
      <c r="J47" s="17"/>
      <c r="K47" s="85"/>
      <c r="L47" s="86"/>
      <c r="M47" s="72" t="s">
        <v>1225</v>
      </c>
      <c r="N47" s="90">
        <v>10.0</v>
      </c>
      <c r="O47" s="74"/>
      <c r="P47" s="75">
        <v>0.44513888888888886</v>
      </c>
      <c r="Q47" s="41"/>
      <c r="R47" s="39"/>
      <c r="S47" s="109">
        <f>SUMIF(I:I,"印度企业户 欧洲美金户下户",J:J)</f>
        <v>1961</v>
      </c>
      <c r="T47" s="26" t="s">
        <v>1684</v>
      </c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67">
        <v>45664.0</v>
      </c>
      <c r="I48" s="68"/>
      <c r="J48" s="69"/>
      <c r="K48" s="70"/>
      <c r="L48" s="71"/>
      <c r="M48" s="72" t="s">
        <v>1225</v>
      </c>
      <c r="N48" s="90">
        <f>4600-N47</f>
        <v>4590</v>
      </c>
      <c r="O48" s="74" t="s">
        <v>1685</v>
      </c>
      <c r="P48" s="75">
        <v>0.4465277777777778</v>
      </c>
      <c r="Q48" s="41"/>
      <c r="R48" s="39"/>
      <c r="T48" s="95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67">
        <v>45664.0</v>
      </c>
      <c r="I49" s="68"/>
      <c r="J49" s="69"/>
      <c r="K49" s="87"/>
      <c r="L49" s="71"/>
      <c r="M49" s="72" t="s">
        <v>1661</v>
      </c>
      <c r="N49" s="90">
        <v>10.0</v>
      </c>
      <c r="O49" s="74"/>
      <c r="P49" s="75">
        <v>0.5159722222222223</v>
      </c>
      <c r="Q49" s="41"/>
      <c r="R49" s="39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67">
        <v>45664.0</v>
      </c>
      <c r="I50" s="68"/>
      <c r="J50" s="69"/>
      <c r="K50" s="85"/>
      <c r="L50" s="71"/>
      <c r="M50" s="72" t="s">
        <v>1661</v>
      </c>
      <c r="N50" s="90">
        <f>4600-N49</f>
        <v>4590</v>
      </c>
      <c r="O50" s="74" t="s">
        <v>1686</v>
      </c>
      <c r="P50" s="75">
        <v>0.5277777777777778</v>
      </c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67">
        <v>45664.0</v>
      </c>
      <c r="I51" s="68"/>
      <c r="J51" s="69"/>
      <c r="K51" s="85"/>
      <c r="L51" s="71"/>
      <c r="M51" s="72" t="s">
        <v>1345</v>
      </c>
      <c r="N51" s="90">
        <v>12785.54</v>
      </c>
      <c r="O51" s="74" t="s">
        <v>1687</v>
      </c>
      <c r="P51" s="75">
        <v>0.5430555555555555</v>
      </c>
      <c r="Q51" s="41"/>
      <c r="R51" s="39"/>
      <c r="S51" s="76"/>
      <c r="T51" s="76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67">
        <v>45664.0</v>
      </c>
      <c r="I52" s="68"/>
      <c r="J52" s="69"/>
      <c r="K52" s="87"/>
      <c r="L52" s="71"/>
      <c r="M52" s="72" t="s">
        <v>14</v>
      </c>
      <c r="N52" s="90">
        <v>10.0</v>
      </c>
      <c r="O52" s="74" t="s">
        <v>1526</v>
      </c>
      <c r="P52" s="75">
        <v>0.5666666666666667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67">
        <v>45664.0</v>
      </c>
      <c r="I53" s="68"/>
      <c r="J53" s="69"/>
      <c r="K53" s="87"/>
      <c r="L53" s="71"/>
      <c r="M53" s="72" t="s">
        <v>14</v>
      </c>
      <c r="N53" s="90">
        <f>12285-N52</f>
        <v>12275</v>
      </c>
      <c r="O53" s="74" t="s">
        <v>1526</v>
      </c>
      <c r="P53" s="75">
        <v>0.5798611111111112</v>
      </c>
      <c r="Q53" s="41"/>
      <c r="R53" s="39"/>
      <c r="S53" s="190">
        <f>J7</f>
        <v>69219.83187</v>
      </c>
      <c r="T53" s="26" t="s">
        <v>1688</v>
      </c>
      <c r="U53" s="207" t="s">
        <v>1689</v>
      </c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67">
        <v>45664.0</v>
      </c>
      <c r="I54" s="68" t="s">
        <v>669</v>
      </c>
      <c r="J54" s="69">
        <v>100000.0</v>
      </c>
      <c r="K54" s="70"/>
      <c r="L54" s="71">
        <v>0.6173611111111111</v>
      </c>
      <c r="M54" s="72" t="s">
        <v>1640</v>
      </c>
      <c r="N54" s="90">
        <v>5650.0</v>
      </c>
      <c r="O54" s="74" t="s">
        <v>1690</v>
      </c>
      <c r="P54" s="75">
        <v>0.6326388888888889</v>
      </c>
      <c r="Q54" s="41"/>
      <c r="R54" s="39"/>
      <c r="S54" s="109">
        <f>SUMIF(I:I,"12月后勤剩余",J:J)</f>
        <v>2547.56</v>
      </c>
      <c r="T54" s="26" t="s">
        <v>1691</v>
      </c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67">
        <v>45665.0</v>
      </c>
      <c r="I55" s="84"/>
      <c r="J55" s="17"/>
      <c r="K55" s="85"/>
      <c r="L55" s="86"/>
      <c r="M55" s="72" t="s">
        <v>1640</v>
      </c>
      <c r="N55" s="90">
        <v>16950.0</v>
      </c>
      <c r="O55" s="74" t="s">
        <v>1692</v>
      </c>
      <c r="P55" s="75">
        <v>0.4625</v>
      </c>
      <c r="Q55" s="41"/>
      <c r="R55" s="39"/>
      <c r="S55" s="109">
        <f>SUMIF(I:I,"Dong老虎",J:J)</f>
        <v>6000</v>
      </c>
      <c r="T55" s="26" t="s">
        <v>1638</v>
      </c>
      <c r="U55" s="76" t="s">
        <v>1693</v>
      </c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67">
        <v>45665.0</v>
      </c>
      <c r="I56" s="68"/>
      <c r="J56" s="69"/>
      <c r="K56" s="87"/>
      <c r="L56" s="71"/>
      <c r="M56" s="72" t="s">
        <v>1345</v>
      </c>
      <c r="N56" s="90">
        <v>21109.0</v>
      </c>
      <c r="O56" s="74" t="s">
        <v>1694</v>
      </c>
      <c r="P56" s="75">
        <v>0.5256944444444445</v>
      </c>
      <c r="Q56" s="41"/>
      <c r="R56" s="39"/>
      <c r="S56" s="109">
        <f>SUMIF(I:I,"德国股粉对接群",J:J)</f>
        <v>14715</v>
      </c>
      <c r="T56" s="26" t="s">
        <v>1642</v>
      </c>
      <c r="U56" s="76" t="s">
        <v>1695</v>
      </c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67">
        <v>45665.0</v>
      </c>
      <c r="I57" s="154"/>
      <c r="J57" s="69"/>
      <c r="K57" s="87"/>
      <c r="L57" s="71"/>
      <c r="M57" s="72" t="s">
        <v>1345</v>
      </c>
      <c r="N57" s="90">
        <v>4444.0</v>
      </c>
      <c r="O57" s="74" t="s">
        <v>1696</v>
      </c>
      <c r="P57" s="75">
        <v>0.6618055555555555</v>
      </c>
      <c r="Q57" s="41"/>
      <c r="R57" s="39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67">
        <v>45665.0</v>
      </c>
      <c r="I58" s="68"/>
      <c r="J58" s="69"/>
      <c r="K58" s="70"/>
      <c r="L58" s="71"/>
      <c r="M58" s="72" t="s">
        <v>1345</v>
      </c>
      <c r="N58" s="90">
        <v>4444.0</v>
      </c>
      <c r="O58" s="74" t="s">
        <v>1696</v>
      </c>
      <c r="P58" s="75">
        <v>0.6819444444444445</v>
      </c>
      <c r="Q58" s="41"/>
      <c r="R58" s="39"/>
      <c r="S58" s="109">
        <f>SUMIF(I:I,"印度9期",J:J)</f>
        <v>100000</v>
      </c>
      <c r="T58" s="26" t="s">
        <v>1122</v>
      </c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67">
        <v>45665.0</v>
      </c>
      <c r="I59" s="68"/>
      <c r="J59" s="69"/>
      <c r="K59" s="87"/>
      <c r="L59" s="71"/>
      <c r="M59" s="72" t="s">
        <v>1345</v>
      </c>
      <c r="N59" s="90">
        <v>5555.0</v>
      </c>
      <c r="O59" s="74" t="s">
        <v>1316</v>
      </c>
      <c r="P59" s="75">
        <v>0.7520833333333333</v>
      </c>
      <c r="Q59" s="41"/>
      <c r="R59" s="39"/>
      <c r="S59" s="109">
        <f>SUMIF(I:I,"印度25期",J:J)</f>
        <v>200000</v>
      </c>
      <c r="T59" s="26" t="s">
        <v>1697</v>
      </c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67">
        <v>45665.0</v>
      </c>
      <c r="I60" s="68"/>
      <c r="J60" s="69"/>
      <c r="K60" s="85"/>
      <c r="L60" s="71"/>
      <c r="M60" s="72" t="s">
        <v>20</v>
      </c>
      <c r="N60" s="90">
        <v>84.0</v>
      </c>
      <c r="O60" s="74" t="s">
        <v>1698</v>
      </c>
      <c r="P60" s="75">
        <v>0.8118055555555556</v>
      </c>
      <c r="Q60" s="41"/>
      <c r="R60" s="39"/>
      <c r="S60" s="109">
        <f>SUMIF(I:I,"印度24期",J:J)</f>
        <v>300000</v>
      </c>
      <c r="T60" s="26" t="s">
        <v>860</v>
      </c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67">
        <v>45665.0</v>
      </c>
      <c r="I61" s="68"/>
      <c r="J61" s="69"/>
      <c r="K61" s="70"/>
      <c r="L61" s="71"/>
      <c r="M61" s="72" t="s">
        <v>20</v>
      </c>
      <c r="N61" s="90">
        <v>204.59</v>
      </c>
      <c r="O61" s="74" t="s">
        <v>1699</v>
      </c>
      <c r="P61" s="75">
        <v>0.8395833333333333</v>
      </c>
      <c r="Q61" s="41"/>
      <c r="R61" s="39"/>
      <c r="S61" s="109">
        <f>SUMIF(I:I,"印度23期",J:J)</f>
        <v>207756</v>
      </c>
      <c r="T61" s="26" t="s">
        <v>669</v>
      </c>
      <c r="U61" s="76" t="s">
        <v>1659</v>
      </c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67">
        <v>45666.0</v>
      </c>
      <c r="I62" s="68" t="s">
        <v>1700</v>
      </c>
      <c r="J62" s="69">
        <v>5520.0</v>
      </c>
      <c r="K62" s="70" t="s">
        <v>1701</v>
      </c>
      <c r="L62" s="71">
        <v>0.1951388888888889</v>
      </c>
      <c r="M62" s="72" t="s">
        <v>1345</v>
      </c>
      <c r="N62" s="90">
        <v>22220.0</v>
      </c>
      <c r="O62" s="74" t="s">
        <v>1134</v>
      </c>
      <c r="P62" s="75">
        <v>0.53125</v>
      </c>
      <c r="Q62" s="41"/>
      <c r="R62" s="39"/>
      <c r="S62" s="109">
        <f>SUMIF(I:I,"印度23期补群",J:J)</f>
        <v>116284</v>
      </c>
      <c r="T62" s="26" t="s">
        <v>1702</v>
      </c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67">
        <v>45666.0</v>
      </c>
      <c r="I63" s="68"/>
      <c r="J63" s="69"/>
      <c r="K63" s="87"/>
      <c r="L63" s="71"/>
      <c r="M63" s="72" t="s">
        <v>1353</v>
      </c>
      <c r="N63" s="90">
        <f>100*90</f>
        <v>9000</v>
      </c>
      <c r="O63" s="74"/>
      <c r="P63" s="75">
        <v>0.6402777777777777</v>
      </c>
      <c r="Q63" s="41"/>
      <c r="R63" s="39"/>
      <c r="S63" s="109">
        <f>SUMIF(I:I,"印度22期",J:J)</f>
        <v>100000</v>
      </c>
      <c r="T63" s="26" t="s">
        <v>859</v>
      </c>
      <c r="U63" s="76" t="s">
        <v>1703</v>
      </c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67">
        <v>45666.0</v>
      </c>
      <c r="I64" s="68"/>
      <c r="J64" s="69"/>
      <c r="K64" s="87"/>
      <c r="L64" s="71"/>
      <c r="M64" s="72" t="s">
        <v>1225</v>
      </c>
      <c r="N64" s="90">
        <v>4600.0</v>
      </c>
      <c r="O64" s="74" t="s">
        <v>1685</v>
      </c>
      <c r="P64" s="75">
        <v>0.6493055555555556</v>
      </c>
      <c r="Q64" s="41"/>
      <c r="R64" s="39"/>
      <c r="S64" s="109">
        <f>SUMIF(I:I,"意大利蟑螂哥1月",J:J)</f>
        <v>67800</v>
      </c>
      <c r="T64" s="26" t="s">
        <v>1700</v>
      </c>
      <c r="U64" s="40">
        <f>S64/120</f>
        <v>565</v>
      </c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67">
        <v>45666.0</v>
      </c>
      <c r="I65" s="68"/>
      <c r="J65" s="69"/>
      <c r="K65" s="87"/>
      <c r="L65" s="71"/>
      <c r="M65" s="147" t="s">
        <v>1661</v>
      </c>
      <c r="N65" s="19">
        <v>322.0</v>
      </c>
      <c r="O65" s="126" t="s">
        <v>1704</v>
      </c>
      <c r="P65" s="75">
        <v>0.7444444444444445</v>
      </c>
      <c r="Q65" s="41"/>
      <c r="R65" s="39"/>
      <c r="S65" s="109">
        <f>SUMIF(I:I,"印度期权 （粉）",J:J)</f>
        <v>2000</v>
      </c>
      <c r="T65" s="26" t="s">
        <v>1705</v>
      </c>
      <c r="U65" s="76" t="s">
        <v>1706</v>
      </c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67">
        <v>45666.0</v>
      </c>
      <c r="I66" s="68"/>
      <c r="J66" s="69"/>
      <c r="K66" s="70"/>
      <c r="L66" s="88"/>
      <c r="M66" s="72" t="s">
        <v>20</v>
      </c>
      <c r="N66" s="90">
        <v>165.0</v>
      </c>
      <c r="O66" s="74" t="s">
        <v>1707</v>
      </c>
      <c r="P66" s="75">
        <v>0.8118055555555556</v>
      </c>
      <c r="Q66" s="41"/>
      <c r="R66" s="39"/>
      <c r="S66" s="109">
        <f>SUMIF(I:I,"L1印度",J:J)</f>
        <v>150220</v>
      </c>
      <c r="T66" s="26" t="s">
        <v>1708</v>
      </c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67">
        <v>45666.0</v>
      </c>
      <c r="I67" s="68" t="s">
        <v>1705</v>
      </c>
      <c r="J67" s="69">
        <v>2000.0</v>
      </c>
      <c r="K67" s="70" t="s">
        <v>1709</v>
      </c>
      <c r="L67" s="71">
        <v>0.8131944444444444</v>
      </c>
      <c r="M67" s="72" t="s">
        <v>1345</v>
      </c>
      <c r="N67" s="90">
        <v>3333.0</v>
      </c>
      <c r="O67" s="74" t="s">
        <v>1178</v>
      </c>
      <c r="P67" s="75">
        <v>0.8444444444444444</v>
      </c>
      <c r="Q67" s="41"/>
      <c r="R67" s="39"/>
      <c r="S67" s="109">
        <f>SUMIF(I:I,"意大利（2000）阿光",J:J)</f>
        <v>100000</v>
      </c>
      <c r="T67" s="26" t="s">
        <v>1510</v>
      </c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67">
        <v>45666.0</v>
      </c>
      <c r="I68" s="68"/>
      <c r="J68" s="69"/>
      <c r="K68" s="70"/>
      <c r="L68" s="88"/>
      <c r="M68" s="72" t="s">
        <v>20</v>
      </c>
      <c r="N68" s="90">
        <v>10.0</v>
      </c>
      <c r="O68" s="74" t="s">
        <v>1710</v>
      </c>
      <c r="P68" s="75">
        <v>0.9388888888888889</v>
      </c>
      <c r="Q68" s="41"/>
      <c r="R68" s="39"/>
      <c r="S68" s="109">
        <f>SUMIF(I:I,"K10期",J:J)</f>
        <v>369376</v>
      </c>
      <c r="T68" s="26" t="s">
        <v>1711</v>
      </c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67">
        <v>45667.0</v>
      </c>
      <c r="I69" s="68" t="s">
        <v>860</v>
      </c>
      <c r="J69" s="69">
        <v>100000.0</v>
      </c>
      <c r="K69" s="85"/>
      <c r="L69" s="71">
        <v>0.5020833333333333</v>
      </c>
      <c r="M69" s="72" t="s">
        <v>1012</v>
      </c>
      <c r="N69" s="90">
        <v>924.0</v>
      </c>
      <c r="O69" s="74" t="s">
        <v>1712</v>
      </c>
      <c r="P69" s="75">
        <v>0.5159722222222223</v>
      </c>
      <c r="Q69" s="41"/>
      <c r="R69" s="39"/>
      <c r="S69" s="40">
        <f>SUM(S38:S68)</f>
        <v>1854003.402</v>
      </c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67">
        <v>45667.0</v>
      </c>
      <c r="I70" s="68"/>
      <c r="J70" s="69"/>
      <c r="K70" s="85"/>
      <c r="L70" s="71"/>
      <c r="M70" s="72" t="s">
        <v>1345</v>
      </c>
      <c r="N70" s="90">
        <v>13014.57</v>
      </c>
      <c r="O70" s="74" t="s">
        <v>1713</v>
      </c>
      <c r="P70" s="75">
        <v>0.5465277777777777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67">
        <v>45667.0</v>
      </c>
      <c r="I71" s="68" t="s">
        <v>669</v>
      </c>
      <c r="J71" s="69">
        <v>7756.0</v>
      </c>
      <c r="K71" s="70" t="s">
        <v>981</v>
      </c>
      <c r="L71" s="71">
        <v>0.6534722222222222</v>
      </c>
      <c r="M71" s="72" t="s">
        <v>20</v>
      </c>
      <c r="N71" s="90">
        <v>471.0</v>
      </c>
      <c r="O71" s="74" t="s">
        <v>1714</v>
      </c>
      <c r="P71" s="75">
        <v>0.7611111111111111</v>
      </c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67">
        <v>45667.0</v>
      </c>
      <c r="I72" s="68"/>
      <c r="J72" s="69"/>
      <c r="K72" s="87"/>
      <c r="L72" s="71"/>
      <c r="M72" s="72" t="s">
        <v>20</v>
      </c>
      <c r="N72" s="90">
        <v>125.0</v>
      </c>
      <c r="O72" s="74" t="s">
        <v>1553</v>
      </c>
      <c r="P72" s="75">
        <v>0.8715277777777778</v>
      </c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67">
        <v>45667.0</v>
      </c>
      <c r="I73" s="68"/>
      <c r="J73" s="69"/>
      <c r="K73" s="85"/>
      <c r="L73" s="71"/>
      <c r="M73" s="72" t="s">
        <v>20</v>
      </c>
      <c r="N73" s="90">
        <v>20.0</v>
      </c>
      <c r="O73" s="74" t="s">
        <v>1679</v>
      </c>
      <c r="P73" s="75">
        <v>0.89375</v>
      </c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67">
        <v>45667.0</v>
      </c>
      <c r="I74" s="154"/>
      <c r="J74" s="69"/>
      <c r="K74" s="93"/>
      <c r="L74" s="71"/>
      <c r="M74" s="72" t="s">
        <v>20</v>
      </c>
      <c r="N74" s="90">
        <v>550.0</v>
      </c>
      <c r="O74" s="74" t="s">
        <v>1715</v>
      </c>
      <c r="P74" s="75">
        <v>0.9611111111111111</v>
      </c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67">
        <v>45668.0</v>
      </c>
      <c r="I75" s="68"/>
      <c r="J75" s="69"/>
      <c r="K75" s="87"/>
      <c r="L75" s="71"/>
      <c r="M75" s="72" t="s">
        <v>865</v>
      </c>
      <c r="N75" s="90">
        <v>2100.0</v>
      </c>
      <c r="O75" s="74" t="s">
        <v>1716</v>
      </c>
      <c r="P75" s="75">
        <v>0.5423611111111111</v>
      </c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67">
        <v>45668.0</v>
      </c>
      <c r="I76" s="154"/>
      <c r="J76" s="69"/>
      <c r="K76" s="87"/>
      <c r="L76" s="71"/>
      <c r="M76" s="72" t="s">
        <v>1345</v>
      </c>
      <c r="N76" s="90">
        <v>12221.0</v>
      </c>
      <c r="O76" s="74" t="s">
        <v>1717</v>
      </c>
      <c r="P76" s="75">
        <v>0.55625</v>
      </c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67">
        <v>45668.0</v>
      </c>
      <c r="I77" s="68"/>
      <c r="J77" s="69"/>
      <c r="K77" s="85"/>
      <c r="L77" s="71"/>
      <c r="M77" s="72" t="s">
        <v>1345</v>
      </c>
      <c r="N77" s="90">
        <v>8888.0</v>
      </c>
      <c r="O77" s="74" t="s">
        <v>1718</v>
      </c>
      <c r="P77" s="75">
        <v>0.6770833333333334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67">
        <v>45668.0</v>
      </c>
      <c r="I78" s="68"/>
      <c r="J78" s="69"/>
      <c r="K78" s="87"/>
      <c r="L78" s="71"/>
      <c r="M78" s="72" t="s">
        <v>14</v>
      </c>
      <c r="N78" s="90">
        <v>16857.0</v>
      </c>
      <c r="O78" s="74" t="s">
        <v>1719</v>
      </c>
      <c r="P78" s="75">
        <v>0.8444444444444444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67">
        <v>45669.0</v>
      </c>
      <c r="I79" s="68"/>
      <c r="J79" s="69"/>
      <c r="K79" s="87"/>
      <c r="L79" s="71"/>
      <c r="M79" s="72" t="s">
        <v>1345</v>
      </c>
      <c r="N79" s="90">
        <v>21109.0</v>
      </c>
      <c r="O79" s="74" t="s">
        <v>1314</v>
      </c>
      <c r="P79" s="75">
        <v>0.5569444444444445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67">
        <v>45669.0</v>
      </c>
      <c r="I80" s="68"/>
      <c r="J80" s="69"/>
      <c r="K80" s="70"/>
      <c r="L80" s="71"/>
      <c r="M80" s="72" t="s">
        <v>1345</v>
      </c>
      <c r="N80" s="90">
        <v>4444.0</v>
      </c>
      <c r="O80" s="74" t="s">
        <v>1696</v>
      </c>
      <c r="P80" s="75">
        <v>0.5840277777777778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67">
        <v>45670.0</v>
      </c>
      <c r="I81" s="68" t="s">
        <v>860</v>
      </c>
      <c r="J81" s="69">
        <v>100000.0</v>
      </c>
      <c r="K81" s="92"/>
      <c r="L81" s="71">
        <v>0.4534722222222222</v>
      </c>
      <c r="M81" s="72" t="s">
        <v>1345</v>
      </c>
      <c r="N81" s="90">
        <v>6666.0</v>
      </c>
      <c r="O81" s="74" t="s">
        <v>1720</v>
      </c>
      <c r="P81" s="75">
        <v>0.5298611111111111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67">
        <v>45670.0</v>
      </c>
      <c r="I82" s="68"/>
      <c r="J82" s="69"/>
      <c r="K82" s="87"/>
      <c r="L82" s="71"/>
      <c r="M82" s="72" t="s">
        <v>865</v>
      </c>
      <c r="N82" s="90">
        <v>3150.0</v>
      </c>
      <c r="O82" s="74" t="s">
        <v>1721</v>
      </c>
      <c r="P82" s="75">
        <v>0.5694444444444444</v>
      </c>
      <c r="Q82" s="41"/>
      <c r="R82" s="39"/>
      <c r="S82" s="76" t="s">
        <v>1722</v>
      </c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67">
        <v>45670.0</v>
      </c>
      <c r="I83" s="68"/>
      <c r="J83" s="69"/>
      <c r="K83" s="87"/>
      <c r="L83" s="71"/>
      <c r="M83" s="72" t="s">
        <v>865</v>
      </c>
      <c r="N83" s="90">
        <v>1575.0</v>
      </c>
      <c r="O83" s="74" t="s">
        <v>1677</v>
      </c>
      <c r="P83" s="75">
        <v>0.6333333333333333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67">
        <v>45670.0</v>
      </c>
      <c r="I84" s="68"/>
      <c r="J84" s="69"/>
      <c r="K84" s="87"/>
      <c r="L84" s="71"/>
      <c r="M84" s="72" t="s">
        <v>14</v>
      </c>
      <c r="N84" s="90">
        <v>20000.0</v>
      </c>
      <c r="O84" s="74" t="s">
        <v>1723</v>
      </c>
      <c r="P84" s="75">
        <v>0.7048611111111112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67">
        <v>45670.0</v>
      </c>
      <c r="I85" s="68"/>
      <c r="J85" s="69"/>
      <c r="K85" s="70"/>
      <c r="L85" s="88"/>
      <c r="M85" s="72" t="s">
        <v>1225</v>
      </c>
      <c r="N85" s="90">
        <v>2806.0</v>
      </c>
      <c r="O85" s="74" t="s">
        <v>1724</v>
      </c>
      <c r="P85" s="75">
        <v>0.8166666666666667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67">
        <v>45670.0</v>
      </c>
      <c r="I86" s="68"/>
      <c r="J86" s="69"/>
      <c r="K86" s="70"/>
      <c r="L86" s="71"/>
      <c r="M86" s="72" t="s">
        <v>1647</v>
      </c>
      <c r="N86" s="90">
        <v>10.0</v>
      </c>
      <c r="O86" s="126"/>
      <c r="P86" s="75">
        <v>0.9173611111111111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67">
        <v>45670.0</v>
      </c>
      <c r="I87" s="68"/>
      <c r="J87" s="69"/>
      <c r="K87" s="85"/>
      <c r="L87" s="71"/>
      <c r="M87" s="72" t="s">
        <v>1647</v>
      </c>
      <c r="N87" s="90">
        <f>2180-N86</f>
        <v>2170</v>
      </c>
      <c r="O87" s="74" t="s">
        <v>524</v>
      </c>
      <c r="P87" s="75">
        <v>0.9201388888888888</v>
      </c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67">
        <v>45671.0</v>
      </c>
      <c r="I88" s="68" t="s">
        <v>1700</v>
      </c>
      <c r="J88" s="69">
        <v>9360.0</v>
      </c>
      <c r="K88" s="70" t="s">
        <v>1725</v>
      </c>
      <c r="L88" s="71">
        <v>0.21736111111111112</v>
      </c>
      <c r="M88" s="72" t="s">
        <v>1353</v>
      </c>
      <c r="N88" s="90">
        <v>9000.0</v>
      </c>
      <c r="O88" s="74"/>
      <c r="P88" s="75">
        <v>0.4708333333333333</v>
      </c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67">
        <v>45671.0</v>
      </c>
      <c r="I89" s="68"/>
      <c r="J89" s="69"/>
      <c r="K89" s="85"/>
      <c r="L89" s="71"/>
      <c r="M89" s="72" t="s">
        <v>1345</v>
      </c>
      <c r="N89" s="90">
        <v>7677.9</v>
      </c>
      <c r="O89" s="74" t="s">
        <v>1726</v>
      </c>
      <c r="P89" s="75">
        <v>0.575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67">
        <v>45671.0</v>
      </c>
      <c r="I90" s="68"/>
      <c r="J90" s="69"/>
      <c r="K90" s="70"/>
      <c r="L90" s="88"/>
      <c r="M90" s="72" t="s">
        <v>865</v>
      </c>
      <c r="N90" s="90">
        <v>3150.0</v>
      </c>
      <c r="O90" s="74" t="s">
        <v>1721</v>
      </c>
      <c r="P90" s="75">
        <v>0.6013888888888889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67">
        <v>45671.0</v>
      </c>
      <c r="I91" s="84"/>
      <c r="J91" s="17"/>
      <c r="K91" s="85"/>
      <c r="L91" s="86"/>
      <c r="M91" s="72" t="s">
        <v>1650</v>
      </c>
      <c r="N91" s="90">
        <v>10.0</v>
      </c>
      <c r="O91" s="74"/>
      <c r="P91" s="75">
        <v>0.6236111111111111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67">
        <v>45671.0</v>
      </c>
      <c r="I92" s="68" t="s">
        <v>1708</v>
      </c>
      <c r="J92" s="69">
        <v>1000.0</v>
      </c>
      <c r="K92" s="87"/>
      <c r="L92" s="71">
        <v>0.6229166666666667</v>
      </c>
      <c r="M92" s="72"/>
      <c r="N92" s="90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67">
        <v>45671.0</v>
      </c>
      <c r="I93" s="68" t="s">
        <v>1708</v>
      </c>
      <c r="J93" s="69">
        <v>49000.0</v>
      </c>
      <c r="K93" s="85"/>
      <c r="L93" s="71">
        <v>0.6263888888888889</v>
      </c>
      <c r="M93" s="72" t="s">
        <v>1650</v>
      </c>
      <c r="N93" s="90">
        <f>3510-N91</f>
        <v>3500</v>
      </c>
      <c r="O93" s="74" t="s">
        <v>1727</v>
      </c>
      <c r="P93" s="75">
        <v>0.6368055555555555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67">
        <v>45671.0</v>
      </c>
      <c r="I94" s="68"/>
      <c r="J94" s="69"/>
      <c r="K94" s="70"/>
      <c r="L94" s="88"/>
      <c r="M94" s="72" t="s">
        <v>1652</v>
      </c>
      <c r="N94" s="90">
        <v>10.0</v>
      </c>
      <c r="O94" s="126"/>
      <c r="P94" s="75">
        <v>0.6763888888888889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67">
        <v>45671.0</v>
      </c>
      <c r="I95" s="68"/>
      <c r="J95" s="69"/>
      <c r="K95" s="70"/>
      <c r="L95" s="71"/>
      <c r="M95" s="72" t="s">
        <v>1652</v>
      </c>
      <c r="N95" s="90">
        <f>1650-N94</f>
        <v>1640</v>
      </c>
      <c r="O95" s="74" t="s">
        <v>1728</v>
      </c>
      <c r="P95" s="75">
        <v>0.6861111111111111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67">
        <v>45671.0</v>
      </c>
      <c r="I96" s="68"/>
      <c r="J96" s="69"/>
      <c r="K96" s="87"/>
      <c r="L96" s="71"/>
      <c r="M96" s="72" t="s">
        <v>1225</v>
      </c>
      <c r="N96" s="90">
        <v>4600.0</v>
      </c>
      <c r="O96" s="74" t="s">
        <v>1685</v>
      </c>
      <c r="P96" s="75">
        <v>0.7472222222222222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67">
        <v>45671.0</v>
      </c>
      <c r="I97" s="68" t="s">
        <v>1642</v>
      </c>
      <c r="J97" s="69">
        <v>5940.0</v>
      </c>
      <c r="K97" s="70" t="s">
        <v>1729</v>
      </c>
      <c r="L97" s="71">
        <v>0.7805555555555556</v>
      </c>
      <c r="M97" s="72" t="s">
        <v>1664</v>
      </c>
      <c r="N97" s="90">
        <v>10.0</v>
      </c>
      <c r="O97" s="74"/>
      <c r="P97" s="75">
        <v>0.7951388888888888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67">
        <v>45671.0</v>
      </c>
      <c r="I98" s="84"/>
      <c r="J98" s="17"/>
      <c r="K98" s="85"/>
      <c r="L98" s="86"/>
      <c r="M98" s="72" t="s">
        <v>1664</v>
      </c>
      <c r="N98" s="90">
        <f>4750-N97</f>
        <v>4740</v>
      </c>
      <c r="O98" s="74" t="s">
        <v>1730</v>
      </c>
      <c r="P98" s="75">
        <v>0.7972222222222223</v>
      </c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67">
        <v>45671.0</v>
      </c>
      <c r="I99" s="84"/>
      <c r="J99" s="17"/>
      <c r="K99" s="85"/>
      <c r="L99" s="86"/>
      <c r="M99" s="72" t="s">
        <v>1497</v>
      </c>
      <c r="N99" s="90">
        <v>50.0</v>
      </c>
      <c r="O99" s="74" t="s">
        <v>427</v>
      </c>
      <c r="P99" s="75">
        <v>0.8097222222222222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67">
        <v>45671.0</v>
      </c>
      <c r="I100" s="154"/>
      <c r="J100" s="17"/>
      <c r="K100" s="92"/>
      <c r="L100" s="173"/>
      <c r="M100" s="72" t="s">
        <v>1665</v>
      </c>
      <c r="N100" s="90">
        <v>10.0</v>
      </c>
      <c r="O100" s="74"/>
      <c r="P100" s="75">
        <v>0.8423611111111111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67">
        <v>45671.0</v>
      </c>
      <c r="I101" s="84"/>
      <c r="J101" s="17"/>
      <c r="K101" s="85"/>
      <c r="L101" s="86"/>
      <c r="M101" s="72" t="s">
        <v>1665</v>
      </c>
      <c r="N101" s="90">
        <f>3895-N100</f>
        <v>3885</v>
      </c>
      <c r="O101" s="74" t="s">
        <v>1731</v>
      </c>
      <c r="P101" s="75">
        <v>0.8458333333333333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67">
        <v>45671.0</v>
      </c>
      <c r="I102" s="84"/>
      <c r="J102" s="17"/>
      <c r="K102" s="87"/>
      <c r="L102" s="71"/>
      <c r="M102" s="72" t="s">
        <v>20</v>
      </c>
      <c r="N102" s="90">
        <v>20.0</v>
      </c>
      <c r="O102" s="74" t="s">
        <v>1156</v>
      </c>
      <c r="P102" s="75">
        <v>0.8569444444444444</v>
      </c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67">
        <v>45671.0</v>
      </c>
      <c r="I103" s="68"/>
      <c r="J103" s="69"/>
      <c r="K103" s="87"/>
      <c r="L103" s="71"/>
      <c r="M103" s="72" t="s">
        <v>1497</v>
      </c>
      <c r="N103" s="90">
        <v>560.55</v>
      </c>
      <c r="O103" s="74" t="s">
        <v>1732</v>
      </c>
      <c r="P103" s="75">
        <v>0.9194444444444444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67">
        <v>45672.0</v>
      </c>
      <c r="I104" s="68"/>
      <c r="J104" s="69"/>
      <c r="K104" s="87"/>
      <c r="L104" s="71"/>
      <c r="M104" s="72" t="s">
        <v>1012</v>
      </c>
      <c r="N104" s="90">
        <v>10.0</v>
      </c>
      <c r="O104" s="74"/>
      <c r="P104" s="75">
        <v>0.46944444444444444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67">
        <v>45672.0</v>
      </c>
      <c r="I105" s="84"/>
      <c r="J105" s="17"/>
      <c r="K105" s="93"/>
      <c r="L105" s="155"/>
      <c r="M105" s="72" t="s">
        <v>1012</v>
      </c>
      <c r="N105" s="90">
        <f>8558-N104</f>
        <v>8548</v>
      </c>
      <c r="O105" s="74" t="s">
        <v>1733</v>
      </c>
      <c r="P105" s="75">
        <v>0.48055555555555557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67">
        <v>45672.0</v>
      </c>
      <c r="I106" s="68"/>
      <c r="J106" s="69"/>
      <c r="K106" s="87"/>
      <c r="L106" s="71"/>
      <c r="M106" s="72" t="s">
        <v>1345</v>
      </c>
      <c r="N106" s="90">
        <v>12221.0</v>
      </c>
      <c r="O106" s="74" t="s">
        <v>1734</v>
      </c>
      <c r="P106" s="75">
        <v>0.5715277777777777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67">
        <v>45672.0</v>
      </c>
      <c r="I107" s="68" t="s">
        <v>1641</v>
      </c>
      <c r="J107" s="69">
        <v>46.81</v>
      </c>
      <c r="K107" s="70" t="s">
        <v>155</v>
      </c>
      <c r="L107" s="71">
        <v>0.6145833333333334</v>
      </c>
      <c r="M107" s="72" t="s">
        <v>1345</v>
      </c>
      <c r="N107" s="191">
        <v>7512.78</v>
      </c>
      <c r="O107" s="74" t="s">
        <v>1735</v>
      </c>
      <c r="P107" s="75">
        <v>0.6208333333333333</v>
      </c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67">
        <v>45672.0</v>
      </c>
      <c r="I108" s="84"/>
      <c r="J108" s="17"/>
      <c r="K108" s="93"/>
      <c r="L108" s="155"/>
      <c r="M108" s="72" t="s">
        <v>1345</v>
      </c>
      <c r="N108" s="90">
        <v>15950.41</v>
      </c>
      <c r="O108" s="74" t="s">
        <v>1736</v>
      </c>
      <c r="P108" s="75">
        <v>0.6659722222222222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67">
        <v>45672.0</v>
      </c>
      <c r="I109" s="84"/>
      <c r="J109" s="17"/>
      <c r="K109" s="85"/>
      <c r="L109" s="86"/>
      <c r="M109" s="72" t="s">
        <v>1345</v>
      </c>
      <c r="N109" s="90">
        <v>3333.0</v>
      </c>
      <c r="O109" s="74" t="s">
        <v>1281</v>
      </c>
      <c r="P109" s="75">
        <v>0.7208333333333333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67">
        <v>45672.0</v>
      </c>
      <c r="I110" s="68" t="s">
        <v>1353</v>
      </c>
      <c r="J110" s="69">
        <v>7560.0</v>
      </c>
      <c r="K110" s="70" t="s">
        <v>1737</v>
      </c>
      <c r="L110" s="71">
        <v>0.7534722222222222</v>
      </c>
      <c r="M110" s="72" t="s">
        <v>1345</v>
      </c>
      <c r="N110" s="90">
        <v>2222.0</v>
      </c>
      <c r="O110" s="74" t="s">
        <v>1738</v>
      </c>
      <c r="P110" s="75">
        <v>0.7902777777777777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67">
        <v>45672.0</v>
      </c>
      <c r="I111" s="68"/>
      <c r="J111" s="69"/>
      <c r="K111" s="70"/>
      <c r="L111" s="71"/>
      <c r="M111" s="72" t="s">
        <v>20</v>
      </c>
      <c r="N111" s="90">
        <v>500.0</v>
      </c>
      <c r="O111" s="74" t="s">
        <v>211</v>
      </c>
      <c r="P111" s="75">
        <v>0.8993055555555556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67">
        <v>45673.0</v>
      </c>
      <c r="I112" s="154"/>
      <c r="J112" s="17"/>
      <c r="K112" s="92"/>
      <c r="L112" s="173"/>
      <c r="M112" s="72" t="s">
        <v>671</v>
      </c>
      <c r="N112" s="90">
        <v>7636.0</v>
      </c>
      <c r="O112" s="74" t="s">
        <v>1739</v>
      </c>
      <c r="P112" s="75">
        <v>0.5215277777777778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67">
        <v>45673.0</v>
      </c>
      <c r="I113" s="84"/>
      <c r="J113" s="17"/>
      <c r="K113" s="85"/>
      <c r="L113" s="86"/>
      <c r="M113" s="72" t="s">
        <v>1345</v>
      </c>
      <c r="N113" s="90">
        <v>15554.0</v>
      </c>
      <c r="O113" s="74" t="s">
        <v>1740</v>
      </c>
      <c r="P113" s="75">
        <v>0.59375</v>
      </c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67">
        <v>45673.0</v>
      </c>
      <c r="I114" s="68"/>
      <c r="J114" s="17"/>
      <c r="K114" s="70"/>
      <c r="L114" s="155"/>
      <c r="M114" s="72" t="s">
        <v>27</v>
      </c>
      <c r="N114" s="90">
        <v>10.0</v>
      </c>
      <c r="O114" s="74"/>
      <c r="P114" s="75">
        <v>0.5979166666666667</v>
      </c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67">
        <v>45673.0</v>
      </c>
      <c r="I115" s="154"/>
      <c r="J115" s="17"/>
      <c r="K115" s="93"/>
      <c r="L115" s="155"/>
      <c r="M115" s="72" t="s">
        <v>27</v>
      </c>
      <c r="N115" s="19">
        <f>2320-N114</f>
        <v>2310</v>
      </c>
      <c r="O115" s="74" t="s">
        <v>1741</v>
      </c>
      <c r="P115" s="75">
        <v>0.5993055555555555</v>
      </c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67">
        <v>45673.0</v>
      </c>
      <c r="I116" s="68" t="s">
        <v>1742</v>
      </c>
      <c r="J116" s="69">
        <v>100000.0</v>
      </c>
      <c r="K116" s="85"/>
      <c r="L116" s="71">
        <v>0.68125</v>
      </c>
      <c r="M116" s="72" t="s">
        <v>1340</v>
      </c>
      <c r="N116" s="90">
        <v>60.0</v>
      </c>
      <c r="O116" s="74" t="s">
        <v>1743</v>
      </c>
      <c r="P116" s="75">
        <v>0.6909722222222222</v>
      </c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67">
        <v>45673.0</v>
      </c>
      <c r="I117" s="154"/>
      <c r="J117" s="17"/>
      <c r="K117" s="92"/>
      <c r="L117" s="155"/>
      <c r="M117" s="72" t="s">
        <v>1340</v>
      </c>
      <c r="N117" s="90">
        <v>575.7</v>
      </c>
      <c r="O117" s="74" t="s">
        <v>1744</v>
      </c>
      <c r="P117" s="75">
        <v>0.8743055555555556</v>
      </c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67">
        <v>45673.0</v>
      </c>
      <c r="I118" s="154"/>
      <c r="J118" s="17"/>
      <c r="K118" s="85"/>
      <c r="L118" s="155"/>
      <c r="M118" s="72" t="s">
        <v>1664</v>
      </c>
      <c r="N118" s="90">
        <v>4750.0</v>
      </c>
      <c r="O118" s="74" t="s">
        <v>1745</v>
      </c>
      <c r="P118" s="75">
        <v>0.9277777777777778</v>
      </c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67">
        <v>45674.0</v>
      </c>
      <c r="I119" s="68" t="s">
        <v>1642</v>
      </c>
      <c r="J119" s="69">
        <v>3780.0</v>
      </c>
      <c r="K119" s="70" t="s">
        <v>1746</v>
      </c>
      <c r="L119" s="71">
        <v>0.052083333333333336</v>
      </c>
      <c r="M119" s="72" t="s">
        <v>14</v>
      </c>
      <c r="N119" s="90">
        <v>10000.0</v>
      </c>
      <c r="O119" s="74" t="s">
        <v>1747</v>
      </c>
      <c r="P119" s="75">
        <v>0.5138888888888888</v>
      </c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67">
        <v>45674.0</v>
      </c>
      <c r="I120" s="154"/>
      <c r="J120" s="17"/>
      <c r="K120" s="93"/>
      <c r="L120" s="155"/>
      <c r="M120" s="72" t="s">
        <v>1340</v>
      </c>
      <c r="N120" s="90">
        <v>1151.4</v>
      </c>
      <c r="O120" s="74" t="s">
        <v>1507</v>
      </c>
      <c r="P120" s="75">
        <v>0.5243055555555556</v>
      </c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67">
        <v>45674.0</v>
      </c>
      <c r="I121" s="68"/>
      <c r="J121" s="69"/>
      <c r="K121" s="87"/>
      <c r="L121" s="71"/>
      <c r="M121" s="72" t="s">
        <v>1345</v>
      </c>
      <c r="N121" s="90">
        <v>7777.0</v>
      </c>
      <c r="O121" s="74" t="s">
        <v>1748</v>
      </c>
      <c r="P121" s="75">
        <v>0.6715277777777777</v>
      </c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67">
        <v>45674.0</v>
      </c>
      <c r="I122" s="68" t="s">
        <v>1647</v>
      </c>
      <c r="J122" s="69">
        <v>1803.0</v>
      </c>
      <c r="K122" s="70" t="s">
        <v>155</v>
      </c>
      <c r="L122" s="71">
        <v>0.6347222222222222</v>
      </c>
      <c r="M122" s="72" t="s">
        <v>20</v>
      </c>
      <c r="N122" s="90">
        <v>26.0</v>
      </c>
      <c r="O122" s="74" t="s">
        <v>1749</v>
      </c>
      <c r="P122" s="75">
        <v>0.7763888888888889</v>
      </c>
      <c r="Q122" s="41"/>
      <c r="R122" s="39"/>
      <c r="S122" s="76" t="s">
        <v>1750</v>
      </c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67">
        <v>45674.0</v>
      </c>
      <c r="I123" s="68"/>
      <c r="J123" s="69"/>
      <c r="K123" s="70"/>
      <c r="L123" s="88"/>
      <c r="M123" s="72" t="s">
        <v>1663</v>
      </c>
      <c r="N123" s="90">
        <v>4400.0</v>
      </c>
      <c r="O123" s="74" t="s">
        <v>1751</v>
      </c>
      <c r="P123" s="75">
        <v>0.9208333333333333</v>
      </c>
      <c r="Q123" s="41"/>
      <c r="R123" s="39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67">
        <v>45674.0</v>
      </c>
      <c r="I124" s="68"/>
      <c r="J124" s="69"/>
      <c r="K124" s="70"/>
      <c r="L124" s="71"/>
      <c r="M124" s="72" t="s">
        <v>1353</v>
      </c>
      <c r="N124" s="90">
        <v>9000.0</v>
      </c>
      <c r="O124" s="74" t="s">
        <v>1752</v>
      </c>
      <c r="P124" s="75">
        <v>0.9208333333333333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67">
        <v>45675.0</v>
      </c>
      <c r="I125" s="68"/>
      <c r="J125" s="69"/>
      <c r="K125" s="70"/>
      <c r="L125" s="88"/>
      <c r="M125" s="72" t="s">
        <v>1012</v>
      </c>
      <c r="N125" s="90">
        <v>4400.0</v>
      </c>
      <c r="O125" s="74" t="s">
        <v>1682</v>
      </c>
      <c r="P125" s="75">
        <v>0.5048611111111111</v>
      </c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67">
        <v>45675.0</v>
      </c>
      <c r="I126" s="84"/>
      <c r="J126" s="17"/>
      <c r="K126" s="85"/>
      <c r="L126" s="86"/>
      <c r="M126" s="72" t="s">
        <v>1340</v>
      </c>
      <c r="N126" s="90">
        <v>1151.4</v>
      </c>
      <c r="O126" s="74" t="s">
        <v>1507</v>
      </c>
      <c r="P126" s="75">
        <v>0.5361111111111111</v>
      </c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67">
        <v>45675.0</v>
      </c>
      <c r="I127" s="84"/>
      <c r="J127" s="17"/>
      <c r="K127" s="85"/>
      <c r="L127" s="86"/>
      <c r="M127" s="72" t="s">
        <v>671</v>
      </c>
      <c r="N127" s="90">
        <v>8326.0</v>
      </c>
      <c r="O127" s="74" t="s">
        <v>1753</v>
      </c>
      <c r="P127" s="75">
        <v>0.5597222222222222</v>
      </c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67">
        <v>45675.0</v>
      </c>
      <c r="I128" s="68"/>
      <c r="J128" s="69"/>
      <c r="K128" s="87"/>
      <c r="L128" s="88"/>
      <c r="M128" s="72" t="s">
        <v>1340</v>
      </c>
      <c r="N128" s="90">
        <v>1151.4</v>
      </c>
      <c r="O128" s="74" t="s">
        <v>1507</v>
      </c>
      <c r="P128" s="75">
        <v>0.6444444444444445</v>
      </c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67">
        <v>45675.0</v>
      </c>
      <c r="I129" s="68"/>
      <c r="J129" s="69"/>
      <c r="K129" s="70"/>
      <c r="L129" s="71"/>
      <c r="M129" s="72" t="s">
        <v>1340</v>
      </c>
      <c r="N129" s="90">
        <v>2302.8</v>
      </c>
      <c r="O129" s="74" t="s">
        <v>1580</v>
      </c>
      <c r="P129" s="75">
        <v>0.8180555555555555</v>
      </c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67">
        <v>45675.0</v>
      </c>
      <c r="I130" s="68"/>
      <c r="J130" s="69"/>
      <c r="K130" s="70"/>
      <c r="L130" s="71"/>
      <c r="M130" s="72" t="s">
        <v>1486</v>
      </c>
      <c r="N130" s="90">
        <v>10316.0</v>
      </c>
      <c r="O130" s="126"/>
      <c r="P130" s="75">
        <v>0.85625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67">
        <v>45675.0</v>
      </c>
      <c r="I131" s="84"/>
      <c r="J131" s="17"/>
      <c r="K131" s="85"/>
      <c r="L131" s="86"/>
      <c r="M131" s="72" t="s">
        <v>1486</v>
      </c>
      <c r="N131" s="90">
        <v>11865.0</v>
      </c>
      <c r="O131" s="74" t="s">
        <v>1754</v>
      </c>
      <c r="P131" s="75">
        <v>0.9743055555555555</v>
      </c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67">
        <v>45676.0</v>
      </c>
      <c r="I132" s="68" t="s">
        <v>1700</v>
      </c>
      <c r="J132" s="69">
        <v>1920.0</v>
      </c>
      <c r="K132" s="70" t="s">
        <v>1755</v>
      </c>
      <c r="L132" s="71">
        <v>0.10625</v>
      </c>
      <c r="M132" s="72" t="s">
        <v>1486</v>
      </c>
      <c r="N132" s="90">
        <v>10170.0</v>
      </c>
      <c r="O132" s="74" t="s">
        <v>1756</v>
      </c>
      <c r="P132" s="75">
        <v>0.6402777777777777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67">
        <v>45676.0</v>
      </c>
      <c r="I133" s="84"/>
      <c r="J133" s="17"/>
      <c r="K133" s="85"/>
      <c r="L133" s="86"/>
      <c r="M133" s="72" t="s">
        <v>1340</v>
      </c>
      <c r="N133" s="90">
        <v>2302.8</v>
      </c>
      <c r="O133" s="74" t="s">
        <v>1580</v>
      </c>
      <c r="P133" s="75">
        <v>0.71875</v>
      </c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67">
        <v>45676.0</v>
      </c>
      <c r="I134" s="68"/>
      <c r="J134" s="69"/>
      <c r="K134" s="70"/>
      <c r="L134" s="88"/>
      <c r="M134" s="72" t="s">
        <v>1667</v>
      </c>
      <c r="N134" s="90">
        <v>1081.0</v>
      </c>
      <c r="O134" s="74" t="s">
        <v>1757</v>
      </c>
      <c r="P134" s="75">
        <v>0.95625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67">
        <v>45676.0</v>
      </c>
      <c r="I135" s="68"/>
      <c r="J135" s="69"/>
      <c r="K135" s="70"/>
      <c r="L135" s="88"/>
      <c r="M135" s="72" t="s">
        <v>1486</v>
      </c>
      <c r="N135" s="90">
        <v>13560.0</v>
      </c>
      <c r="O135" s="74" t="s">
        <v>1758</v>
      </c>
      <c r="P135" s="75">
        <v>0.9576388888888889</v>
      </c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67">
        <v>45677.0</v>
      </c>
      <c r="I136" s="68" t="s">
        <v>860</v>
      </c>
      <c r="J136" s="69">
        <v>100000.0</v>
      </c>
      <c r="K136" s="85"/>
      <c r="L136" s="71">
        <v>0.5451388888888888</v>
      </c>
      <c r="M136" s="72" t="s">
        <v>671</v>
      </c>
      <c r="N136" s="90">
        <v>12811.0</v>
      </c>
      <c r="O136" s="74" t="s">
        <v>1759</v>
      </c>
      <c r="P136" s="75">
        <v>0.5791666666666667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67">
        <v>45677.0</v>
      </c>
      <c r="I137" s="68"/>
      <c r="J137" s="69"/>
      <c r="K137" s="70"/>
      <c r="L137" s="71"/>
      <c r="M137" s="72" t="s">
        <v>1668</v>
      </c>
      <c r="N137" s="90">
        <v>10.0</v>
      </c>
      <c r="O137" s="74"/>
      <c r="P137" s="75">
        <v>0.6451388888888889</v>
      </c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67">
        <v>45677.0</v>
      </c>
      <c r="I138" s="84"/>
      <c r="J138" s="17"/>
      <c r="K138" s="85"/>
      <c r="L138" s="86"/>
      <c r="M138" s="72" t="s">
        <v>1668</v>
      </c>
      <c r="N138" s="90">
        <f>4600-N137</f>
        <v>4590</v>
      </c>
      <c r="O138" s="74" t="s">
        <v>1760</v>
      </c>
      <c r="P138" s="75">
        <v>0.6486111111111111</v>
      </c>
      <c r="Q138" s="41"/>
      <c r="R138" s="39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67">
        <v>45677.0</v>
      </c>
      <c r="I139" s="68"/>
      <c r="J139" s="69"/>
      <c r="K139" s="70"/>
      <c r="L139" s="71"/>
      <c r="M139" s="72" t="s">
        <v>1486</v>
      </c>
      <c r="N139" s="90">
        <v>6800.0</v>
      </c>
      <c r="O139" s="74" t="s">
        <v>1761</v>
      </c>
      <c r="P139" s="75">
        <v>0.7270833333333333</v>
      </c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67">
        <v>45677.0</v>
      </c>
      <c r="I140" s="68" t="s">
        <v>1700</v>
      </c>
      <c r="J140" s="69">
        <v>6720.0</v>
      </c>
      <c r="K140" s="70" t="s">
        <v>1762</v>
      </c>
      <c r="L140" s="71"/>
      <c r="M140" s="72" t="s">
        <v>1486</v>
      </c>
      <c r="N140" s="90">
        <v>14710.0</v>
      </c>
      <c r="O140" s="74" t="s">
        <v>1763</v>
      </c>
      <c r="P140" s="75">
        <v>0.9923611111111111</v>
      </c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67">
        <v>45678.0</v>
      </c>
      <c r="I141" s="68"/>
      <c r="J141" s="69"/>
      <c r="K141" s="70"/>
      <c r="L141" s="88"/>
      <c r="M141" s="72" t="s">
        <v>1340</v>
      </c>
      <c r="N141" s="90">
        <v>371.9022</v>
      </c>
      <c r="O141" s="74" t="s">
        <v>1764</v>
      </c>
      <c r="P141" s="75">
        <v>0.5361111111111111</v>
      </c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67">
        <v>45678.0</v>
      </c>
      <c r="I142" s="68" t="s">
        <v>1668</v>
      </c>
      <c r="J142" s="69">
        <v>4600.0</v>
      </c>
      <c r="K142" s="70" t="s">
        <v>155</v>
      </c>
      <c r="L142" s="71">
        <v>0.6354166666666666</v>
      </c>
      <c r="M142" s="72" t="s">
        <v>1340</v>
      </c>
      <c r="N142" s="90">
        <v>1151.4</v>
      </c>
      <c r="O142" s="74" t="s">
        <v>1507</v>
      </c>
      <c r="P142" s="75">
        <v>0.6513888888888889</v>
      </c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67">
        <v>45678.0</v>
      </c>
      <c r="I143" s="68"/>
      <c r="J143" s="69"/>
      <c r="K143" s="85"/>
      <c r="L143" s="71"/>
      <c r="M143" s="72" t="s">
        <v>1486</v>
      </c>
      <c r="N143" s="90">
        <v>15000.0</v>
      </c>
      <c r="O143" s="74" t="s">
        <v>1765</v>
      </c>
      <c r="P143" s="75">
        <v>0.6868055555555556</v>
      </c>
      <c r="Q143" s="41"/>
      <c r="R143" s="39"/>
      <c r="S143" s="76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67">
        <v>45678.0</v>
      </c>
      <c r="I144" s="68" t="s">
        <v>1510</v>
      </c>
      <c r="J144" s="69">
        <v>50000.0</v>
      </c>
      <c r="K144" s="85"/>
      <c r="L144" s="71">
        <v>0.7006944444444444</v>
      </c>
      <c r="M144" s="72" t="s">
        <v>20</v>
      </c>
      <c r="N144" s="90">
        <v>164.06</v>
      </c>
      <c r="O144" s="74" t="s">
        <v>1766</v>
      </c>
      <c r="P144" s="75">
        <v>0.7444444444444445</v>
      </c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67">
        <v>45678.0</v>
      </c>
      <c r="I145" s="68" t="s">
        <v>1711</v>
      </c>
      <c r="J145" s="69">
        <v>50000.0</v>
      </c>
      <c r="K145" s="87"/>
      <c r="L145" s="71">
        <v>0.7597222222222222</v>
      </c>
      <c r="M145" s="72" t="s">
        <v>1345</v>
      </c>
      <c r="N145" s="90">
        <v>2222.0</v>
      </c>
      <c r="O145" s="74" t="s">
        <v>1498</v>
      </c>
      <c r="P145" s="75">
        <v>0.7916666666666666</v>
      </c>
      <c r="Q145" s="41"/>
      <c r="R145" s="39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67">
        <v>45678.0</v>
      </c>
      <c r="I146" s="68"/>
      <c r="J146" s="69"/>
      <c r="K146" s="87"/>
      <c r="L146" s="71"/>
      <c r="M146" s="72" t="s">
        <v>20</v>
      </c>
      <c r="N146" s="90">
        <v>225.0</v>
      </c>
      <c r="O146" s="74" t="s">
        <v>1767</v>
      </c>
      <c r="P146" s="75">
        <v>0.8048611111111111</v>
      </c>
      <c r="Q146" s="41"/>
      <c r="R146" s="39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67">
        <v>45678.0</v>
      </c>
      <c r="I147" s="84"/>
      <c r="J147" s="17"/>
      <c r="K147" s="85"/>
      <c r="L147" s="86"/>
      <c r="M147" s="72" t="s">
        <v>20</v>
      </c>
      <c r="N147" s="90">
        <v>15.0</v>
      </c>
      <c r="O147" s="74" t="s">
        <v>1768</v>
      </c>
      <c r="P147" s="75">
        <v>0.8895833333333333</v>
      </c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67">
        <v>45678.0</v>
      </c>
      <c r="I148" s="84"/>
      <c r="J148" s="17"/>
      <c r="K148" s="85"/>
      <c r="L148" s="86"/>
      <c r="M148" s="72" t="s">
        <v>20</v>
      </c>
      <c r="N148" s="90">
        <v>24.0</v>
      </c>
      <c r="O148" s="74" t="s">
        <v>1769</v>
      </c>
      <c r="P148" s="75">
        <v>0.9027777777777778</v>
      </c>
      <c r="Q148" s="41"/>
      <c r="R148" s="39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67">
        <v>45678.0</v>
      </c>
      <c r="I149" s="84"/>
      <c r="J149" s="17"/>
      <c r="K149" s="85"/>
      <c r="L149" s="86"/>
      <c r="M149" s="72" t="s">
        <v>1486</v>
      </c>
      <c r="N149" s="90">
        <v>6285.0</v>
      </c>
      <c r="O149" s="126"/>
      <c r="P149" s="75">
        <v>0.9430555555555555</v>
      </c>
      <c r="Q149" s="41"/>
      <c r="R149" s="39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67">
        <v>45679.0</v>
      </c>
      <c r="I150" s="84"/>
      <c r="J150" s="17"/>
      <c r="K150" s="85"/>
      <c r="L150" s="86"/>
      <c r="M150" s="72" t="s">
        <v>14</v>
      </c>
      <c r="N150" s="90">
        <v>20000.0</v>
      </c>
      <c r="O150" s="74" t="s">
        <v>1723</v>
      </c>
      <c r="P150" s="75">
        <v>0.5347222222222222</v>
      </c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67">
        <v>45679.0</v>
      </c>
      <c r="I151" s="68"/>
      <c r="J151" s="69"/>
      <c r="K151" s="70"/>
      <c r="L151" s="88"/>
      <c r="M151" s="72" t="s">
        <v>20</v>
      </c>
      <c r="N151" s="90">
        <v>41.26</v>
      </c>
      <c r="O151" s="74" t="s">
        <v>1770</v>
      </c>
      <c r="P151" s="75">
        <v>0.55</v>
      </c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67">
        <v>45679.0</v>
      </c>
      <c r="I152" s="68"/>
      <c r="J152" s="69"/>
      <c r="K152" s="87"/>
      <c r="L152" s="71"/>
      <c r="M152" s="72" t="s">
        <v>1340</v>
      </c>
      <c r="N152" s="90">
        <v>565.6</v>
      </c>
      <c r="O152" s="74" t="s">
        <v>1771</v>
      </c>
      <c r="P152" s="75">
        <v>0.6395833333333333</v>
      </c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67">
        <v>45679.0</v>
      </c>
      <c r="I153" s="68"/>
      <c r="J153" s="69"/>
      <c r="K153" s="85"/>
      <c r="L153" s="71"/>
      <c r="M153" s="72" t="s">
        <v>1340</v>
      </c>
      <c r="N153" s="90">
        <v>1161.5</v>
      </c>
      <c r="O153" s="74" t="s">
        <v>1772</v>
      </c>
      <c r="P153" s="75">
        <v>0.6701388888888888</v>
      </c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67">
        <v>45679.0</v>
      </c>
      <c r="I154" s="84"/>
      <c r="J154" s="17"/>
      <c r="K154" s="85"/>
      <c r="L154" s="86"/>
      <c r="M154" s="72" t="s">
        <v>1518</v>
      </c>
      <c r="N154" s="90">
        <v>10.0</v>
      </c>
      <c r="O154" s="209"/>
      <c r="P154" s="75">
        <v>0.75</v>
      </c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67">
        <v>45679.0</v>
      </c>
      <c r="I155" s="68"/>
      <c r="J155" s="69"/>
      <c r="K155" s="85"/>
      <c r="L155" s="71"/>
      <c r="M155" s="72" t="s">
        <v>1518</v>
      </c>
      <c r="N155" s="90">
        <f>10000-N154</f>
        <v>9990</v>
      </c>
      <c r="O155" s="74"/>
      <c r="P155" s="75">
        <v>0.7513888888888889</v>
      </c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67">
        <v>45679.0</v>
      </c>
      <c r="I156" s="84"/>
      <c r="J156" s="17"/>
      <c r="K156" s="85"/>
      <c r="L156" s="86"/>
      <c r="M156" s="72" t="s">
        <v>1486</v>
      </c>
      <c r="N156" s="90">
        <v>7940.0</v>
      </c>
      <c r="O156" s="74" t="s">
        <v>1773</v>
      </c>
      <c r="P156" s="75">
        <v>0.8631944444444445</v>
      </c>
      <c r="Q156" s="41"/>
      <c r="R156" s="39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67">
        <v>45679.0</v>
      </c>
      <c r="I157" s="68"/>
      <c r="J157" s="69"/>
      <c r="K157" s="87"/>
      <c r="L157" s="71"/>
      <c r="M157" s="72" t="s">
        <v>1353</v>
      </c>
      <c r="N157" s="90">
        <v>4210.0</v>
      </c>
      <c r="O157" s="74"/>
      <c r="P157" s="75">
        <v>0.8770833333333333</v>
      </c>
      <c r="Q157" s="41"/>
      <c r="R157" s="39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67">
        <v>45680.0</v>
      </c>
      <c r="I158" s="68" t="s">
        <v>1700</v>
      </c>
      <c r="J158" s="69">
        <v>4800.0</v>
      </c>
      <c r="K158" s="70" t="s">
        <v>1774</v>
      </c>
      <c r="L158" s="71">
        <v>0.21805555555555556</v>
      </c>
      <c r="M158" s="72" t="s">
        <v>1012</v>
      </c>
      <c r="N158" s="90">
        <v>4400.0</v>
      </c>
      <c r="O158" s="74" t="s">
        <v>1682</v>
      </c>
      <c r="P158" s="75">
        <v>0.5180555555555556</v>
      </c>
      <c r="Q158" s="41"/>
      <c r="R158" s="39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67">
        <v>45680.0</v>
      </c>
      <c r="I159" s="68"/>
      <c r="J159" s="69"/>
      <c r="K159" s="85"/>
      <c r="L159" s="71"/>
      <c r="M159" s="72" t="s">
        <v>1486</v>
      </c>
      <c r="N159" s="90">
        <v>10240.0</v>
      </c>
      <c r="O159" s="74" t="s">
        <v>1775</v>
      </c>
      <c r="P159" s="75">
        <v>0.5479166666666667</v>
      </c>
      <c r="Q159" s="41"/>
      <c r="R159" s="39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67">
        <v>45680.0</v>
      </c>
      <c r="I160" s="154"/>
      <c r="J160" s="17"/>
      <c r="K160" s="93"/>
      <c r="L160" s="155"/>
      <c r="M160" s="72" t="s">
        <v>1340</v>
      </c>
      <c r="N160" s="90">
        <v>595.7</v>
      </c>
      <c r="O160" s="74" t="s">
        <v>1776</v>
      </c>
      <c r="P160" s="75">
        <v>0.5618055555555556</v>
      </c>
      <c r="Q160" s="41"/>
      <c r="R160" s="39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67">
        <v>45680.0</v>
      </c>
      <c r="I161" s="68" t="s">
        <v>681</v>
      </c>
      <c r="J161" s="69">
        <v>100000.0</v>
      </c>
      <c r="K161" s="93"/>
      <c r="L161" s="71">
        <v>0.5895833333333333</v>
      </c>
      <c r="M161" s="72" t="s">
        <v>1012</v>
      </c>
      <c r="N161" s="90">
        <v>8800.0</v>
      </c>
      <c r="O161" s="74" t="s">
        <v>1489</v>
      </c>
      <c r="P161" s="75">
        <v>0.6861111111111111</v>
      </c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67">
        <v>45680.0</v>
      </c>
      <c r="I162" s="84"/>
      <c r="J162" s="69"/>
      <c r="K162" s="87"/>
      <c r="L162" s="71"/>
      <c r="M162" s="147" t="s">
        <v>1225</v>
      </c>
      <c r="N162" s="90">
        <v>9200.0</v>
      </c>
      <c r="O162" s="74" t="s">
        <v>1631</v>
      </c>
      <c r="P162" s="75">
        <v>0.7027777777777777</v>
      </c>
      <c r="Q162" s="41"/>
      <c r="R162" s="39"/>
      <c r="S162" s="76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67">
        <v>45680.0</v>
      </c>
      <c r="I163" s="68"/>
      <c r="J163" s="69"/>
      <c r="K163" s="87"/>
      <c r="L163" s="71"/>
      <c r="M163" s="72" t="s">
        <v>14</v>
      </c>
      <c r="N163" s="90">
        <v>35000.0</v>
      </c>
      <c r="O163" s="74" t="s">
        <v>1723</v>
      </c>
      <c r="P163" s="75">
        <v>0.7055555555555556</v>
      </c>
      <c r="Q163" s="41"/>
      <c r="R163" s="39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67">
        <v>45680.0</v>
      </c>
      <c r="I164" s="68"/>
      <c r="J164" s="69"/>
      <c r="K164" s="87"/>
      <c r="L164" s="71"/>
      <c r="M164" s="72" t="s">
        <v>14</v>
      </c>
      <c r="N164" s="90">
        <v>857.0</v>
      </c>
      <c r="O164" s="74" t="s">
        <v>1723</v>
      </c>
      <c r="P164" s="75">
        <v>0.7083333333333334</v>
      </c>
      <c r="Q164" s="41"/>
      <c r="R164" s="39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67">
        <v>45680.0</v>
      </c>
      <c r="I165" s="68" t="s">
        <v>1642</v>
      </c>
      <c r="J165" s="69">
        <v>1080.0</v>
      </c>
      <c r="K165" s="70" t="s">
        <v>1777</v>
      </c>
      <c r="L165" s="71">
        <v>0.7583333333333333</v>
      </c>
      <c r="M165" s="72"/>
      <c r="N165" s="90"/>
      <c r="O165" s="74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67">
        <v>45680.0</v>
      </c>
      <c r="I166" s="68" t="s">
        <v>1711</v>
      </c>
      <c r="J166" s="69">
        <v>50000.0</v>
      </c>
      <c r="K166" s="87"/>
      <c r="L166" s="71">
        <v>0.9555555555555556</v>
      </c>
      <c r="M166" s="72"/>
      <c r="N166" s="90"/>
      <c r="O166" s="74"/>
      <c r="P166" s="75"/>
      <c r="Q166" s="41"/>
      <c r="R166" s="39"/>
      <c r="S166" s="76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67">
        <v>45681.0</v>
      </c>
      <c r="I167" s="84"/>
      <c r="J167" s="17"/>
      <c r="K167" s="85"/>
      <c r="L167" s="86"/>
      <c r="M167" s="72" t="s">
        <v>1486</v>
      </c>
      <c r="N167" s="90">
        <v>10755.0</v>
      </c>
      <c r="O167" s="74" t="s">
        <v>1778</v>
      </c>
      <c r="P167" s="75">
        <v>0.021527777777777778</v>
      </c>
      <c r="Q167" s="41"/>
      <c r="R167" s="39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67">
        <v>45681.0</v>
      </c>
      <c r="I168" s="68" t="s">
        <v>1700</v>
      </c>
      <c r="J168" s="69">
        <v>5880.0</v>
      </c>
      <c r="K168" s="70" t="s">
        <v>1779</v>
      </c>
      <c r="L168" s="71">
        <v>0.4027777777777778</v>
      </c>
      <c r="M168" s="72" t="s">
        <v>1012</v>
      </c>
      <c r="N168" s="90">
        <v>8800.0</v>
      </c>
      <c r="O168" s="74" t="s">
        <v>1489</v>
      </c>
      <c r="P168" s="75">
        <v>0.5027777777777778</v>
      </c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67">
        <v>45681.0</v>
      </c>
      <c r="I169" s="84"/>
      <c r="J169" s="17"/>
      <c r="K169" s="85"/>
      <c r="L169" s="86"/>
      <c r="M169" s="147" t="s">
        <v>1225</v>
      </c>
      <c r="N169" s="90">
        <v>9200.0</v>
      </c>
      <c r="O169" s="74" t="s">
        <v>1631</v>
      </c>
      <c r="P169" s="75">
        <v>0.50625</v>
      </c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67">
        <v>45681.0</v>
      </c>
      <c r="I170" s="84"/>
      <c r="J170" s="17"/>
      <c r="K170" s="85"/>
      <c r="L170" s="86"/>
      <c r="M170" s="72" t="s">
        <v>1353</v>
      </c>
      <c r="N170" s="90">
        <v>11520.0</v>
      </c>
      <c r="O170" s="74" t="s">
        <v>1780</v>
      </c>
      <c r="P170" s="75">
        <v>0.5375</v>
      </c>
      <c r="Q170" s="41"/>
      <c r="R170" s="39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67">
        <v>45681.0</v>
      </c>
      <c r="I171" s="84"/>
      <c r="J171" s="17"/>
      <c r="K171" s="85"/>
      <c r="L171" s="86"/>
      <c r="M171" s="72" t="s">
        <v>1340</v>
      </c>
      <c r="N171" s="90">
        <v>575.7</v>
      </c>
      <c r="O171" s="74" t="s">
        <v>1744</v>
      </c>
      <c r="P171" s="75">
        <v>0.6430555555555556</v>
      </c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67">
        <v>45681.0</v>
      </c>
      <c r="I172" s="68"/>
      <c r="J172" s="69"/>
      <c r="K172" s="87"/>
      <c r="L172" s="71"/>
      <c r="M172" s="72" t="s">
        <v>671</v>
      </c>
      <c r="N172" s="90">
        <v>4324.0</v>
      </c>
      <c r="O172" s="74" t="s">
        <v>1781</v>
      </c>
      <c r="P172" s="75">
        <v>0.6659722222222222</v>
      </c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67">
        <v>45681.0</v>
      </c>
      <c r="I173" s="154"/>
      <c r="J173" s="17"/>
      <c r="K173" s="87"/>
      <c r="L173" s="71"/>
      <c r="M173" s="72" t="s">
        <v>1012</v>
      </c>
      <c r="N173" s="90">
        <v>8800.0</v>
      </c>
      <c r="O173" s="74" t="s">
        <v>1489</v>
      </c>
      <c r="P173" s="75">
        <v>0.6847222222222222</v>
      </c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67">
        <v>45681.0</v>
      </c>
      <c r="I174" s="84"/>
      <c r="J174" s="69"/>
      <c r="K174" s="87"/>
      <c r="L174" s="71"/>
      <c r="M174" s="72" t="s">
        <v>1486</v>
      </c>
      <c r="N174" s="90">
        <v>10170.0</v>
      </c>
      <c r="O174" s="74" t="s">
        <v>1782</v>
      </c>
      <c r="P174" s="75">
        <v>0.6930555555555555</v>
      </c>
      <c r="Q174" s="41"/>
      <c r="R174" s="39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67">
        <v>45681.0</v>
      </c>
      <c r="I175" s="68"/>
      <c r="J175" s="69"/>
      <c r="K175" s="85"/>
      <c r="L175" s="71"/>
      <c r="M175" s="72" t="s">
        <v>1518</v>
      </c>
      <c r="N175" s="90">
        <v>10000.0</v>
      </c>
      <c r="O175" s="74"/>
      <c r="P175" s="75">
        <v>0.8152777777777778</v>
      </c>
      <c r="Q175" s="41"/>
      <c r="R175" s="39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67">
        <v>45681.0</v>
      </c>
      <c r="I176" s="84"/>
      <c r="J176" s="69"/>
      <c r="K176" s="70"/>
      <c r="L176" s="71"/>
      <c r="M176" s="72" t="s">
        <v>1486</v>
      </c>
      <c r="N176" s="90">
        <v>10170.0</v>
      </c>
      <c r="O176" s="74" t="s">
        <v>1756</v>
      </c>
      <c r="P176" s="75">
        <v>0.9993055555555556</v>
      </c>
      <c r="Q176" s="41"/>
      <c r="R176" s="39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67">
        <v>45682.0</v>
      </c>
      <c r="I177" s="68" t="s">
        <v>1700</v>
      </c>
      <c r="J177" s="69">
        <v>6960.0</v>
      </c>
      <c r="K177" s="70" t="s">
        <v>1783</v>
      </c>
      <c r="L177" s="71">
        <v>0.4354166666666667</v>
      </c>
      <c r="M177" s="72" t="s">
        <v>1012</v>
      </c>
      <c r="N177" s="90">
        <v>8800.0</v>
      </c>
      <c r="O177" s="74" t="s">
        <v>1489</v>
      </c>
      <c r="P177" s="75">
        <v>0.5055555555555555</v>
      </c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67">
        <v>45682.0</v>
      </c>
      <c r="I178" s="68"/>
      <c r="J178" s="69"/>
      <c r="K178" s="87"/>
      <c r="L178" s="71"/>
      <c r="M178" s="147" t="s">
        <v>1225</v>
      </c>
      <c r="N178" s="90">
        <v>9200.0</v>
      </c>
      <c r="O178" s="74" t="s">
        <v>1631</v>
      </c>
      <c r="P178" s="75">
        <v>0.5083333333333333</v>
      </c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67">
        <v>45682.0</v>
      </c>
      <c r="I179" s="68"/>
      <c r="J179" s="69"/>
      <c r="K179" s="87"/>
      <c r="L179" s="71"/>
      <c r="M179" s="72" t="s">
        <v>1667</v>
      </c>
      <c r="N179" s="90">
        <v>759.0</v>
      </c>
      <c r="O179" s="74" t="s">
        <v>1784</v>
      </c>
      <c r="P179" s="75">
        <v>0.5298611111111111</v>
      </c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67">
        <v>45682.0</v>
      </c>
      <c r="I180" s="84"/>
      <c r="J180" s="17"/>
      <c r="K180" s="85"/>
      <c r="L180" s="86"/>
      <c r="M180" s="72" t="s">
        <v>1012</v>
      </c>
      <c r="N180" s="90">
        <v>8800.0</v>
      </c>
      <c r="O180" s="74" t="s">
        <v>1489</v>
      </c>
      <c r="P180" s="75">
        <v>0.5944444444444444</v>
      </c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67">
        <v>45682.0</v>
      </c>
      <c r="I181" s="84"/>
      <c r="J181" s="17"/>
      <c r="K181" s="85"/>
      <c r="L181" s="86"/>
      <c r="M181" s="72" t="s">
        <v>1345</v>
      </c>
      <c r="N181" s="90">
        <v>4513.43</v>
      </c>
      <c r="O181" s="74" t="s">
        <v>1785</v>
      </c>
      <c r="P181" s="75">
        <v>0.5972222222222222</v>
      </c>
      <c r="Q181" s="41"/>
      <c r="R181" s="39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67">
        <v>45682.0</v>
      </c>
      <c r="I182" s="84"/>
      <c r="J182" s="17"/>
      <c r="K182" s="85"/>
      <c r="L182" s="86"/>
      <c r="M182" s="72" t="s">
        <v>1486</v>
      </c>
      <c r="N182" s="90">
        <v>15255.0</v>
      </c>
      <c r="O182" s="74" t="s">
        <v>1786</v>
      </c>
      <c r="P182" s="75">
        <v>0.6201388888888889</v>
      </c>
      <c r="Q182" s="41"/>
      <c r="R182" s="39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67">
        <v>45682.0</v>
      </c>
      <c r="I183" s="68"/>
      <c r="J183" s="69"/>
      <c r="K183" s="87"/>
      <c r="L183" s="71"/>
      <c r="M183" s="72" t="s">
        <v>1353</v>
      </c>
      <c r="N183" s="90">
        <v>9360.0</v>
      </c>
      <c r="O183" s="74" t="s">
        <v>1787</v>
      </c>
      <c r="P183" s="75">
        <v>0.7118055555555556</v>
      </c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67">
        <v>45682.0</v>
      </c>
      <c r="I184" s="68"/>
      <c r="J184" s="69"/>
      <c r="K184" s="87"/>
      <c r="L184" s="71"/>
      <c r="M184" s="72" t="s">
        <v>671</v>
      </c>
      <c r="N184" s="90">
        <v>3542.0</v>
      </c>
      <c r="O184" s="74" t="s">
        <v>1788</v>
      </c>
      <c r="P184" s="75">
        <v>0.7291666666666666</v>
      </c>
      <c r="Q184" s="41"/>
      <c r="R184" s="39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67">
        <v>45682.0</v>
      </c>
      <c r="I185" s="154" t="s">
        <v>1711</v>
      </c>
      <c r="J185" s="69">
        <v>100000.0</v>
      </c>
      <c r="K185" s="87"/>
      <c r="L185" s="71">
        <v>0.7520833333333333</v>
      </c>
      <c r="M185" s="72" t="s">
        <v>1012</v>
      </c>
      <c r="N185" s="90">
        <v>8800.0</v>
      </c>
      <c r="O185" s="74" t="s">
        <v>1489</v>
      </c>
      <c r="P185" s="75">
        <v>0.8097222222222222</v>
      </c>
      <c r="Q185" s="41"/>
      <c r="R185" s="39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67">
        <v>45682.0</v>
      </c>
      <c r="I186" s="84"/>
      <c r="J186" s="17"/>
      <c r="K186" s="85"/>
      <c r="L186" s="86"/>
      <c r="M186" s="72" t="s">
        <v>1486</v>
      </c>
      <c r="N186" s="90">
        <v>5085.0</v>
      </c>
      <c r="O186" s="74" t="s">
        <v>1789</v>
      </c>
      <c r="P186" s="75">
        <v>0.020833333333333332</v>
      </c>
      <c r="Q186" s="41"/>
      <c r="R186" s="39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67">
        <v>45683.0</v>
      </c>
      <c r="I187" s="84"/>
      <c r="J187" s="17"/>
      <c r="K187" s="85"/>
      <c r="L187" s="86"/>
      <c r="M187" s="72" t="s">
        <v>14</v>
      </c>
      <c r="N187" s="90">
        <v>7633.34</v>
      </c>
      <c r="O187" s="74" t="s">
        <v>1790</v>
      </c>
      <c r="P187" s="75">
        <v>0.4638888888888889</v>
      </c>
      <c r="Q187" s="41"/>
      <c r="R187" s="39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67">
        <v>45683.0</v>
      </c>
      <c r="I188" s="68" t="s">
        <v>1700</v>
      </c>
      <c r="J188" s="69">
        <v>5520.0</v>
      </c>
      <c r="K188" s="70" t="s">
        <v>1791</v>
      </c>
      <c r="L188" s="71">
        <v>0.5208333333333334</v>
      </c>
      <c r="M188" s="72" t="s">
        <v>1345</v>
      </c>
      <c r="N188" s="90">
        <v>5555.0</v>
      </c>
      <c r="O188" s="74" t="s">
        <v>1029</v>
      </c>
      <c r="P188" s="75">
        <v>0.6520833333333333</v>
      </c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67">
        <v>45683.0</v>
      </c>
      <c r="I189" s="84"/>
      <c r="J189" s="17"/>
      <c r="K189" s="85"/>
      <c r="L189" s="86"/>
      <c r="M189" s="72" t="s">
        <v>1353</v>
      </c>
      <c r="N189" s="90">
        <v>9108.0</v>
      </c>
      <c r="O189" s="74" t="s">
        <v>1792</v>
      </c>
      <c r="P189" s="75">
        <v>0.6534722222222222</v>
      </c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67">
        <v>45683.0</v>
      </c>
      <c r="I190" s="84"/>
      <c r="J190" s="17"/>
      <c r="K190" s="85"/>
      <c r="L190" s="86"/>
      <c r="M190" s="72" t="s">
        <v>1225</v>
      </c>
      <c r="N190" s="90">
        <v>16376.0</v>
      </c>
      <c r="O190" s="74" t="s">
        <v>1793</v>
      </c>
      <c r="P190" s="75">
        <v>0.6652777777777777</v>
      </c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67">
        <v>45683.0</v>
      </c>
      <c r="I191" s="68" t="s">
        <v>1742</v>
      </c>
      <c r="J191" s="69">
        <v>16284.0</v>
      </c>
      <c r="K191" s="70" t="s">
        <v>1794</v>
      </c>
      <c r="L191" s="71">
        <v>0.6861111111111111</v>
      </c>
      <c r="M191" s="72" t="s">
        <v>1345</v>
      </c>
      <c r="N191" s="90">
        <v>5555.0</v>
      </c>
      <c r="O191" s="74" t="s">
        <v>1029</v>
      </c>
      <c r="P191" s="75">
        <v>0.8784722222222222</v>
      </c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67">
        <v>45683.0</v>
      </c>
      <c r="I192" s="84"/>
      <c r="J192" s="17"/>
      <c r="K192" s="85"/>
      <c r="L192" s="86"/>
      <c r="M192" s="72" t="s">
        <v>1012</v>
      </c>
      <c r="N192" s="90">
        <v>8800.0</v>
      </c>
      <c r="O192" s="74" t="s">
        <v>1489</v>
      </c>
      <c r="P192" s="75">
        <v>0.8847222222222222</v>
      </c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67">
        <v>45683.0</v>
      </c>
      <c r="I193" s="84"/>
      <c r="J193" s="17"/>
      <c r="K193" s="85"/>
      <c r="L193" s="86"/>
      <c r="M193" s="72" t="s">
        <v>671</v>
      </c>
      <c r="N193" s="90">
        <v>14.28</v>
      </c>
      <c r="O193" s="74" t="s">
        <v>1795</v>
      </c>
      <c r="P193" s="75">
        <v>0.8861111111111111</v>
      </c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67">
        <v>45683.0</v>
      </c>
      <c r="I194" s="68" t="s">
        <v>1650</v>
      </c>
      <c r="J194" s="69">
        <v>2967.0</v>
      </c>
      <c r="K194" s="70" t="s">
        <v>155</v>
      </c>
      <c r="L194" s="71">
        <v>0.8993055555555556</v>
      </c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67">
        <v>45684.0</v>
      </c>
      <c r="I195" s="84"/>
      <c r="J195" s="17"/>
      <c r="K195" s="85"/>
      <c r="L195" s="86"/>
      <c r="M195" s="72" t="s">
        <v>1486</v>
      </c>
      <c r="N195" s="90">
        <v>20000.0</v>
      </c>
      <c r="O195" s="74" t="s">
        <v>1796</v>
      </c>
      <c r="P195" s="75">
        <v>0.10138888888888889</v>
      </c>
      <c r="Q195" s="41"/>
      <c r="R195" s="39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67">
        <v>45684.0</v>
      </c>
      <c r="I196" s="68" t="s">
        <v>1652</v>
      </c>
      <c r="J196" s="69">
        <v>1500.0</v>
      </c>
      <c r="K196" s="70" t="s">
        <v>155</v>
      </c>
      <c r="L196" s="71">
        <v>0.4597222222222222</v>
      </c>
      <c r="M196" s="72" t="s">
        <v>1486</v>
      </c>
      <c r="N196" s="90">
        <v>4315.0</v>
      </c>
      <c r="O196" s="74" t="s">
        <v>1797</v>
      </c>
      <c r="P196" s="75">
        <v>0.4965277777777778</v>
      </c>
      <c r="Q196" s="41"/>
      <c r="R196" s="39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67">
        <v>45684.0</v>
      </c>
      <c r="I197" s="68" t="s">
        <v>1700</v>
      </c>
      <c r="J197" s="69">
        <v>12240.0</v>
      </c>
      <c r="K197" s="70" t="s">
        <v>1798</v>
      </c>
      <c r="L197" s="71">
        <v>0.5118055555555555</v>
      </c>
      <c r="M197" s="72" t="s">
        <v>1340</v>
      </c>
      <c r="N197" s="90">
        <v>362.691</v>
      </c>
      <c r="O197" s="74" t="s">
        <v>1799</v>
      </c>
      <c r="P197" s="75">
        <v>0.5118055555555555</v>
      </c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67">
        <v>45684.0</v>
      </c>
      <c r="I198" s="68" t="s">
        <v>827</v>
      </c>
      <c r="J198" s="69">
        <v>25000.0</v>
      </c>
      <c r="K198" s="70" t="s">
        <v>155</v>
      </c>
      <c r="L198" s="71">
        <v>0.5375</v>
      </c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67">
        <v>45684.0</v>
      </c>
      <c r="I199" s="68" t="s">
        <v>1510</v>
      </c>
      <c r="J199" s="69">
        <v>50000.0</v>
      </c>
      <c r="K199" s="85"/>
      <c r="L199" s="71">
        <v>0.5423611111111111</v>
      </c>
      <c r="M199" s="72" t="s">
        <v>1664</v>
      </c>
      <c r="N199" s="90">
        <v>19280.0</v>
      </c>
      <c r="O199" s="74" t="s">
        <v>1800</v>
      </c>
      <c r="P199" s="75">
        <v>0.5715277777777777</v>
      </c>
      <c r="Q199" s="41"/>
      <c r="R199" s="39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67">
        <v>45684.0</v>
      </c>
      <c r="I200" s="84"/>
      <c r="J200" s="17"/>
      <c r="K200" s="85"/>
      <c r="L200" s="86"/>
      <c r="M200" s="72" t="s">
        <v>1225</v>
      </c>
      <c r="N200" s="90">
        <v>12397.0</v>
      </c>
      <c r="O200" s="74" t="s">
        <v>1801</v>
      </c>
      <c r="P200" s="75">
        <v>0.6277777777777778</v>
      </c>
      <c r="Q200" s="41"/>
      <c r="R200" s="39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67">
        <v>45684.0</v>
      </c>
      <c r="I201" s="84"/>
      <c r="J201" s="17"/>
      <c r="K201" s="85"/>
      <c r="L201" s="86"/>
      <c r="M201" s="72" t="s">
        <v>671</v>
      </c>
      <c r="N201" s="90">
        <f>12788-N193</f>
        <v>12773.72</v>
      </c>
      <c r="O201" s="74" t="s">
        <v>1802</v>
      </c>
      <c r="P201" s="75">
        <v>0.7201388888888889</v>
      </c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67">
        <v>45684.0</v>
      </c>
      <c r="I202" s="84"/>
      <c r="J202" s="17"/>
      <c r="K202" s="85"/>
      <c r="L202" s="86"/>
      <c r="M202" s="72" t="s">
        <v>1353</v>
      </c>
      <c r="N202" s="90">
        <v>13950.0</v>
      </c>
      <c r="O202" s="74" t="s">
        <v>1803</v>
      </c>
      <c r="P202" s="75">
        <v>0.7243055555555555</v>
      </c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67">
        <v>45684.0</v>
      </c>
      <c r="I203" s="84"/>
      <c r="J203" s="17"/>
      <c r="K203" s="85"/>
      <c r="L203" s="86"/>
      <c r="M203" s="72" t="s">
        <v>1353</v>
      </c>
      <c r="N203" s="90">
        <v>18000.0</v>
      </c>
      <c r="O203" s="74" t="s">
        <v>1502</v>
      </c>
      <c r="P203" s="75">
        <v>0.7326388888888888</v>
      </c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67">
        <v>45684.0</v>
      </c>
      <c r="I204" s="84"/>
      <c r="J204" s="17"/>
      <c r="K204" s="85"/>
      <c r="L204" s="86"/>
      <c r="M204" s="72" t="s">
        <v>20</v>
      </c>
      <c r="N204" s="90">
        <v>41.0</v>
      </c>
      <c r="O204" s="74" t="s">
        <v>1196</v>
      </c>
      <c r="P204" s="75">
        <v>0.7333333333333333</v>
      </c>
      <c r="Q204" s="41"/>
      <c r="R204" s="39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67">
        <v>45684.0</v>
      </c>
      <c r="I205" s="68" t="s">
        <v>681</v>
      </c>
      <c r="J205" s="69">
        <v>100000.0</v>
      </c>
      <c r="K205" s="85"/>
      <c r="L205" s="71">
        <v>0.8131944444444444</v>
      </c>
      <c r="M205" s="72" t="s">
        <v>1340</v>
      </c>
      <c r="N205" s="90">
        <v>1151.4</v>
      </c>
      <c r="O205" s="74" t="s">
        <v>1804</v>
      </c>
      <c r="P205" s="75">
        <v>0.9041666666666667</v>
      </c>
      <c r="Q205" s="41"/>
      <c r="R205" s="39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67">
        <v>45684.0</v>
      </c>
      <c r="I206" s="84"/>
      <c r="J206" s="17"/>
      <c r="K206" s="85"/>
      <c r="L206" s="86"/>
      <c r="M206" s="72" t="s">
        <v>1486</v>
      </c>
      <c r="N206" s="90">
        <v>12450.0</v>
      </c>
      <c r="O206" s="74" t="s">
        <v>1805</v>
      </c>
      <c r="P206" s="75">
        <v>0.021527777777777778</v>
      </c>
      <c r="Q206" s="41"/>
      <c r="R206" s="39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67">
        <v>45685.0</v>
      </c>
      <c r="I207" s="68" t="s">
        <v>1711</v>
      </c>
      <c r="J207" s="69">
        <v>100000.0</v>
      </c>
      <c r="K207" s="85"/>
      <c r="L207" s="71">
        <v>0.4125</v>
      </c>
      <c r="M207" s="72" t="s">
        <v>1486</v>
      </c>
      <c r="N207" s="90">
        <v>12490.0</v>
      </c>
      <c r="O207" s="74" t="s">
        <v>1806</v>
      </c>
      <c r="P207" s="75">
        <v>0.5972222222222222</v>
      </c>
      <c r="Q207" s="41"/>
      <c r="R207" s="39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67">
        <v>45685.0</v>
      </c>
      <c r="I208" s="68" t="s">
        <v>1700</v>
      </c>
      <c r="J208" s="69">
        <v>8880.0</v>
      </c>
      <c r="K208" s="70" t="s">
        <v>1807</v>
      </c>
      <c r="L208" s="71">
        <v>0.7166666666666667</v>
      </c>
      <c r="M208" s="72" t="s">
        <v>1518</v>
      </c>
      <c r="N208" s="90">
        <v>30000.0</v>
      </c>
      <c r="O208" s="128"/>
      <c r="P208" s="75">
        <v>0.8354166666666667</v>
      </c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67">
        <v>45685.0</v>
      </c>
      <c r="I209" s="84"/>
      <c r="J209" s="17"/>
      <c r="K209" s="85"/>
      <c r="L209" s="86"/>
      <c r="M209" s="72" t="s">
        <v>1345</v>
      </c>
      <c r="N209" s="90">
        <v>7777.0</v>
      </c>
      <c r="O209" s="74" t="s">
        <v>1748</v>
      </c>
      <c r="P209" s="75">
        <v>0.8375</v>
      </c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67">
        <v>45685.0</v>
      </c>
      <c r="I210" s="84"/>
      <c r="J210" s="17"/>
      <c r="K210" s="85"/>
      <c r="L210" s="86"/>
      <c r="M210" s="72" t="s">
        <v>1225</v>
      </c>
      <c r="N210" s="90">
        <v>7268.0</v>
      </c>
      <c r="O210" s="74" t="s">
        <v>1808</v>
      </c>
      <c r="P210" s="75">
        <v>0.85</v>
      </c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67">
        <v>45685.0</v>
      </c>
      <c r="I211" s="84"/>
      <c r="J211" s="17"/>
      <c r="K211" s="85"/>
      <c r="L211" s="86"/>
      <c r="M211" s="72" t="s">
        <v>671</v>
      </c>
      <c r="N211" s="90">
        <v>12052.0</v>
      </c>
      <c r="O211" s="74" t="s">
        <v>1809</v>
      </c>
      <c r="P211" s="75">
        <v>0.85</v>
      </c>
      <c r="Q211" s="41"/>
      <c r="R211" s="39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67">
        <v>45685.0</v>
      </c>
      <c r="I212" s="68" t="s">
        <v>27</v>
      </c>
      <c r="J212" s="69">
        <v>1961.0</v>
      </c>
      <c r="K212" s="70" t="s">
        <v>1810</v>
      </c>
      <c r="L212" s="71">
        <v>0.9083333333333333</v>
      </c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67">
        <v>45686.0</v>
      </c>
      <c r="I213" s="84"/>
      <c r="J213" s="17"/>
      <c r="K213" s="85"/>
      <c r="L213" s="86"/>
      <c r="M213" s="72" t="s">
        <v>1518</v>
      </c>
      <c r="N213" s="90">
        <v>40000.0</v>
      </c>
      <c r="O213" s="128"/>
      <c r="P213" s="75">
        <v>0.93125</v>
      </c>
      <c r="Q213" s="41"/>
      <c r="R213" s="39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67">
        <v>45686.0</v>
      </c>
      <c r="I214" s="84"/>
      <c r="J214" s="17"/>
      <c r="K214" s="85"/>
      <c r="L214" s="86"/>
      <c r="M214" s="72" t="s">
        <v>1518</v>
      </c>
      <c r="N214" s="90">
        <v>20000.0</v>
      </c>
      <c r="O214" s="128"/>
      <c r="P214" s="75">
        <v>0.94375</v>
      </c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67">
        <v>45686.0</v>
      </c>
      <c r="I215" s="84"/>
      <c r="J215" s="17"/>
      <c r="K215" s="85"/>
      <c r="L215" s="86"/>
      <c r="M215" s="72" t="s">
        <v>671</v>
      </c>
      <c r="N215" s="90">
        <v>27784.0</v>
      </c>
      <c r="O215" s="74" t="s">
        <v>1811</v>
      </c>
      <c r="P215" s="75">
        <v>0.9451388888888889</v>
      </c>
      <c r="Q215" s="41"/>
      <c r="R215" s="39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67">
        <v>45686.0</v>
      </c>
      <c r="I216" s="84"/>
      <c r="J216" s="17"/>
      <c r="K216" s="85"/>
      <c r="L216" s="86"/>
      <c r="M216" s="72" t="s">
        <v>1340</v>
      </c>
      <c r="N216" s="90">
        <v>1151.4</v>
      </c>
      <c r="O216" s="74" t="s">
        <v>1804</v>
      </c>
      <c r="P216" s="75">
        <v>0.9916666666666667</v>
      </c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67">
        <v>45687.0</v>
      </c>
      <c r="I217" s="84"/>
      <c r="J217" s="17"/>
      <c r="K217" s="85"/>
      <c r="L217" s="86"/>
      <c r="M217" s="72" t="s">
        <v>1486</v>
      </c>
      <c r="N217" s="90">
        <v>3410.0</v>
      </c>
      <c r="O217" s="74" t="s">
        <v>1812</v>
      </c>
      <c r="P217" s="75">
        <v>0.01875</v>
      </c>
      <c r="Q217" s="41"/>
      <c r="R217" s="39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67">
        <v>45687.0</v>
      </c>
      <c r="I218" s="68" t="s">
        <v>1122</v>
      </c>
      <c r="J218" s="69">
        <v>100000.0</v>
      </c>
      <c r="K218" s="85"/>
      <c r="L218" s="71">
        <v>0.5881944444444445</v>
      </c>
      <c r="M218" s="72" t="s">
        <v>1340</v>
      </c>
      <c r="N218" s="90">
        <v>8635.5</v>
      </c>
      <c r="O218" s="74" t="s">
        <v>1813</v>
      </c>
      <c r="P218" s="75">
        <v>0.5923611111111111</v>
      </c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67">
        <v>45687.0</v>
      </c>
      <c r="I219" s="84"/>
      <c r="J219" s="17"/>
      <c r="K219" s="85"/>
      <c r="L219" s="86"/>
      <c r="M219" s="72" t="s">
        <v>1345</v>
      </c>
      <c r="N219" s="90">
        <v>2222.0</v>
      </c>
      <c r="O219" s="74" t="s">
        <v>1498</v>
      </c>
      <c r="P219" s="75">
        <v>0.6222222222222222</v>
      </c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67">
        <v>45687.0</v>
      </c>
      <c r="I220" s="84"/>
      <c r="J220" s="17"/>
      <c r="K220" s="85"/>
      <c r="L220" s="86"/>
      <c r="M220" s="72" t="s">
        <v>1486</v>
      </c>
      <c r="N220" s="90">
        <v>7910.0</v>
      </c>
      <c r="O220" s="74" t="s">
        <v>1814</v>
      </c>
      <c r="P220" s="75">
        <v>0.7027777777777777</v>
      </c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67">
        <v>45687.0</v>
      </c>
      <c r="I221" s="84"/>
      <c r="J221" s="17"/>
      <c r="K221" s="85"/>
      <c r="L221" s="86"/>
      <c r="M221" s="72" t="s">
        <v>1012</v>
      </c>
      <c r="N221" s="90">
        <v>8800.0</v>
      </c>
      <c r="O221" s="74" t="s">
        <v>1489</v>
      </c>
      <c r="P221" s="75">
        <v>0.7111111111111111</v>
      </c>
      <c r="Q221" s="41"/>
      <c r="R221" s="39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67">
        <v>45687.0</v>
      </c>
      <c r="I222" s="84"/>
      <c r="J222" s="17"/>
      <c r="K222" s="85"/>
      <c r="L222" s="86"/>
      <c r="M222" s="72" t="s">
        <v>1664</v>
      </c>
      <c r="N222" s="90">
        <v>6000.0</v>
      </c>
      <c r="O222" s="74" t="s">
        <v>1815</v>
      </c>
      <c r="P222" s="75">
        <v>0.8902777777777777</v>
      </c>
      <c r="Q222" s="41"/>
      <c r="R222" s="39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67">
        <v>45687.0</v>
      </c>
      <c r="I223" s="84"/>
      <c r="J223" s="17"/>
      <c r="K223" s="85"/>
      <c r="L223" s="86"/>
      <c r="M223" s="72" t="s">
        <v>1345</v>
      </c>
      <c r="N223" s="90">
        <v>1111.0</v>
      </c>
      <c r="O223" s="74" t="s">
        <v>1153</v>
      </c>
      <c r="P223" s="75">
        <v>0.8923611111111112</v>
      </c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67">
        <v>45687.0</v>
      </c>
      <c r="I224" s="84"/>
      <c r="J224" s="17"/>
      <c r="K224" s="85"/>
      <c r="L224" s="86"/>
      <c r="M224" s="72" t="s">
        <v>1345</v>
      </c>
      <c r="N224" s="90">
        <v>1516.35</v>
      </c>
      <c r="O224" s="74" t="s">
        <v>1816</v>
      </c>
      <c r="P224" s="75">
        <v>0.9076388888888889</v>
      </c>
      <c r="Q224" s="41"/>
      <c r="R224" s="39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67">
        <v>45687.0</v>
      </c>
      <c r="I225" s="84"/>
      <c r="J225" s="17"/>
      <c r="K225" s="85"/>
      <c r="L225" s="86"/>
      <c r="M225" s="72" t="s">
        <v>1664</v>
      </c>
      <c r="N225" s="90">
        <v>2000.0</v>
      </c>
      <c r="O225" s="74" t="s">
        <v>1817</v>
      </c>
      <c r="P225" s="75">
        <v>0.9208333333333333</v>
      </c>
      <c r="Q225" s="41"/>
      <c r="R225" s="39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67">
        <v>45688.0</v>
      </c>
      <c r="I226" s="84"/>
      <c r="J226" s="17"/>
      <c r="K226" s="85"/>
      <c r="L226" s="86"/>
      <c r="M226" s="72" t="s">
        <v>1486</v>
      </c>
      <c r="N226" s="90">
        <v>2260.0</v>
      </c>
      <c r="O226" s="74" t="s">
        <v>851</v>
      </c>
      <c r="P226" s="75">
        <v>0.4597222222222222</v>
      </c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67">
        <v>45688.0</v>
      </c>
      <c r="I227" s="84"/>
      <c r="J227" s="17"/>
      <c r="K227" s="85"/>
      <c r="L227" s="86"/>
      <c r="M227" s="72" t="s">
        <v>1225</v>
      </c>
      <c r="N227" s="90">
        <v>11201.0</v>
      </c>
      <c r="O227" s="74" t="s">
        <v>1818</v>
      </c>
      <c r="P227" s="75">
        <v>0.46111111111111114</v>
      </c>
      <c r="Q227" s="41"/>
      <c r="R227" s="39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67">
        <v>45688.0</v>
      </c>
      <c r="I228" s="84"/>
      <c r="J228" s="17"/>
      <c r="K228" s="85"/>
      <c r="L228" s="86"/>
      <c r="M228" s="72" t="s">
        <v>1012</v>
      </c>
      <c r="N228" s="90">
        <v>8800.0</v>
      </c>
      <c r="O228" s="74" t="s">
        <v>1489</v>
      </c>
      <c r="P228" s="75">
        <v>0.7416666666666667</v>
      </c>
      <c r="Q228" s="41"/>
      <c r="R228" s="39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67">
        <v>45688.0</v>
      </c>
      <c r="I229" s="84"/>
      <c r="J229" s="17"/>
      <c r="K229" s="85"/>
      <c r="L229" s="86"/>
      <c r="M229" s="72" t="s">
        <v>671</v>
      </c>
      <c r="N229" s="90">
        <v>33327.0</v>
      </c>
      <c r="O229" s="74" t="s">
        <v>1819</v>
      </c>
      <c r="P229" s="75">
        <v>0.8222222222222222</v>
      </c>
      <c r="Q229" s="41"/>
      <c r="R229" s="39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67">
        <v>45688.0</v>
      </c>
      <c r="I230" s="68" t="s">
        <v>1711</v>
      </c>
      <c r="J230" s="69">
        <v>69376.0</v>
      </c>
      <c r="K230" s="70" t="s">
        <v>1820</v>
      </c>
      <c r="L230" s="71">
        <v>0.8243055555555555</v>
      </c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67">
        <v>45688.0</v>
      </c>
      <c r="I231" s="68" t="s">
        <v>1691</v>
      </c>
      <c r="J231" s="69">
        <v>2547.56</v>
      </c>
      <c r="K231" s="70" t="s">
        <v>1821</v>
      </c>
      <c r="L231" s="71">
        <v>0.8298611111111112</v>
      </c>
      <c r="M231" s="72" t="s">
        <v>14</v>
      </c>
      <c r="N231" s="90">
        <v>79057.0</v>
      </c>
      <c r="O231" s="74" t="s">
        <v>1822</v>
      </c>
      <c r="P231" s="75">
        <v>0.8486111111111111</v>
      </c>
      <c r="Q231" s="41"/>
      <c r="R231" s="39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67">
        <v>45688.0</v>
      </c>
      <c r="I232" s="68" t="s">
        <v>1708</v>
      </c>
      <c r="J232" s="69">
        <v>100220.0</v>
      </c>
      <c r="K232" s="70" t="s">
        <v>1823</v>
      </c>
      <c r="L232" s="71">
        <v>0.8597222222222223</v>
      </c>
      <c r="M232" s="72"/>
      <c r="N232" s="90"/>
      <c r="O232" s="74"/>
      <c r="P232" s="75"/>
      <c r="Q232" s="41"/>
      <c r="R232" s="39"/>
      <c r="S232" s="76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210"/>
      <c r="I233" s="176"/>
      <c r="J233" s="177"/>
      <c r="K233" s="178"/>
      <c r="L233" s="179"/>
      <c r="M233" s="211"/>
      <c r="N233" s="146"/>
      <c r="O233" s="212"/>
      <c r="P233" s="213"/>
      <c r="Q233" s="41"/>
      <c r="R233" s="39"/>
      <c r="S233" s="214" t="s">
        <v>1824</v>
      </c>
      <c r="T233" s="107"/>
      <c r="U233" s="107"/>
      <c r="V233" s="107"/>
      <c r="W233" s="107"/>
      <c r="X233" s="107"/>
      <c r="Y233" s="107"/>
      <c r="Z233" s="107"/>
      <c r="AA233" s="107"/>
      <c r="AB233" s="108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9">
    <mergeCell ref="S122:S123"/>
    <mergeCell ref="S233:AB233"/>
    <mergeCell ref="C1:Q1"/>
    <mergeCell ref="G4:O4"/>
    <mergeCell ref="G5:G6"/>
    <mergeCell ref="H5:H6"/>
    <mergeCell ref="I5:L5"/>
    <mergeCell ref="M5:P5"/>
    <mergeCell ref="S35:AB3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9.13"/>
    <col customWidth="1" min="22" max="28" width="6.88"/>
  </cols>
  <sheetData>
    <row r="1" ht="48.75" customHeight="1">
      <c r="A1" s="9"/>
      <c r="B1" s="2"/>
      <c r="C1" s="3" t="s">
        <v>1825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215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216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1826</v>
      </c>
      <c r="D4" s="21"/>
      <c r="E4" s="20"/>
      <c r="F4" s="21"/>
      <c r="G4" s="23" t="s">
        <v>1827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17">
        <f>C13+2551.56 </f>
        <v>71771.39187</v>
      </c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218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19"/>
      <c r="T6" s="219"/>
      <c r="U6" s="219"/>
      <c r="V6" s="220"/>
      <c r="W6" s="221"/>
      <c r="X6" s="221"/>
      <c r="Y6" s="221"/>
      <c r="Z6" s="221"/>
      <c r="AA6" s="30"/>
      <c r="AB6" s="30"/>
    </row>
    <row r="7" ht="27.75" customHeight="1">
      <c r="A7" s="29"/>
      <c r="B7" s="30"/>
      <c r="C7" s="53" t="s">
        <v>15</v>
      </c>
      <c r="D7" s="54" t="s">
        <v>16</v>
      </c>
      <c r="E7" s="29"/>
      <c r="F7" s="30"/>
      <c r="G7" s="55">
        <v>1.0</v>
      </c>
      <c r="H7" s="222">
        <v>45627.0</v>
      </c>
      <c r="I7" s="57" t="s">
        <v>1828</v>
      </c>
      <c r="J7" s="58">
        <f>'11月收支财务报表'!C25</f>
        <v>287216.883</v>
      </c>
      <c r="K7" s="59"/>
      <c r="L7" s="60"/>
      <c r="M7" s="61" t="s">
        <v>1829</v>
      </c>
      <c r="N7" s="62">
        <v>3000.5</v>
      </c>
      <c r="O7" s="63"/>
      <c r="P7" s="64">
        <v>0.7284722222222222</v>
      </c>
      <c r="Q7" s="41"/>
      <c r="R7" s="39"/>
      <c r="S7" s="25">
        <f>SUMIF(M:M,"广告配套",N:N)</f>
        <v>2959</v>
      </c>
      <c r="T7" s="26" t="s">
        <v>4</v>
      </c>
      <c r="U7" s="219"/>
      <c r="V7" s="220"/>
      <c r="W7" s="221"/>
      <c r="X7" s="221"/>
      <c r="Y7" s="221"/>
      <c r="Z7" s="221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223">
        <v>45628.0</v>
      </c>
      <c r="I8" s="84" t="s">
        <v>1830</v>
      </c>
      <c r="J8" s="69">
        <v>19500.0</v>
      </c>
      <c r="K8" s="70" t="s">
        <v>1831</v>
      </c>
      <c r="L8" s="71">
        <v>0.51875</v>
      </c>
      <c r="M8" s="80" t="s">
        <v>1345</v>
      </c>
      <c r="N8" s="102">
        <v>57772.0</v>
      </c>
      <c r="O8" s="180" t="s">
        <v>1832</v>
      </c>
      <c r="P8" s="181">
        <v>0.5354166666666667</v>
      </c>
      <c r="Q8" s="41"/>
      <c r="R8" s="39"/>
      <c r="S8" s="25">
        <f>SUMIF(M:M,"印度测试",N:N)</f>
        <v>23782</v>
      </c>
      <c r="T8" s="26" t="s">
        <v>1833</v>
      </c>
      <c r="U8" s="219"/>
      <c r="V8" s="220"/>
      <c r="W8" s="221"/>
      <c r="X8" s="221"/>
      <c r="Y8" s="221"/>
      <c r="Z8" s="221"/>
      <c r="AA8" s="30"/>
      <c r="AB8" s="30"/>
    </row>
    <row r="9" ht="27.75" customHeight="1">
      <c r="A9" s="29"/>
      <c r="B9" s="30"/>
      <c r="C9" s="77">
        <f>C21</f>
        <v>1475965.883</v>
      </c>
      <c r="D9" s="30"/>
      <c r="E9" s="29"/>
      <c r="F9" s="30"/>
      <c r="G9" s="66">
        <v>3.0</v>
      </c>
      <c r="H9" s="223">
        <v>45628.0</v>
      </c>
      <c r="I9" s="68"/>
      <c r="J9" s="69"/>
      <c r="K9" s="70"/>
      <c r="L9" s="88"/>
      <c r="M9" s="80" t="s">
        <v>827</v>
      </c>
      <c r="N9" s="102">
        <v>15000.0</v>
      </c>
      <c r="O9" s="74"/>
      <c r="P9" s="75">
        <v>0.5368055555555555</v>
      </c>
      <c r="Q9" s="41"/>
      <c r="R9" s="39"/>
      <c r="S9" s="219">
        <f>S7+S8</f>
        <v>26741</v>
      </c>
      <c r="T9" s="224"/>
      <c r="U9" s="219"/>
      <c r="V9" s="220"/>
      <c r="W9" s="221"/>
      <c r="X9" s="221"/>
      <c r="Y9" s="221"/>
      <c r="Z9" s="221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223">
        <v>45628.0</v>
      </c>
      <c r="I10" s="68"/>
      <c r="J10" s="69"/>
      <c r="K10" s="70"/>
      <c r="L10" s="88"/>
      <c r="M10" s="80" t="s">
        <v>1345</v>
      </c>
      <c r="N10" s="102">
        <v>856.29</v>
      </c>
      <c r="O10" s="180" t="s">
        <v>1834</v>
      </c>
      <c r="P10" s="181">
        <v>0.6034722222222222</v>
      </c>
      <c r="Q10" s="41"/>
      <c r="R10" s="39"/>
      <c r="U10" s="219"/>
      <c r="V10" s="220"/>
      <c r="W10" s="221"/>
      <c r="X10" s="221"/>
      <c r="Y10" s="221"/>
      <c r="Z10" s="221"/>
      <c r="AA10" s="30"/>
      <c r="AB10" s="30"/>
    </row>
    <row r="11" ht="27.75" customHeight="1">
      <c r="A11" s="29"/>
      <c r="B11" s="30"/>
      <c r="C11" s="79">
        <f>C23</f>
        <v>1406746.051</v>
      </c>
      <c r="D11" s="30"/>
      <c r="E11" s="29"/>
      <c r="F11" s="30"/>
      <c r="G11" s="66">
        <v>5.0</v>
      </c>
      <c r="H11" s="223">
        <v>45628.0</v>
      </c>
      <c r="I11" s="84"/>
      <c r="J11" s="17"/>
      <c r="K11" s="85"/>
      <c r="L11" s="86"/>
      <c r="M11" s="72" t="s">
        <v>1835</v>
      </c>
      <c r="N11" s="90">
        <v>11934.08</v>
      </c>
      <c r="O11" s="74" t="s">
        <v>1836</v>
      </c>
      <c r="P11" s="75">
        <v>0.6138888888888889</v>
      </c>
      <c r="Q11" s="41"/>
      <c r="R11" s="39"/>
      <c r="U11" s="219"/>
      <c r="V11" s="220"/>
      <c r="W11" s="221"/>
      <c r="X11" s="221"/>
      <c r="Y11" s="221"/>
      <c r="Z11" s="221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223">
        <v>45628.0</v>
      </c>
      <c r="I12" s="68"/>
      <c r="J12" s="69"/>
      <c r="K12" s="87"/>
      <c r="L12" s="71"/>
      <c r="M12" s="80" t="s">
        <v>1837</v>
      </c>
      <c r="N12" s="90">
        <v>6440.0</v>
      </c>
      <c r="O12" s="74"/>
      <c r="P12" s="75">
        <v>0.6701388888888888</v>
      </c>
      <c r="Q12" s="41"/>
      <c r="R12" s="39"/>
      <c r="S12" s="25">
        <f>SUMIF(M:M,"土耳其介绍费",N:N)</f>
        <v>6440</v>
      </c>
      <c r="T12" s="101" t="s">
        <v>1837</v>
      </c>
      <c r="U12" s="219"/>
      <c r="V12" s="220"/>
      <c r="W12" s="221"/>
      <c r="X12" s="221"/>
      <c r="Y12" s="221"/>
      <c r="Z12" s="221"/>
      <c r="AA12" s="30"/>
      <c r="AB12" s="30"/>
    </row>
    <row r="13" ht="27.75" customHeight="1">
      <c r="A13" s="29"/>
      <c r="B13" s="30"/>
      <c r="C13" s="82">
        <f>C9-C11</f>
        <v>69219.83187</v>
      </c>
      <c r="D13" s="30"/>
      <c r="E13" s="29"/>
      <c r="F13" s="30"/>
      <c r="G13" s="66">
        <v>7.0</v>
      </c>
      <c r="H13" s="223">
        <v>45629.0</v>
      </c>
      <c r="I13" s="68"/>
      <c r="J13" s="69"/>
      <c r="K13" s="87"/>
      <c r="L13" s="71"/>
      <c r="M13" s="80" t="s">
        <v>1345</v>
      </c>
      <c r="N13" s="90">
        <v>53328.0</v>
      </c>
      <c r="O13" s="74" t="s">
        <v>1838</v>
      </c>
      <c r="P13" s="75">
        <v>0.5576388888888889</v>
      </c>
      <c r="Q13" s="41"/>
      <c r="R13" s="39"/>
      <c r="S13" s="25">
        <f>SUMIF(M:M,"退款土耳其张总股票粉",N:N)</f>
        <v>5200</v>
      </c>
      <c r="T13" s="225" t="s">
        <v>1839</v>
      </c>
      <c r="U13" s="226"/>
      <c r="V13" s="227"/>
      <c r="W13" s="219"/>
      <c r="X13" s="220"/>
      <c r="Y13" s="221"/>
      <c r="Z13" s="221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223">
        <v>45629.0</v>
      </c>
      <c r="I14" s="84"/>
      <c r="J14" s="17"/>
      <c r="K14" s="85"/>
      <c r="L14" s="86"/>
      <c r="M14" s="72" t="s">
        <v>827</v>
      </c>
      <c r="N14" s="90">
        <v>15000.0</v>
      </c>
      <c r="O14" s="74"/>
      <c r="P14" s="75">
        <v>0.6340277777777777</v>
      </c>
      <c r="Q14" s="41"/>
      <c r="R14" s="39"/>
      <c r="S14" s="25">
        <f>SUMIF(M:M,"张总垫付",N:N)</f>
        <v>95000</v>
      </c>
      <c r="T14" s="101" t="s">
        <v>1840</v>
      </c>
      <c r="U14" s="226"/>
      <c r="V14" s="219"/>
      <c r="W14" s="219"/>
      <c r="X14" s="220"/>
      <c r="Y14" s="221"/>
      <c r="Z14" s="221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223">
        <v>45630.0</v>
      </c>
      <c r="I15" s="84" t="s">
        <v>1830</v>
      </c>
      <c r="J15" s="69">
        <v>19500.0</v>
      </c>
      <c r="K15" s="70" t="s">
        <v>1831</v>
      </c>
      <c r="L15" s="71">
        <v>0.6840277777777778</v>
      </c>
      <c r="M15" s="72" t="s">
        <v>827</v>
      </c>
      <c r="N15" s="90">
        <v>20000.0</v>
      </c>
      <c r="O15" s="74"/>
      <c r="P15" s="75">
        <v>0.6868055555555556</v>
      </c>
      <c r="Q15" s="41"/>
      <c r="R15" s="39"/>
      <c r="S15" s="25">
        <f>SUMIF(M:M,"后勤转出",N:N)</f>
        <v>271048.16</v>
      </c>
      <c r="T15" s="26" t="s">
        <v>1841</v>
      </c>
      <c r="U15" s="219"/>
      <c r="V15" s="219"/>
      <c r="W15" s="219"/>
      <c r="X15" s="220"/>
      <c r="Y15" s="221"/>
      <c r="Z15" s="221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223">
        <v>45631.0</v>
      </c>
      <c r="I16" s="154"/>
      <c r="J16" s="17"/>
      <c r="K16" s="92"/>
      <c r="L16" s="173"/>
      <c r="M16" s="80" t="s">
        <v>20</v>
      </c>
      <c r="N16" s="102">
        <v>621.0</v>
      </c>
      <c r="O16" s="74"/>
      <c r="P16" s="75">
        <v>0.4083333333333333</v>
      </c>
      <c r="Q16" s="41"/>
      <c r="R16" s="39"/>
      <c r="S16" s="25">
        <f>SUMIF(M:M,"账单户广告费",N:N)</f>
        <v>8001.49</v>
      </c>
      <c r="T16" s="26" t="s">
        <v>1829</v>
      </c>
      <c r="U16" s="219"/>
      <c r="V16" s="227"/>
      <c r="W16" s="219"/>
      <c r="X16" s="220"/>
      <c r="Y16" s="221"/>
      <c r="Z16" s="221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228">
        <v>45631.0</v>
      </c>
      <c r="I17" s="154"/>
      <c r="J17" s="17"/>
      <c r="K17" s="92"/>
      <c r="L17" s="155"/>
      <c r="M17" s="72" t="s">
        <v>1842</v>
      </c>
      <c r="N17" s="19">
        <v>34100.71</v>
      </c>
      <c r="O17" s="126" t="s">
        <v>1843</v>
      </c>
      <c r="P17" s="172">
        <v>0.5104166666666666</v>
      </c>
      <c r="Q17" s="41"/>
      <c r="R17" s="39"/>
      <c r="S17" s="25">
        <f>SUMIF(M:M,"深圳芳林子@SHEN 户",N:N)</f>
        <v>263002.55</v>
      </c>
      <c r="T17" s="101" t="s">
        <v>1345</v>
      </c>
      <c r="U17" s="219"/>
      <c r="V17" s="219"/>
      <c r="W17" s="219"/>
      <c r="X17" s="220"/>
      <c r="Y17" s="221"/>
      <c r="Z17" s="221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228">
        <v>45631.0</v>
      </c>
      <c r="I18" s="154"/>
      <c r="J18" s="17"/>
      <c r="K18" s="92"/>
      <c r="L18" s="155"/>
      <c r="M18" s="147" t="s">
        <v>1844</v>
      </c>
      <c r="N18" s="19">
        <v>697.22</v>
      </c>
      <c r="O18" s="126" t="s">
        <v>1845</v>
      </c>
      <c r="P18" s="172">
        <v>0.5555555555555556</v>
      </c>
      <c r="Q18" s="41"/>
      <c r="R18" s="39"/>
      <c r="S18" s="25">
        <f>SUMIF(M:M,"启航广告费",N:N)</f>
        <v>257000</v>
      </c>
      <c r="T18" s="101" t="s">
        <v>827</v>
      </c>
      <c r="V18" s="219"/>
      <c r="W18" s="219"/>
      <c r="X18" s="220"/>
      <c r="Y18" s="221"/>
      <c r="Z18" s="221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228">
        <v>45631.0</v>
      </c>
      <c r="I19" s="154"/>
      <c r="J19" s="17"/>
      <c r="K19" s="93"/>
      <c r="L19" s="173"/>
      <c r="M19" s="229" t="s">
        <v>1844</v>
      </c>
      <c r="N19" s="230">
        <v>5075.8</v>
      </c>
      <c r="O19" s="209" t="s">
        <v>1846</v>
      </c>
      <c r="P19" s="172">
        <v>0.6118055555555556</v>
      </c>
      <c r="Q19" s="41"/>
      <c r="R19" s="39"/>
      <c r="S19" s="25">
        <f>SUMIF(M:M,"GT欧洲",N:N)</f>
        <v>46570.71</v>
      </c>
      <c r="T19" s="101" t="s">
        <v>1835</v>
      </c>
      <c r="U19" s="224"/>
      <c r="V19" s="219"/>
      <c r="W19" s="219"/>
      <c r="X19" s="220"/>
      <c r="Y19" s="221"/>
      <c r="Z19" s="231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228">
        <v>45631.0</v>
      </c>
      <c r="I20" s="154" t="s">
        <v>298</v>
      </c>
      <c r="J20" s="17">
        <v>21019.0</v>
      </c>
      <c r="K20" s="93"/>
      <c r="L20" s="155" t="s">
        <v>1847</v>
      </c>
      <c r="M20" s="72" t="s">
        <v>1842</v>
      </c>
      <c r="N20" s="19">
        <v>80000.0</v>
      </c>
      <c r="O20" s="209"/>
      <c r="P20" s="172">
        <v>0.6173611111111111</v>
      </c>
      <c r="Q20" s="41"/>
      <c r="R20" s="39"/>
      <c r="S20" s="25">
        <f>SUMIF(M:M,"GT美国",N:N)</f>
        <v>104401.3511</v>
      </c>
      <c r="T20" s="101" t="s">
        <v>1844</v>
      </c>
      <c r="U20" s="219"/>
      <c r="V20" s="219"/>
      <c r="W20" s="219"/>
      <c r="X20" s="220"/>
      <c r="Y20" s="221"/>
      <c r="Z20" s="221"/>
      <c r="AA20" s="30"/>
      <c r="AB20" s="30"/>
    </row>
    <row r="21" ht="27.75" customHeight="1">
      <c r="A21" s="29"/>
      <c r="B21" s="30"/>
      <c r="C21" s="77">
        <f>SUMIFS(J:J,H:H,"&gt;="&amp;$C$17,H:H,"&lt;="&amp;$C$19)</f>
        <v>1475965.883</v>
      </c>
      <c r="D21" s="30"/>
      <c r="E21" s="29"/>
      <c r="F21" s="30"/>
      <c r="G21" s="66">
        <v>15.0</v>
      </c>
      <c r="H21" s="223">
        <v>45631.0</v>
      </c>
      <c r="I21" s="154"/>
      <c r="J21" s="17"/>
      <c r="K21" s="93"/>
      <c r="L21" s="155"/>
      <c r="M21" s="72" t="s">
        <v>1844</v>
      </c>
      <c r="N21" s="90">
        <v>1110.0</v>
      </c>
      <c r="O21" s="74" t="s">
        <v>546</v>
      </c>
      <c r="P21" s="75">
        <v>0.6506944444444445</v>
      </c>
      <c r="Q21" s="41"/>
      <c r="R21" s="39"/>
      <c r="S21" s="25">
        <f>SUMIF(M:M,"金融户印度-泰华",N:N)</f>
        <v>3134.03</v>
      </c>
      <c r="T21" s="225" t="s">
        <v>1641</v>
      </c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223">
        <v>45631.0</v>
      </c>
      <c r="I22" s="154"/>
      <c r="J22" s="17"/>
      <c r="K22" s="93"/>
      <c r="L22" s="155"/>
      <c r="M22" s="80" t="s">
        <v>1842</v>
      </c>
      <c r="N22" s="102">
        <v>13488.45</v>
      </c>
      <c r="O22" s="126"/>
      <c r="P22" s="75">
        <v>0.7229166666666667</v>
      </c>
      <c r="Q22" s="41"/>
      <c r="R22" s="39"/>
      <c r="S22" s="25">
        <f>SUMIF(M:M,"GT&amp;Shen (井号户）",N:N)</f>
        <v>15920</v>
      </c>
      <c r="T22" s="101" t="s">
        <v>1640</v>
      </c>
      <c r="U22" s="40"/>
      <c r="V22" s="76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1406746.051</v>
      </c>
      <c r="D23" s="30"/>
      <c r="E23" s="29"/>
      <c r="F23" s="30"/>
      <c r="G23" s="66">
        <v>17.0</v>
      </c>
      <c r="H23" s="223">
        <v>45631.0</v>
      </c>
      <c r="I23" s="68"/>
      <c r="J23" s="69"/>
      <c r="K23" s="87"/>
      <c r="L23" s="71"/>
      <c r="M23" s="72" t="s">
        <v>1844</v>
      </c>
      <c r="N23" s="102">
        <v>1130.0</v>
      </c>
      <c r="O23" s="74" t="s">
        <v>1848</v>
      </c>
      <c r="P23" s="75">
        <v>0.8354166666666667</v>
      </c>
      <c r="Q23" s="41"/>
      <c r="R23" s="39"/>
      <c r="S23" s="25">
        <f>SUMIF(M:M,"凤凰&amp;洛阳&amp;白户14",N:N)</f>
        <v>302571.76</v>
      </c>
      <c r="T23" s="101" t="s">
        <v>1486</v>
      </c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223">
        <v>45631.0</v>
      </c>
      <c r="I24" s="68"/>
      <c r="J24" s="69"/>
      <c r="K24" s="87"/>
      <c r="L24" s="71"/>
      <c r="M24" s="80" t="s">
        <v>20</v>
      </c>
      <c r="N24" s="102">
        <v>900.0</v>
      </c>
      <c r="O24" s="74" t="s">
        <v>1849</v>
      </c>
      <c r="P24" s="75">
        <v>0.5520833333333334</v>
      </c>
      <c r="Q24" s="41"/>
      <c r="R24" s="39"/>
      <c r="S24" s="25">
        <f>SUMIF(M:M,"FA-泰华印度1016（A-JIE）",N:N)</f>
        <v>550</v>
      </c>
      <c r="T24" s="101" t="s">
        <v>1850</v>
      </c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69219.83187</v>
      </c>
      <c r="D25" s="30"/>
      <c r="E25" s="29"/>
      <c r="F25" s="30"/>
      <c r="G25" s="66">
        <v>19.0</v>
      </c>
      <c r="H25" s="223">
        <v>45632.0</v>
      </c>
      <c r="I25" s="68"/>
      <c r="J25" s="69"/>
      <c r="K25" s="70"/>
      <c r="L25" s="71"/>
      <c r="M25" s="80" t="s">
        <v>1844</v>
      </c>
      <c r="N25" s="90">
        <v>1979.2</v>
      </c>
      <c r="O25" s="74" t="s">
        <v>1851</v>
      </c>
      <c r="P25" s="75">
        <v>0.6791666666666667</v>
      </c>
      <c r="Q25" s="41"/>
      <c r="R25" s="39"/>
      <c r="S25" s="25">
        <f>SUMIF(M:M,"开户美国三不限户-Daisy",N:N)</f>
        <v>1165</v>
      </c>
      <c r="T25" s="101" t="s">
        <v>1532</v>
      </c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223">
        <v>45632.0</v>
      </c>
      <c r="I26" s="68"/>
      <c r="J26" s="69"/>
      <c r="K26" s="70"/>
      <c r="L26" s="71"/>
      <c r="M26" s="80" t="s">
        <v>1842</v>
      </c>
      <c r="N26" s="90">
        <v>8551.0</v>
      </c>
      <c r="O26" s="74"/>
      <c r="P26" s="94" t="s">
        <v>1852</v>
      </c>
      <c r="Q26" s="41"/>
      <c r="R26" s="39"/>
      <c r="S26" s="103">
        <f>SUM(S12:S13)</f>
        <v>11640</v>
      </c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223">
        <v>45633.0</v>
      </c>
      <c r="I27" s="68"/>
      <c r="J27" s="69"/>
      <c r="K27" s="70"/>
      <c r="L27" s="71"/>
      <c r="M27" s="72" t="s">
        <v>1829</v>
      </c>
      <c r="N27" s="90">
        <v>2000.51</v>
      </c>
      <c r="O27" s="74"/>
      <c r="P27" s="75">
        <v>0.60625</v>
      </c>
      <c r="Q27" s="41"/>
      <c r="R27" s="39"/>
      <c r="S27" s="103">
        <f>SUM(S7:S25)</f>
        <v>1433487.051</v>
      </c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223">
        <v>45634.0</v>
      </c>
      <c r="I28" s="68" t="s">
        <v>859</v>
      </c>
      <c r="J28" s="69">
        <v>100000.0</v>
      </c>
      <c r="K28" s="85"/>
      <c r="L28" s="71">
        <v>0.6402777777777777</v>
      </c>
      <c r="M28" s="80" t="s">
        <v>1853</v>
      </c>
      <c r="N28" s="90">
        <v>5200.0</v>
      </c>
      <c r="O28" s="74" t="s">
        <v>1854</v>
      </c>
      <c r="P28" s="75">
        <v>0.8076388888888889</v>
      </c>
      <c r="Q28" s="41"/>
      <c r="R28" s="39"/>
      <c r="S28" s="109">
        <f>SUMIF(I:I,"开户美国三不限户",J:J)</f>
        <v>998</v>
      </c>
      <c r="T28" s="26" t="s">
        <v>1855</v>
      </c>
      <c r="V28" s="76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223">
        <v>45635.0</v>
      </c>
      <c r="I29" s="68" t="s">
        <v>1856</v>
      </c>
      <c r="J29" s="69">
        <v>50000.0</v>
      </c>
      <c r="K29" s="70"/>
      <c r="L29" s="71">
        <v>0.5368055555555555</v>
      </c>
      <c r="M29" s="72" t="s">
        <v>1835</v>
      </c>
      <c r="N29" s="90">
        <v>8371.63</v>
      </c>
      <c r="O29" s="74" t="s">
        <v>1857</v>
      </c>
      <c r="P29" s="75">
        <v>0.5625</v>
      </c>
      <c r="Q29" s="41"/>
      <c r="R29" s="39"/>
      <c r="S29" s="109">
        <f>SUMIF(I:I,"FA-泰华印度1016（A-JIE）",J:J)</f>
        <v>550</v>
      </c>
      <c r="T29" s="26" t="s">
        <v>1858</v>
      </c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223">
        <v>45635.0</v>
      </c>
      <c r="I30" s="68"/>
      <c r="J30" s="69"/>
      <c r="K30" s="70"/>
      <c r="L30" s="71"/>
      <c r="M30" s="72" t="s">
        <v>1844</v>
      </c>
      <c r="N30" s="90">
        <v>1676.43</v>
      </c>
      <c r="O30" s="74" t="s">
        <v>1859</v>
      </c>
      <c r="P30" s="75">
        <v>0.6284722222222222</v>
      </c>
      <c r="Q30" s="41"/>
      <c r="R30" s="39"/>
      <c r="S30" s="109">
        <f>SUMIF(I:I,"土耳其张总股票粉",J:J)-S13</f>
        <v>33800</v>
      </c>
      <c r="T30" s="26" t="s">
        <v>1860</v>
      </c>
      <c r="U30" s="40">
        <f>S30+'11月收支财务报表'!S37</f>
        <v>53300</v>
      </c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223">
        <v>45635.0</v>
      </c>
      <c r="I31" s="68"/>
      <c r="J31" s="69"/>
      <c r="K31" s="70"/>
      <c r="L31" s="88"/>
      <c r="M31" s="72" t="s">
        <v>1844</v>
      </c>
      <c r="N31" s="90">
        <v>17760.0111</v>
      </c>
      <c r="O31" s="74" t="s">
        <v>1861</v>
      </c>
      <c r="P31" s="75">
        <v>0.6375</v>
      </c>
      <c r="Q31" s="41"/>
      <c r="R31" s="39"/>
      <c r="S31" s="109">
        <f>SUMIF(I:I,"印度20期",J:J)</f>
        <v>21019</v>
      </c>
      <c r="T31" s="26" t="s">
        <v>1862</v>
      </c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223">
        <v>45635.0</v>
      </c>
      <c r="I32" s="68"/>
      <c r="J32" s="69"/>
      <c r="K32" s="85"/>
      <c r="L32" s="71"/>
      <c r="M32" s="72" t="s">
        <v>20</v>
      </c>
      <c r="N32" s="90">
        <v>66.0</v>
      </c>
      <c r="O32" s="74" t="s">
        <v>1863</v>
      </c>
      <c r="P32" s="75">
        <v>0.8222222222222222</v>
      </c>
      <c r="Q32" s="41"/>
      <c r="R32" s="39"/>
      <c r="S32" s="109">
        <f>SUMIF(I:I,"印度22期",J:J)</f>
        <v>300000</v>
      </c>
      <c r="T32" s="26" t="s">
        <v>1864</v>
      </c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223">
        <v>45636.0</v>
      </c>
      <c r="I33" s="68"/>
      <c r="J33" s="69"/>
      <c r="K33" s="85"/>
      <c r="L33" s="71"/>
      <c r="M33" s="72" t="s">
        <v>1829</v>
      </c>
      <c r="N33" s="90">
        <v>3000.48</v>
      </c>
      <c r="O33" s="74"/>
      <c r="P33" s="75">
        <v>0.5131944444444444</v>
      </c>
      <c r="Q33" s="41"/>
      <c r="R33" s="39"/>
      <c r="S33" s="109">
        <f>SUMIF(I:I,"天叶三期（张老板）",J:J)</f>
        <v>200000</v>
      </c>
      <c r="T33" s="26" t="s">
        <v>1865</v>
      </c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223">
        <v>45636.0</v>
      </c>
      <c r="I34" s="68"/>
      <c r="J34" s="69"/>
      <c r="K34" s="70"/>
      <c r="L34" s="71"/>
      <c r="M34" s="72" t="s">
        <v>1835</v>
      </c>
      <c r="N34" s="90">
        <v>5150.0</v>
      </c>
      <c r="O34" s="74" t="s">
        <v>1866</v>
      </c>
      <c r="P34" s="75">
        <v>0.5569444444444445</v>
      </c>
      <c r="Q34" s="41"/>
      <c r="R34" s="39"/>
      <c r="S34" s="109">
        <f>SUMIF(I:I,"凯旋城印度8期",J:J)</f>
        <v>17104</v>
      </c>
      <c r="T34" s="26" t="s">
        <v>1867</v>
      </c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223">
        <v>45636.0</v>
      </c>
      <c r="I35" s="154"/>
      <c r="J35" s="69"/>
      <c r="K35" s="87"/>
      <c r="L35" s="71"/>
      <c r="M35" s="72" t="s">
        <v>1345</v>
      </c>
      <c r="N35" s="90">
        <v>21124.23</v>
      </c>
      <c r="O35" s="74" t="s">
        <v>1868</v>
      </c>
      <c r="P35" s="75">
        <v>0.58125</v>
      </c>
      <c r="Q35" s="41"/>
      <c r="R35" s="39"/>
      <c r="S35" s="109">
        <f>SUMIF(I:I,"德国股粉对接群",J:J)</f>
        <v>8370</v>
      </c>
      <c r="T35" s="26" t="s">
        <v>1642</v>
      </c>
      <c r="U35" s="207" t="s">
        <v>1869</v>
      </c>
      <c r="V35" s="41"/>
      <c r="W35" s="30"/>
      <c r="X35" s="30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223">
        <v>45636.0</v>
      </c>
      <c r="I36" s="68"/>
      <c r="J36" s="69"/>
      <c r="K36" s="85"/>
      <c r="L36" s="71"/>
      <c r="M36" s="72" t="s">
        <v>1844</v>
      </c>
      <c r="N36" s="90">
        <v>22783.57</v>
      </c>
      <c r="O36" s="74" t="s">
        <v>1870</v>
      </c>
      <c r="P36" s="75">
        <v>0.5854166666666667</v>
      </c>
      <c r="Q36" s="41"/>
      <c r="R36" s="39"/>
      <c r="S36" s="109">
        <f>SUMIF(I:I,"意大利蟑螂哥结算群",J:J)</f>
        <v>1210</v>
      </c>
      <c r="T36" s="26" t="s">
        <v>1871</v>
      </c>
      <c r="U36" s="40"/>
      <c r="V36" s="41"/>
      <c r="W36" s="30"/>
      <c r="X36" s="30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223">
        <v>45636.0</v>
      </c>
      <c r="I37" s="84"/>
      <c r="J37" s="17"/>
      <c r="K37" s="85"/>
      <c r="L37" s="86"/>
      <c r="M37" s="72" t="s">
        <v>827</v>
      </c>
      <c r="N37" s="90">
        <v>15000.0</v>
      </c>
      <c r="O37" s="74"/>
      <c r="P37" s="75">
        <v>0.5902777777777778</v>
      </c>
      <c r="Q37" s="41"/>
      <c r="R37" s="39"/>
      <c r="S37" s="109">
        <f>SUMIF(I:I,"印度10期孟德",J:J)</f>
        <v>150498</v>
      </c>
      <c r="T37" s="26" t="s">
        <v>1872</v>
      </c>
      <c r="U37" s="76" t="s">
        <v>1873</v>
      </c>
      <c r="V37" s="41"/>
      <c r="W37" s="30"/>
      <c r="X37" s="30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223">
        <v>45636.0</v>
      </c>
      <c r="I38" s="68"/>
      <c r="J38" s="69"/>
      <c r="K38" s="85"/>
      <c r="L38" s="86"/>
      <c r="M38" s="72" t="s">
        <v>1835</v>
      </c>
      <c r="N38" s="90">
        <v>1030.0</v>
      </c>
      <c r="O38" s="74" t="s">
        <v>1874</v>
      </c>
      <c r="P38" s="75">
        <v>0.6666666666666666</v>
      </c>
      <c r="Q38" s="41"/>
      <c r="R38" s="39"/>
      <c r="S38" s="109">
        <f>SUMIF(I:I,"印度23期",J:J)</f>
        <v>200000</v>
      </c>
      <c r="T38" s="26" t="s">
        <v>669</v>
      </c>
      <c r="U38" s="40"/>
      <c r="V38" s="41"/>
      <c r="W38" s="30"/>
      <c r="X38" s="30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223">
        <v>45636.0</v>
      </c>
      <c r="I39" s="68"/>
      <c r="J39" s="69"/>
      <c r="K39" s="70"/>
      <c r="L39" s="88"/>
      <c r="M39" s="72" t="s">
        <v>1844</v>
      </c>
      <c r="N39" s="90">
        <v>5451.16</v>
      </c>
      <c r="O39" s="74" t="s">
        <v>1875</v>
      </c>
      <c r="P39" s="75">
        <v>0.6708333333333333</v>
      </c>
      <c r="Q39" s="41"/>
      <c r="R39" s="39"/>
      <c r="S39" s="109">
        <f>SUMIF(I:I,"老锅广告费垫付",J:J)</f>
        <v>200000</v>
      </c>
      <c r="T39" s="26" t="s">
        <v>1876</v>
      </c>
      <c r="U39" s="40"/>
      <c r="V39" s="41"/>
      <c r="W39" s="30"/>
      <c r="X39" s="30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223">
        <v>45636.0</v>
      </c>
      <c r="I40" s="68"/>
      <c r="J40" s="69"/>
      <c r="K40" s="70"/>
      <c r="L40" s="71"/>
      <c r="M40" s="72" t="s">
        <v>20</v>
      </c>
      <c r="N40" s="90">
        <v>200.0</v>
      </c>
      <c r="O40" s="74" t="s">
        <v>356</v>
      </c>
      <c r="P40" s="75">
        <v>0.9423611111111111</v>
      </c>
      <c r="Q40" s="41"/>
      <c r="R40" s="39"/>
      <c r="S40" s="109">
        <f>SUMIF(I:I,"凯旋城7期",J:J)</f>
        <v>50000</v>
      </c>
      <c r="T40" s="26" t="s">
        <v>1877</v>
      </c>
      <c r="U40" s="40"/>
      <c r="V40" s="41"/>
      <c r="W40" s="30"/>
      <c r="X40" s="30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223">
        <v>45637.0</v>
      </c>
      <c r="I41" s="68"/>
      <c r="J41" s="69"/>
      <c r="K41" s="70"/>
      <c r="L41" s="71"/>
      <c r="M41" s="72" t="s">
        <v>1345</v>
      </c>
      <c r="N41" s="90">
        <v>982.78</v>
      </c>
      <c r="O41" s="74" t="s">
        <v>1878</v>
      </c>
      <c r="P41" s="75">
        <v>0.5472222222222223</v>
      </c>
      <c r="Q41" s="41"/>
      <c r="R41" s="39"/>
      <c r="S41" s="40">
        <f>SUM(S28:S40)</f>
        <v>1183549</v>
      </c>
      <c r="T41" s="40"/>
      <c r="U41" s="40"/>
      <c r="V41" s="41"/>
      <c r="W41" s="30"/>
      <c r="X41" s="30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223">
        <v>45637.0</v>
      </c>
      <c r="I42" s="68"/>
      <c r="J42" s="69"/>
      <c r="K42" s="70"/>
      <c r="L42" s="88"/>
      <c r="M42" s="72" t="s">
        <v>827</v>
      </c>
      <c r="N42" s="90">
        <v>15000.0</v>
      </c>
      <c r="O42" s="74"/>
      <c r="P42" s="75">
        <v>0.5111111111111111</v>
      </c>
      <c r="Q42" s="41"/>
      <c r="R42" s="39"/>
      <c r="S42" s="232">
        <f>S41+J7+S13</f>
        <v>1475965.883</v>
      </c>
      <c r="T42" s="233" t="s">
        <v>1879</v>
      </c>
      <c r="U42" s="40"/>
      <c r="V42" s="41"/>
      <c r="W42" s="30"/>
      <c r="X42" s="30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223">
        <v>45637.0</v>
      </c>
      <c r="I43" s="68"/>
      <c r="J43" s="69"/>
      <c r="K43" s="87"/>
      <c r="L43" s="71"/>
      <c r="M43" s="72" t="s">
        <v>1835</v>
      </c>
      <c r="N43" s="90">
        <v>1030.0</v>
      </c>
      <c r="O43" s="74" t="s">
        <v>1874</v>
      </c>
      <c r="P43" s="75">
        <v>0.6618055555555555</v>
      </c>
      <c r="Q43" s="41"/>
      <c r="R43" s="39"/>
      <c r="S43" s="76"/>
      <c r="T43" s="40"/>
      <c r="U43" s="40"/>
      <c r="V43" s="41"/>
      <c r="W43" s="30"/>
      <c r="X43" s="30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223">
        <v>45637.0</v>
      </c>
      <c r="I44" s="84"/>
      <c r="J44" s="17"/>
      <c r="K44" s="85"/>
      <c r="L44" s="86"/>
      <c r="M44" s="72" t="s">
        <v>1844</v>
      </c>
      <c r="N44" s="90">
        <v>3330.0</v>
      </c>
      <c r="O44" s="74" t="s">
        <v>1880</v>
      </c>
      <c r="P44" s="75">
        <v>0.675</v>
      </c>
      <c r="Q44" s="41"/>
      <c r="R44" s="39"/>
      <c r="S44" s="40"/>
      <c r="T44" s="40"/>
      <c r="U44" s="40"/>
      <c r="V44" s="41"/>
      <c r="W44" s="30"/>
      <c r="X44" s="30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223">
        <v>45637.0</v>
      </c>
      <c r="I45" s="68"/>
      <c r="J45" s="69"/>
      <c r="K45" s="85"/>
      <c r="L45" s="86"/>
      <c r="M45" s="80" t="s">
        <v>1641</v>
      </c>
      <c r="N45" s="90">
        <v>974.03</v>
      </c>
      <c r="O45" s="74" t="s">
        <v>1881</v>
      </c>
      <c r="P45" s="75">
        <v>0.7666666666666667</v>
      </c>
      <c r="Q45" s="41"/>
      <c r="R45" s="39"/>
      <c r="S45" s="40"/>
      <c r="T45" s="76"/>
      <c r="U45" s="40"/>
      <c r="V45" s="41"/>
      <c r="W45" s="30"/>
      <c r="X45" s="30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223">
        <v>45637.0</v>
      </c>
      <c r="I46" s="84"/>
      <c r="J46" s="17"/>
      <c r="K46" s="85"/>
      <c r="L46" s="86"/>
      <c r="M46" s="72" t="s">
        <v>827</v>
      </c>
      <c r="N46" s="90">
        <v>15000.0</v>
      </c>
      <c r="O46" s="74"/>
      <c r="P46" s="75">
        <v>0.81875</v>
      </c>
      <c r="Q46" s="41"/>
      <c r="R46" s="39"/>
      <c r="S46" s="40"/>
      <c r="T46" s="76"/>
      <c r="U46" s="40"/>
      <c r="V46" s="41"/>
      <c r="W46" s="30"/>
      <c r="X46" s="30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223">
        <v>45637.0</v>
      </c>
      <c r="I47" s="68" t="s">
        <v>1867</v>
      </c>
      <c r="J47" s="69">
        <v>17104.0</v>
      </c>
      <c r="K47" s="70" t="s">
        <v>981</v>
      </c>
      <c r="L47" s="71">
        <v>0.9666666666666667</v>
      </c>
      <c r="M47" s="72"/>
      <c r="N47" s="90"/>
      <c r="O47" s="74"/>
      <c r="P47" s="75"/>
      <c r="Q47" s="41"/>
      <c r="R47" s="39"/>
      <c r="S47" s="76"/>
      <c r="T47" s="40"/>
      <c r="U47" s="40"/>
      <c r="V47" s="41"/>
      <c r="W47" s="30"/>
      <c r="X47" s="30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234">
        <v>45638.0</v>
      </c>
      <c r="I48" s="68"/>
      <c r="J48" s="69"/>
      <c r="K48" s="87"/>
      <c r="L48" s="71"/>
      <c r="M48" s="72" t="s">
        <v>1835</v>
      </c>
      <c r="N48" s="90">
        <v>3090.0</v>
      </c>
      <c r="O48" s="74" t="s">
        <v>1882</v>
      </c>
      <c r="P48" s="75">
        <v>0.5340277777777778</v>
      </c>
      <c r="Q48" s="41"/>
      <c r="R48" s="39"/>
      <c r="S48" s="40"/>
      <c r="T48" s="40"/>
      <c r="U48" s="40"/>
      <c r="V48" s="41"/>
      <c r="W48" s="30"/>
      <c r="X48" s="74"/>
      <c r="Y48" s="30"/>
      <c r="Z48" s="74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234">
        <v>45638.0</v>
      </c>
      <c r="I49" s="68"/>
      <c r="J49" s="69"/>
      <c r="K49" s="70"/>
      <c r="L49" s="71"/>
      <c r="M49" s="72" t="s">
        <v>1844</v>
      </c>
      <c r="N49" s="90">
        <v>8615.53</v>
      </c>
      <c r="O49" s="74" t="s">
        <v>1883</v>
      </c>
      <c r="P49" s="75">
        <v>0.5645833333333333</v>
      </c>
      <c r="Q49" s="41"/>
      <c r="R49" s="39"/>
      <c r="S49" s="40"/>
      <c r="T49" s="40"/>
      <c r="U49" s="40"/>
      <c r="V49" s="41"/>
      <c r="W49" s="30"/>
      <c r="X49" s="30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234">
        <v>45638.0</v>
      </c>
      <c r="I50" s="68"/>
      <c r="J50" s="69"/>
      <c r="K50" s="85"/>
      <c r="L50" s="71"/>
      <c r="M50" s="72" t="s">
        <v>1844</v>
      </c>
      <c r="N50" s="90">
        <v>2220.0</v>
      </c>
      <c r="O50" s="74" t="s">
        <v>1884</v>
      </c>
      <c r="P50" s="75">
        <v>0.6208333333333333</v>
      </c>
      <c r="Q50" s="41"/>
      <c r="R50" s="39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234">
        <v>45638.0</v>
      </c>
      <c r="I51" s="68"/>
      <c r="J51" s="69"/>
      <c r="K51" s="87"/>
      <c r="L51" s="71"/>
      <c r="M51" s="72" t="s">
        <v>1844</v>
      </c>
      <c r="N51" s="90">
        <f>7000*1.11</f>
        <v>7770</v>
      </c>
      <c r="O51" s="74" t="s">
        <v>1885</v>
      </c>
      <c r="P51" s="75">
        <v>0.6291666666666667</v>
      </c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234">
        <v>45638.0</v>
      </c>
      <c r="I52" s="68" t="s">
        <v>1856</v>
      </c>
      <c r="J52" s="69">
        <v>50000.0</v>
      </c>
      <c r="K52" s="87"/>
      <c r="L52" s="71">
        <v>0.6666666666666666</v>
      </c>
      <c r="M52" s="72" t="s">
        <v>1835</v>
      </c>
      <c r="N52" s="90">
        <v>10300.0</v>
      </c>
      <c r="O52" s="74" t="s">
        <v>1886</v>
      </c>
      <c r="P52" s="75">
        <v>0.6902777777777778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234">
        <v>45638.0</v>
      </c>
      <c r="I53" s="68" t="s">
        <v>859</v>
      </c>
      <c r="J53" s="69">
        <v>100000.0</v>
      </c>
      <c r="K53" s="70"/>
      <c r="L53" s="71">
        <v>0.7020833333333333</v>
      </c>
      <c r="M53" s="72" t="s">
        <v>1844</v>
      </c>
      <c r="N53" s="90">
        <v>8880.0</v>
      </c>
      <c r="O53" s="74" t="s">
        <v>1887</v>
      </c>
      <c r="P53" s="75">
        <v>0.6944444444444444</v>
      </c>
      <c r="Q53" s="41"/>
      <c r="R53" s="39"/>
      <c r="S53" s="235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234">
        <v>45638.0</v>
      </c>
      <c r="I54" s="84"/>
      <c r="J54" s="17"/>
      <c r="K54" s="85"/>
      <c r="L54" s="86"/>
      <c r="M54" s="72" t="s">
        <v>1835</v>
      </c>
      <c r="N54" s="90">
        <v>1030.0</v>
      </c>
      <c r="O54" s="74" t="s">
        <v>1874</v>
      </c>
      <c r="P54" s="75">
        <v>0.7229166666666667</v>
      </c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234">
        <v>45638.0</v>
      </c>
      <c r="I55" s="68"/>
      <c r="J55" s="69"/>
      <c r="K55" s="87"/>
      <c r="L55" s="71"/>
      <c r="M55" s="72" t="s">
        <v>827</v>
      </c>
      <c r="N55" s="90">
        <v>8000.0</v>
      </c>
      <c r="O55" s="74"/>
      <c r="P55" s="75">
        <v>0.7270833333333333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234">
        <v>45639.0</v>
      </c>
      <c r="I56" s="154"/>
      <c r="J56" s="69"/>
      <c r="K56" s="87"/>
      <c r="L56" s="71"/>
      <c r="M56" s="72" t="s">
        <v>1641</v>
      </c>
      <c r="N56" s="90">
        <v>2160.0</v>
      </c>
      <c r="O56" s="74" t="s">
        <v>1888</v>
      </c>
      <c r="P56" s="75">
        <v>0.5444444444444444</v>
      </c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234">
        <v>45639.0</v>
      </c>
      <c r="I57" s="68"/>
      <c r="J57" s="69"/>
      <c r="K57" s="70"/>
      <c r="L57" s="71"/>
      <c r="M57" s="72" t="s">
        <v>827</v>
      </c>
      <c r="N57" s="90">
        <v>20000.0</v>
      </c>
      <c r="O57" s="74"/>
      <c r="P57" s="75">
        <v>0.5472222222222223</v>
      </c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234">
        <v>45639.0</v>
      </c>
      <c r="I58" s="68"/>
      <c r="J58" s="69"/>
      <c r="K58" s="87"/>
      <c r="L58" s="71"/>
      <c r="M58" s="72" t="s">
        <v>1345</v>
      </c>
      <c r="N58" s="90">
        <v>8772.18</v>
      </c>
      <c r="O58" s="74" t="s">
        <v>1889</v>
      </c>
      <c r="P58" s="75">
        <v>0.5625</v>
      </c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234">
        <v>45639.0</v>
      </c>
      <c r="I59" s="68"/>
      <c r="J59" s="69"/>
      <c r="K59" s="85"/>
      <c r="L59" s="71"/>
      <c r="M59" s="72" t="s">
        <v>1835</v>
      </c>
      <c r="N59" s="90">
        <v>1545.0</v>
      </c>
      <c r="O59" s="74" t="s">
        <v>1890</v>
      </c>
      <c r="P59" s="75">
        <v>0.6583333333333333</v>
      </c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234">
        <v>45639.0</v>
      </c>
      <c r="I60" s="68"/>
      <c r="J60" s="69"/>
      <c r="K60" s="85"/>
      <c r="L60" s="71"/>
      <c r="M60" s="72" t="s">
        <v>1844</v>
      </c>
      <c r="N60" s="90">
        <v>2047.43</v>
      </c>
      <c r="O60" s="74" t="s">
        <v>1891</v>
      </c>
      <c r="P60" s="75">
        <v>0.6618055555555555</v>
      </c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234">
        <v>45639.0</v>
      </c>
      <c r="I61" s="68" t="s">
        <v>1642</v>
      </c>
      <c r="J61" s="69">
        <v>2700.0</v>
      </c>
      <c r="K61" s="70" t="s">
        <v>1892</v>
      </c>
      <c r="L61" s="71">
        <v>0.7659722222222223</v>
      </c>
      <c r="M61" s="72"/>
      <c r="N61" s="90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234">
        <v>45640.0</v>
      </c>
      <c r="I62" s="68"/>
      <c r="J62" s="69"/>
      <c r="K62" s="87"/>
      <c r="L62" s="71"/>
      <c r="M62" s="72" t="s">
        <v>827</v>
      </c>
      <c r="N62" s="90">
        <v>15000.0</v>
      </c>
      <c r="O62" s="74"/>
      <c r="P62" s="75">
        <v>0.5694444444444444</v>
      </c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234">
        <v>45640.0</v>
      </c>
      <c r="I63" s="154" t="s">
        <v>1856</v>
      </c>
      <c r="J63" s="17">
        <v>50000.0</v>
      </c>
      <c r="K63" s="87"/>
      <c r="L63" s="71">
        <v>0.58125</v>
      </c>
      <c r="M63" s="72" t="s">
        <v>827</v>
      </c>
      <c r="N63" s="90">
        <v>20000.0</v>
      </c>
      <c r="O63" s="74"/>
      <c r="P63" s="75">
        <v>0.78125</v>
      </c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234">
        <v>45641.0</v>
      </c>
      <c r="I64" s="68"/>
      <c r="J64" s="69"/>
      <c r="K64" s="87"/>
      <c r="L64" s="71"/>
      <c r="M64" s="72" t="s">
        <v>827</v>
      </c>
      <c r="N64" s="90">
        <v>15000.0</v>
      </c>
      <c r="O64" s="74"/>
      <c r="P64" s="75">
        <v>0.7097222222222223</v>
      </c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234">
        <v>45642.0</v>
      </c>
      <c r="I65" s="68"/>
      <c r="J65" s="69"/>
      <c r="K65" s="70"/>
      <c r="L65" s="88"/>
      <c r="M65" s="72" t="s">
        <v>827</v>
      </c>
      <c r="N65" s="90">
        <v>14000.0</v>
      </c>
      <c r="O65" s="74"/>
      <c r="P65" s="75">
        <v>0.5465277777777777</v>
      </c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234">
        <v>45642.0</v>
      </c>
      <c r="I66" s="154" t="s">
        <v>1856</v>
      </c>
      <c r="J66" s="17">
        <v>50000.0</v>
      </c>
      <c r="K66" s="70"/>
      <c r="L66" s="71">
        <v>0.61875</v>
      </c>
      <c r="M66" s="72" t="s">
        <v>827</v>
      </c>
      <c r="N66" s="90">
        <v>20000.0</v>
      </c>
      <c r="O66" s="126"/>
      <c r="P66" s="75">
        <v>0.6236111111111111</v>
      </c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234">
        <v>45642.0</v>
      </c>
      <c r="I67" s="68"/>
      <c r="J67" s="69"/>
      <c r="K67" s="70"/>
      <c r="L67" s="71"/>
      <c r="M67" s="72" t="s">
        <v>1844</v>
      </c>
      <c r="N67" s="90">
        <v>2220.0</v>
      </c>
      <c r="O67" s="126" t="s">
        <v>1893</v>
      </c>
      <c r="P67" s="75">
        <v>0.6319444444444444</v>
      </c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234">
        <v>45642.0</v>
      </c>
      <c r="I68" s="154" t="s">
        <v>859</v>
      </c>
      <c r="J68" s="17">
        <v>100000.0</v>
      </c>
      <c r="K68" s="87"/>
      <c r="L68" s="71">
        <v>0.64375</v>
      </c>
      <c r="M68" s="72"/>
      <c r="N68" s="90"/>
      <c r="O68" s="74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234">
        <v>45642.0</v>
      </c>
      <c r="I69" s="68" t="s">
        <v>1642</v>
      </c>
      <c r="J69" s="69">
        <v>5670.0</v>
      </c>
      <c r="K69" s="70" t="s">
        <v>1894</v>
      </c>
      <c r="L69" s="71">
        <v>0.6888888888888889</v>
      </c>
      <c r="M69" s="72" t="s">
        <v>1842</v>
      </c>
      <c r="N69" s="90">
        <v>20000.0</v>
      </c>
      <c r="O69" s="74"/>
      <c r="P69" s="75">
        <v>0.7875</v>
      </c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234">
        <v>45643.0</v>
      </c>
      <c r="I70" s="68"/>
      <c r="J70" s="69"/>
      <c r="K70" s="70"/>
      <c r="L70" s="71"/>
      <c r="M70" s="72" t="s">
        <v>20</v>
      </c>
      <c r="N70" s="90">
        <v>135.0</v>
      </c>
      <c r="O70" s="74" t="s">
        <v>1895</v>
      </c>
      <c r="P70" s="75">
        <v>0.4618055555555556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234">
        <v>45643.0</v>
      </c>
      <c r="I71" s="68"/>
      <c r="J71" s="69"/>
      <c r="K71" s="87"/>
      <c r="L71" s="71"/>
      <c r="M71" s="72" t="s">
        <v>827</v>
      </c>
      <c r="N71" s="90">
        <v>15000.0</v>
      </c>
      <c r="O71" s="74"/>
      <c r="P71" s="75">
        <v>0.5930555555555556</v>
      </c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234">
        <v>45643.0</v>
      </c>
      <c r="I72" s="68"/>
      <c r="J72" s="69"/>
      <c r="K72" s="85"/>
      <c r="L72" s="71"/>
      <c r="M72" s="72" t="s">
        <v>1844</v>
      </c>
      <c r="N72" s="90">
        <v>11655.0</v>
      </c>
      <c r="O72" s="74" t="s">
        <v>1896</v>
      </c>
      <c r="P72" s="75">
        <v>0.5979166666666667</v>
      </c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234">
        <v>45644.0</v>
      </c>
      <c r="I73" s="68"/>
      <c r="J73" s="69"/>
      <c r="K73" s="93"/>
      <c r="L73" s="71"/>
      <c r="M73" s="72" t="s">
        <v>20</v>
      </c>
      <c r="N73" s="90">
        <v>450.0</v>
      </c>
      <c r="O73" s="74" t="s">
        <v>1897</v>
      </c>
      <c r="P73" s="75">
        <v>0.5166666666666667</v>
      </c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234">
        <v>45644.0</v>
      </c>
      <c r="I74" s="68"/>
      <c r="J74" s="69"/>
      <c r="K74" s="87"/>
      <c r="L74" s="71"/>
      <c r="M74" s="72" t="s">
        <v>827</v>
      </c>
      <c r="N74" s="90">
        <v>15000.0</v>
      </c>
      <c r="O74" s="74"/>
      <c r="P74" s="75">
        <v>0.6680555555555555</v>
      </c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234">
        <v>45644.0</v>
      </c>
      <c r="I75" s="154"/>
      <c r="J75" s="69"/>
      <c r="K75" s="87"/>
      <c r="L75" s="71"/>
      <c r="M75" s="72" t="s">
        <v>1345</v>
      </c>
      <c r="N75" s="90">
        <v>3171.06</v>
      </c>
      <c r="O75" s="74" t="s">
        <v>1898</v>
      </c>
      <c r="P75" s="75">
        <v>0.7298611111111111</v>
      </c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234">
        <v>45645.0</v>
      </c>
      <c r="I76" s="68" t="s">
        <v>1871</v>
      </c>
      <c r="J76" s="69">
        <v>1210.0</v>
      </c>
      <c r="K76" s="70" t="s">
        <v>1899</v>
      </c>
      <c r="L76" s="71">
        <v>0.5729166666666666</v>
      </c>
      <c r="M76" s="72" t="s">
        <v>1833</v>
      </c>
      <c r="N76" s="90">
        <v>10.0</v>
      </c>
      <c r="O76" s="74"/>
      <c r="P76" s="75">
        <v>0.6520833333333333</v>
      </c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234">
        <v>45645.0</v>
      </c>
      <c r="I77" s="68"/>
      <c r="J77" s="69"/>
      <c r="K77" s="87"/>
      <c r="L77" s="71"/>
      <c r="M77" s="72" t="s">
        <v>1835</v>
      </c>
      <c r="N77" s="90">
        <v>1030.0</v>
      </c>
      <c r="O77" s="74" t="s">
        <v>1874</v>
      </c>
      <c r="P77" s="75">
        <v>0.6534722222222222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234">
        <v>45645.0</v>
      </c>
      <c r="I78" s="68"/>
      <c r="J78" s="69"/>
      <c r="K78" s="70"/>
      <c r="L78" s="71"/>
      <c r="M78" s="72" t="s">
        <v>1833</v>
      </c>
      <c r="N78" s="90">
        <v>4590.0</v>
      </c>
      <c r="O78" s="74" t="s">
        <v>1900</v>
      </c>
      <c r="P78" s="75">
        <v>0.6597222222222222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234">
        <v>45645.0</v>
      </c>
      <c r="I79" s="68"/>
      <c r="J79" s="69"/>
      <c r="K79" s="70"/>
      <c r="L79" s="71"/>
      <c r="M79" s="72" t="s">
        <v>20</v>
      </c>
      <c r="N79" s="90">
        <v>225.0</v>
      </c>
      <c r="O79" s="74" t="s">
        <v>1901</v>
      </c>
      <c r="P79" s="75">
        <v>0.5638888888888889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234">
        <v>45646.0</v>
      </c>
      <c r="I80" s="68"/>
      <c r="J80" s="69"/>
      <c r="K80" s="70"/>
      <c r="L80" s="71"/>
      <c r="M80" s="72" t="s">
        <v>1835</v>
      </c>
      <c r="N80" s="90">
        <v>2060.0</v>
      </c>
      <c r="O80" s="74" t="s">
        <v>1902</v>
      </c>
      <c r="P80" s="75">
        <v>0.5763888888888888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234">
        <v>45646.0</v>
      </c>
      <c r="I81" s="68"/>
      <c r="J81" s="69"/>
      <c r="K81" s="70"/>
      <c r="L81" s="71"/>
      <c r="M81" s="72" t="s">
        <v>1345</v>
      </c>
      <c r="N81" s="90">
        <v>12221.0</v>
      </c>
      <c r="O81" s="74" t="s">
        <v>1275</v>
      </c>
      <c r="P81" s="75">
        <v>0.5923611111111111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234">
        <v>45646.0</v>
      </c>
      <c r="I82" s="154"/>
      <c r="J82" s="17"/>
      <c r="K82" s="92"/>
      <c r="L82" s="173"/>
      <c r="M82" s="72" t="s">
        <v>827</v>
      </c>
      <c r="N82" s="90">
        <v>20000.0</v>
      </c>
      <c r="O82" s="74"/>
      <c r="P82" s="75">
        <v>0.6</v>
      </c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234">
        <v>45646.0</v>
      </c>
      <c r="I83" s="68"/>
      <c r="J83" s="69"/>
      <c r="K83" s="87"/>
      <c r="L83" s="88"/>
      <c r="M83" s="72" t="s">
        <v>1640</v>
      </c>
      <c r="N83" s="90">
        <v>2240.0</v>
      </c>
      <c r="O83" s="74" t="s">
        <v>1903</v>
      </c>
      <c r="P83" s="75">
        <v>0.7666666666666667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234">
        <v>45646.0</v>
      </c>
      <c r="I84" s="68"/>
      <c r="J84" s="69"/>
      <c r="K84" s="87"/>
      <c r="L84" s="88"/>
      <c r="M84" s="72" t="s">
        <v>1842</v>
      </c>
      <c r="N84" s="90">
        <v>20000.0</v>
      </c>
      <c r="O84" s="74"/>
      <c r="P84" s="75">
        <v>0.98125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234">
        <v>45647.0</v>
      </c>
      <c r="I85" s="68"/>
      <c r="J85" s="69"/>
      <c r="K85" s="87"/>
      <c r="L85" s="88"/>
      <c r="M85" s="72" t="s">
        <v>1345</v>
      </c>
      <c r="N85" s="90">
        <v>18884.11</v>
      </c>
      <c r="O85" s="74" t="s">
        <v>1904</v>
      </c>
      <c r="P85" s="75">
        <v>0.5465277777777777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234">
        <v>45647.0</v>
      </c>
      <c r="I86" s="68"/>
      <c r="J86" s="69"/>
      <c r="K86" s="87"/>
      <c r="L86" s="71"/>
      <c r="M86" s="72" t="s">
        <v>1345</v>
      </c>
      <c r="N86" s="90">
        <v>3333.0</v>
      </c>
      <c r="O86" s="74" t="s">
        <v>1281</v>
      </c>
      <c r="P86" s="75">
        <v>0.6326388888888889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234">
        <v>45648.0</v>
      </c>
      <c r="I87" s="68" t="s">
        <v>1872</v>
      </c>
      <c r="J87" s="69">
        <v>498.0</v>
      </c>
      <c r="K87" s="70"/>
      <c r="L87" s="71">
        <v>0.6520833333333333</v>
      </c>
      <c r="M87" s="103"/>
      <c r="N87" s="236"/>
      <c r="O87" s="103"/>
      <c r="P87" s="103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234">
        <v>45648.0</v>
      </c>
      <c r="I88" s="68" t="s">
        <v>1872</v>
      </c>
      <c r="J88" s="69">
        <v>150000.0</v>
      </c>
      <c r="K88" s="70"/>
      <c r="L88" s="71">
        <v>0.6805555555555556</v>
      </c>
      <c r="M88" s="72"/>
      <c r="N88" s="90"/>
      <c r="O88" s="74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234">
        <v>45649.0</v>
      </c>
      <c r="I89" s="68"/>
      <c r="J89" s="69"/>
      <c r="K89" s="85"/>
      <c r="L89" s="71"/>
      <c r="M89" s="72" t="s">
        <v>1840</v>
      </c>
      <c r="N89" s="90">
        <v>10.0</v>
      </c>
      <c r="O89" s="74"/>
      <c r="P89" s="75">
        <v>0.45416666666666666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234">
        <v>45649.0</v>
      </c>
      <c r="I90" s="68"/>
      <c r="J90" s="69"/>
      <c r="K90" s="70"/>
      <c r="L90" s="71"/>
      <c r="M90" s="72" t="s">
        <v>1840</v>
      </c>
      <c r="N90" s="90">
        <f>95000-10</f>
        <v>94990</v>
      </c>
      <c r="O90" s="74"/>
      <c r="P90" s="75">
        <v>0.45625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234">
        <v>45649.0</v>
      </c>
      <c r="I91" s="68"/>
      <c r="J91" s="69"/>
      <c r="K91" s="70"/>
      <c r="L91" s="71"/>
      <c r="M91" s="72" t="s">
        <v>1345</v>
      </c>
      <c r="N91" s="90">
        <v>24442.0</v>
      </c>
      <c r="O91" s="74" t="s">
        <v>1905</v>
      </c>
      <c r="P91" s="75">
        <v>0.5645833333333333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234">
        <v>45649.0</v>
      </c>
      <c r="I92" s="68" t="s">
        <v>669</v>
      </c>
      <c r="J92" s="17">
        <v>100000.0</v>
      </c>
      <c r="K92" s="70"/>
      <c r="L92" s="71">
        <v>0.5881944444444445</v>
      </c>
      <c r="M92" s="72" t="s">
        <v>1345</v>
      </c>
      <c r="N92" s="90">
        <v>9275.19</v>
      </c>
      <c r="O92" s="74" t="s">
        <v>1906</v>
      </c>
      <c r="P92" s="75">
        <v>0.8055555555555556</v>
      </c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234">
        <v>45650.0</v>
      </c>
      <c r="I93" s="68"/>
      <c r="J93" s="69"/>
      <c r="K93" s="70"/>
      <c r="L93" s="88"/>
      <c r="M93" s="72" t="s">
        <v>1833</v>
      </c>
      <c r="N93" s="90">
        <v>4600.0</v>
      </c>
      <c r="O93" s="74" t="s">
        <v>1907</v>
      </c>
      <c r="P93" s="75">
        <v>0.44305555555555554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234">
        <v>45650.0</v>
      </c>
      <c r="I94" s="68"/>
      <c r="J94" s="69"/>
      <c r="K94" s="70"/>
      <c r="L94" s="71"/>
      <c r="M94" s="72" t="s">
        <v>1345</v>
      </c>
      <c r="N94" s="90">
        <v>5555.0</v>
      </c>
      <c r="O94" s="74" t="s">
        <v>1316</v>
      </c>
      <c r="P94" s="75">
        <v>0.5756944444444444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234">
        <v>45650.0</v>
      </c>
      <c r="I95" s="68"/>
      <c r="J95" s="69"/>
      <c r="K95" s="70"/>
      <c r="L95" s="71"/>
      <c r="M95" s="72" t="s">
        <v>1486</v>
      </c>
      <c r="N95" s="90">
        <v>2240.0</v>
      </c>
      <c r="O95" s="74" t="s">
        <v>1908</v>
      </c>
      <c r="P95" s="75">
        <v>0.73125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234">
        <v>45650.0</v>
      </c>
      <c r="I96" s="68"/>
      <c r="J96" s="69"/>
      <c r="K96" s="87"/>
      <c r="L96" s="71"/>
      <c r="M96" s="72" t="s">
        <v>1850</v>
      </c>
      <c r="N96" s="90">
        <v>550.0</v>
      </c>
      <c r="O96" s="74" t="s">
        <v>1909</v>
      </c>
      <c r="P96" s="75">
        <v>0.8277777777777777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234">
        <v>45650.0</v>
      </c>
      <c r="I97" s="68"/>
      <c r="J97" s="69"/>
      <c r="K97" s="85"/>
      <c r="L97" s="71"/>
      <c r="M97" s="72" t="s">
        <v>1486</v>
      </c>
      <c r="N97" s="90">
        <v>2811.76</v>
      </c>
      <c r="O97" s="74" t="s">
        <v>1910</v>
      </c>
      <c r="P97" s="75">
        <v>0.8652777777777778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234">
        <v>45650.0</v>
      </c>
      <c r="I98" s="68"/>
      <c r="J98" s="69"/>
      <c r="K98" s="85"/>
      <c r="L98" s="71"/>
      <c r="M98" s="72" t="s">
        <v>1486</v>
      </c>
      <c r="N98" s="90">
        <v>1680.0</v>
      </c>
      <c r="O98" s="74" t="s">
        <v>1911</v>
      </c>
      <c r="P98" s="75">
        <v>0.8881944444444444</v>
      </c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234">
        <v>45650.0</v>
      </c>
      <c r="I99" s="68"/>
      <c r="J99" s="69"/>
      <c r="K99" s="92"/>
      <c r="L99" s="71"/>
      <c r="M99" s="72" t="s">
        <v>1486</v>
      </c>
      <c r="N99" s="90">
        <v>2800.0</v>
      </c>
      <c r="O99" s="74" t="s">
        <v>1912</v>
      </c>
      <c r="P99" s="75">
        <v>0.9277777777777778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234">
        <v>45651.0</v>
      </c>
      <c r="I100" s="84"/>
      <c r="J100" s="17"/>
      <c r="K100" s="85"/>
      <c r="L100" s="86"/>
      <c r="M100" s="72" t="s">
        <v>1833</v>
      </c>
      <c r="N100" s="90">
        <v>5543.0</v>
      </c>
      <c r="O100" s="74" t="s">
        <v>1913</v>
      </c>
      <c r="P100" s="75">
        <v>0.42083333333333334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234">
        <v>45651.0</v>
      </c>
      <c r="I101" s="84"/>
      <c r="J101" s="17"/>
      <c r="K101" s="87"/>
      <c r="L101" s="71"/>
      <c r="M101" s="72" t="s">
        <v>1345</v>
      </c>
      <c r="N101" s="90">
        <v>8888.0</v>
      </c>
      <c r="O101" s="74" t="s">
        <v>1914</v>
      </c>
      <c r="P101" s="75">
        <v>0.43333333333333335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234">
        <v>45651.0</v>
      </c>
      <c r="I102" s="68"/>
      <c r="J102" s="69"/>
      <c r="K102" s="87"/>
      <c r="L102" s="71"/>
      <c r="M102" s="72" t="s">
        <v>1486</v>
      </c>
      <c r="N102" s="90">
        <v>10080.0</v>
      </c>
      <c r="O102" s="74" t="s">
        <v>1915</v>
      </c>
      <c r="P102" s="75">
        <v>0.47847222222222224</v>
      </c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234">
        <v>45651.0</v>
      </c>
      <c r="I103" s="68"/>
      <c r="J103" s="69"/>
      <c r="K103" s="87"/>
      <c r="L103" s="71"/>
      <c r="M103" s="72" t="s">
        <v>1532</v>
      </c>
      <c r="N103" s="90">
        <v>10.0</v>
      </c>
      <c r="O103" s="74" t="s">
        <v>1675</v>
      </c>
      <c r="P103" s="75">
        <v>0.4798611111111111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234">
        <v>45651.0</v>
      </c>
      <c r="I104" s="84"/>
      <c r="J104" s="17"/>
      <c r="K104" s="93"/>
      <c r="L104" s="155"/>
      <c r="M104" s="72" t="s">
        <v>1345</v>
      </c>
      <c r="N104" s="90">
        <v>21109.0</v>
      </c>
      <c r="O104" s="74" t="s">
        <v>1916</v>
      </c>
      <c r="P104" s="75">
        <v>0.4861111111111111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234">
        <v>45651.0</v>
      </c>
      <c r="I105" s="68"/>
      <c r="J105" s="69"/>
      <c r="K105" s="87"/>
      <c r="L105" s="71"/>
      <c r="M105" s="72" t="s">
        <v>1532</v>
      </c>
      <c r="N105" s="90">
        <f>1165-N103</f>
        <v>1155</v>
      </c>
      <c r="O105" s="74" t="s">
        <v>1917</v>
      </c>
      <c r="P105" s="75">
        <v>0.4951388888888889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234">
        <v>45651.0</v>
      </c>
      <c r="I106" s="68"/>
      <c r="J106" s="69"/>
      <c r="K106" s="93"/>
      <c r="L106" s="71"/>
      <c r="M106" s="72" t="s">
        <v>20</v>
      </c>
      <c r="N106" s="90">
        <v>200.0</v>
      </c>
      <c r="O106" s="74" t="s">
        <v>356</v>
      </c>
      <c r="P106" s="75">
        <v>0.5090277777777777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234">
        <v>45651.0</v>
      </c>
      <c r="I107" s="68"/>
      <c r="J107" s="69"/>
      <c r="K107" s="93"/>
      <c r="L107" s="71"/>
      <c r="M107" s="72" t="s">
        <v>1486</v>
      </c>
      <c r="N107" s="90">
        <v>3360.0</v>
      </c>
      <c r="O107" s="74" t="s">
        <v>1918</v>
      </c>
      <c r="P107" s="75">
        <v>0.5145833333333333</v>
      </c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234">
        <v>45651.0</v>
      </c>
      <c r="I108" s="68"/>
      <c r="J108" s="69"/>
      <c r="K108" s="70"/>
      <c r="L108" s="71"/>
      <c r="M108" s="72" t="s">
        <v>1486</v>
      </c>
      <c r="N108" s="90">
        <v>5600.0</v>
      </c>
      <c r="O108" s="74" t="s">
        <v>988</v>
      </c>
      <c r="P108" s="75">
        <v>0.5222222222222223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234">
        <v>45651.0</v>
      </c>
      <c r="I109" s="68"/>
      <c r="J109" s="69"/>
      <c r="K109" s="70"/>
      <c r="L109" s="71"/>
      <c r="M109" s="72" t="s">
        <v>1486</v>
      </c>
      <c r="N109" s="90">
        <v>3920.0</v>
      </c>
      <c r="O109" s="74" t="s">
        <v>1919</v>
      </c>
      <c r="P109" s="75">
        <v>0.6395833333333333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234">
        <v>45651.0</v>
      </c>
      <c r="I110" s="68"/>
      <c r="J110" s="69"/>
      <c r="K110" s="70"/>
      <c r="L110" s="71"/>
      <c r="M110" s="72" t="s">
        <v>1486</v>
      </c>
      <c r="N110" s="90">
        <v>1120.0</v>
      </c>
      <c r="O110" s="74" t="s">
        <v>1920</v>
      </c>
      <c r="P110" s="75">
        <v>0.6583333333333333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234">
        <v>45651.0</v>
      </c>
      <c r="I111" s="68" t="s">
        <v>1850</v>
      </c>
      <c r="J111" s="69">
        <v>550.0</v>
      </c>
      <c r="K111" s="70" t="s">
        <v>155</v>
      </c>
      <c r="L111" s="71">
        <v>0.6708333333333333</v>
      </c>
      <c r="M111" s="72" t="s">
        <v>1486</v>
      </c>
      <c r="N111" s="90">
        <v>3360.0</v>
      </c>
      <c r="O111" s="74" t="s">
        <v>1918</v>
      </c>
      <c r="P111" s="75">
        <v>0.7243055555555555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234">
        <v>45651.0</v>
      </c>
      <c r="I112" s="84"/>
      <c r="J112" s="17"/>
      <c r="K112" s="85"/>
      <c r="L112" s="86"/>
      <c r="M112" s="72" t="s">
        <v>1486</v>
      </c>
      <c r="N112" s="90">
        <v>2240.0</v>
      </c>
      <c r="O112" s="74" t="s">
        <v>1908</v>
      </c>
      <c r="P112" s="75">
        <v>0.7451388888888889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234">
        <v>45651.0</v>
      </c>
      <c r="I113" s="68"/>
      <c r="J113" s="69"/>
      <c r="K113" s="70"/>
      <c r="L113" s="71"/>
      <c r="M113" s="72" t="s">
        <v>1486</v>
      </c>
      <c r="N113" s="90">
        <v>1120.0</v>
      </c>
      <c r="O113" s="74" t="s">
        <v>1920</v>
      </c>
      <c r="P113" s="75">
        <v>0.7541666666666667</v>
      </c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234">
        <v>45651.0</v>
      </c>
      <c r="I114" s="68"/>
      <c r="J114" s="69"/>
      <c r="K114" s="70"/>
      <c r="L114" s="71"/>
      <c r="M114" s="72" t="s">
        <v>1486</v>
      </c>
      <c r="N114" s="90">
        <v>1120.0</v>
      </c>
      <c r="O114" s="74" t="s">
        <v>1920</v>
      </c>
      <c r="P114" s="75">
        <v>0.7673611111111112</v>
      </c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234">
        <v>45651.0</v>
      </c>
      <c r="I115" s="68"/>
      <c r="J115" s="69"/>
      <c r="K115" s="85"/>
      <c r="L115" s="71"/>
      <c r="M115" s="72" t="s">
        <v>1486</v>
      </c>
      <c r="N115" s="90">
        <v>5600.0</v>
      </c>
      <c r="O115" s="74" t="s">
        <v>988</v>
      </c>
      <c r="P115" s="75">
        <v>0.76875</v>
      </c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234">
        <v>45651.0</v>
      </c>
      <c r="I116" s="154"/>
      <c r="J116" s="17"/>
      <c r="K116" s="92"/>
      <c r="L116" s="155"/>
      <c r="M116" s="72" t="s">
        <v>1486</v>
      </c>
      <c r="N116" s="90">
        <v>6160.0</v>
      </c>
      <c r="O116" s="74" t="s">
        <v>1921</v>
      </c>
      <c r="P116" s="75">
        <v>0.825</v>
      </c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234">
        <v>45651.0</v>
      </c>
      <c r="I117" s="154"/>
      <c r="J117" s="17"/>
      <c r="K117" s="85"/>
      <c r="L117" s="155"/>
      <c r="M117" s="72" t="s">
        <v>1486</v>
      </c>
      <c r="N117" s="90">
        <v>2240.0</v>
      </c>
      <c r="O117" s="74" t="s">
        <v>1908</v>
      </c>
      <c r="P117" s="75">
        <v>0.8361111111111111</v>
      </c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234">
        <v>45652.0</v>
      </c>
      <c r="I118" s="84"/>
      <c r="J118" s="17"/>
      <c r="K118" s="93"/>
      <c r="L118" s="155"/>
      <c r="M118" s="72" t="s">
        <v>1486</v>
      </c>
      <c r="N118" s="90">
        <v>26880.0</v>
      </c>
      <c r="O118" s="74" t="s">
        <v>1922</v>
      </c>
      <c r="P118" s="75">
        <v>0.4423611111111111</v>
      </c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234">
        <v>45652.0</v>
      </c>
      <c r="I119" s="68" t="s">
        <v>1876</v>
      </c>
      <c r="J119" s="69">
        <v>200000.0</v>
      </c>
      <c r="K119" s="70"/>
      <c r="L119" s="71">
        <v>0.7048611111111112</v>
      </c>
      <c r="M119" s="80"/>
      <c r="N119" s="90"/>
      <c r="O119" s="74"/>
      <c r="P119" s="75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234">
        <v>45652.0</v>
      </c>
      <c r="I120" s="68" t="s">
        <v>1877</v>
      </c>
      <c r="J120" s="69">
        <v>50000.0</v>
      </c>
      <c r="K120" s="70"/>
      <c r="L120" s="88" t="s">
        <v>971</v>
      </c>
      <c r="M120" s="72" t="s">
        <v>1486</v>
      </c>
      <c r="N120" s="90">
        <v>15680.0</v>
      </c>
      <c r="O120" s="74" t="s">
        <v>1923</v>
      </c>
      <c r="P120" s="75">
        <v>0.7541666666666667</v>
      </c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234">
        <v>45652.0</v>
      </c>
      <c r="I121" s="68"/>
      <c r="J121" s="69"/>
      <c r="K121" s="70"/>
      <c r="L121" s="71"/>
      <c r="M121" s="80" t="s">
        <v>1842</v>
      </c>
      <c r="N121" s="90">
        <v>57454.0</v>
      </c>
      <c r="O121" s="74"/>
      <c r="P121" s="75">
        <v>0.46875</v>
      </c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234">
        <v>45652.0</v>
      </c>
      <c r="I122" s="68"/>
      <c r="J122" s="69"/>
      <c r="K122" s="70"/>
      <c r="L122" s="71"/>
      <c r="M122" s="80" t="s">
        <v>1842</v>
      </c>
      <c r="N122" s="90">
        <v>37454.0</v>
      </c>
      <c r="O122" s="74"/>
      <c r="P122" s="75">
        <v>0.5006944444444444</v>
      </c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234">
        <v>45653.0</v>
      </c>
      <c r="I123" s="68"/>
      <c r="J123" s="69"/>
      <c r="K123" s="70"/>
      <c r="L123" s="71"/>
      <c r="M123" s="72" t="s">
        <v>1486</v>
      </c>
      <c r="N123" s="90">
        <v>25200.0</v>
      </c>
      <c r="O123" s="74" t="s">
        <v>1924</v>
      </c>
      <c r="P123" s="75">
        <v>0.9277777777777778</v>
      </c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234">
        <v>45654.0</v>
      </c>
      <c r="I124" s="68"/>
      <c r="J124" s="69"/>
      <c r="K124" s="70"/>
      <c r="L124" s="71"/>
      <c r="M124" s="72" t="s">
        <v>1833</v>
      </c>
      <c r="N124" s="90">
        <v>4439.0</v>
      </c>
      <c r="O124" s="74" t="s">
        <v>1925</v>
      </c>
      <c r="P124" s="75">
        <v>0.47847222222222224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234">
        <v>45654.0</v>
      </c>
      <c r="I125" s="84"/>
      <c r="J125" s="17"/>
      <c r="K125" s="85"/>
      <c r="L125" s="86"/>
      <c r="M125" s="72" t="s">
        <v>1486</v>
      </c>
      <c r="N125" s="90">
        <v>18031.0</v>
      </c>
      <c r="O125" s="74" t="s">
        <v>1926</v>
      </c>
      <c r="P125" s="75">
        <v>0.4909722222222222</v>
      </c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234">
        <v>45654.0</v>
      </c>
      <c r="I126" s="84"/>
      <c r="J126" s="17"/>
      <c r="K126" s="85"/>
      <c r="L126" s="86"/>
      <c r="M126" s="72" t="s">
        <v>1640</v>
      </c>
      <c r="N126" s="90">
        <v>6840.0</v>
      </c>
      <c r="O126" s="74" t="s">
        <v>1927</v>
      </c>
      <c r="P126" s="75">
        <v>0.5256944444444445</v>
      </c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234">
        <v>45654.0</v>
      </c>
      <c r="I127" s="68"/>
      <c r="J127" s="69"/>
      <c r="K127" s="87"/>
      <c r="L127" s="71"/>
      <c r="M127" s="72" t="s">
        <v>1486</v>
      </c>
      <c r="N127" s="90">
        <v>16576.0</v>
      </c>
      <c r="O127" s="74" t="s">
        <v>1928</v>
      </c>
      <c r="P127" s="75">
        <v>0.6375</v>
      </c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234">
        <v>45654.0</v>
      </c>
      <c r="I128" s="68"/>
      <c r="J128" s="69"/>
      <c r="K128" s="70"/>
      <c r="L128" s="71"/>
      <c r="M128" s="72" t="s">
        <v>1486</v>
      </c>
      <c r="N128" s="90">
        <v>26960.0</v>
      </c>
      <c r="O128" s="74" t="s">
        <v>1929</v>
      </c>
      <c r="P128" s="75">
        <v>0.8854166666666666</v>
      </c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234">
        <v>45654.0</v>
      </c>
      <c r="I129" s="68"/>
      <c r="J129" s="69"/>
      <c r="K129" s="70"/>
      <c r="L129" s="71"/>
      <c r="M129" s="72" t="s">
        <v>20</v>
      </c>
      <c r="N129" s="90">
        <v>21.0</v>
      </c>
      <c r="O129" s="74" t="s">
        <v>1930</v>
      </c>
      <c r="P129" s="75">
        <v>0.41458333333333336</v>
      </c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234">
        <v>45655.0</v>
      </c>
      <c r="I130" s="68"/>
      <c r="J130" s="69"/>
      <c r="K130" s="85"/>
      <c r="L130" s="71"/>
      <c r="M130" s="72" t="s">
        <v>1486</v>
      </c>
      <c r="N130" s="90">
        <v>21760.0</v>
      </c>
      <c r="O130" s="74" t="s">
        <v>1931</v>
      </c>
      <c r="P130" s="75">
        <v>0.4673611111111111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234">
        <v>45655.0</v>
      </c>
      <c r="I131" s="68"/>
      <c r="J131" s="69"/>
      <c r="K131" s="87"/>
      <c r="L131" s="71"/>
      <c r="M131" s="72" t="s">
        <v>1486</v>
      </c>
      <c r="N131" s="90">
        <v>21280.0</v>
      </c>
      <c r="O131" s="74" t="s">
        <v>1932</v>
      </c>
      <c r="P131" s="75">
        <v>0.5958333333333333</v>
      </c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234">
        <v>45655.0</v>
      </c>
      <c r="I132" s="68"/>
      <c r="J132" s="69"/>
      <c r="K132" s="85"/>
      <c r="L132" s="71"/>
      <c r="M132" s="72" t="s">
        <v>1486</v>
      </c>
      <c r="N132" s="90">
        <v>13440.0</v>
      </c>
      <c r="O132" s="74" t="s">
        <v>1933</v>
      </c>
      <c r="P132" s="75">
        <v>0.6791666666666667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234">
        <v>45655.0</v>
      </c>
      <c r="I133" s="68"/>
      <c r="J133" s="69"/>
      <c r="K133" s="70"/>
      <c r="L133" s="71"/>
      <c r="M133" s="72" t="s">
        <v>1486</v>
      </c>
      <c r="N133" s="90">
        <v>8400.0</v>
      </c>
      <c r="O133" s="74" t="s">
        <v>1934</v>
      </c>
      <c r="P133" s="75">
        <v>0.7423611111111111</v>
      </c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234">
        <v>45655.0</v>
      </c>
      <c r="I134" s="68" t="s">
        <v>669</v>
      </c>
      <c r="J134" s="17">
        <v>100000.0</v>
      </c>
      <c r="K134" s="70"/>
      <c r="L134" s="71">
        <v>0.7548611111111111</v>
      </c>
      <c r="M134" s="72" t="s">
        <v>1486</v>
      </c>
      <c r="N134" s="90">
        <v>7840.0</v>
      </c>
      <c r="O134" s="74" t="s">
        <v>1935</v>
      </c>
      <c r="P134" s="75">
        <v>0.8194444444444444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234">
        <v>45655.0</v>
      </c>
      <c r="I135" s="68"/>
      <c r="J135" s="69"/>
      <c r="K135" s="85"/>
      <c r="L135" s="71"/>
      <c r="M135" s="72" t="s">
        <v>1486</v>
      </c>
      <c r="N135" s="90">
        <v>19600.0</v>
      </c>
      <c r="O135" s="74" t="s">
        <v>1936</v>
      </c>
      <c r="P135" s="75">
        <v>0.9555555555555556</v>
      </c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234">
        <v>45656.0</v>
      </c>
      <c r="I136" s="68"/>
      <c r="J136" s="69"/>
      <c r="K136" s="70"/>
      <c r="L136" s="71"/>
      <c r="M136" s="72" t="s">
        <v>1640</v>
      </c>
      <c r="N136" s="90">
        <v>6840.0</v>
      </c>
      <c r="O136" s="74" t="s">
        <v>1927</v>
      </c>
      <c r="P136" s="75">
        <v>0.5416666666666666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234">
        <v>45656.0</v>
      </c>
      <c r="I137" s="68" t="s">
        <v>865</v>
      </c>
      <c r="J137" s="69">
        <v>998.0</v>
      </c>
      <c r="K137" s="70" t="s">
        <v>1937</v>
      </c>
      <c r="L137" s="71">
        <v>0.4152777777777778</v>
      </c>
      <c r="M137" s="72" t="s">
        <v>1833</v>
      </c>
      <c r="N137" s="90">
        <v>4600.0</v>
      </c>
      <c r="O137" s="74" t="s">
        <v>1686</v>
      </c>
      <c r="P137" s="75">
        <v>0.5513888888888889</v>
      </c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234">
        <v>45657.0</v>
      </c>
      <c r="I138" s="68"/>
      <c r="J138" s="69"/>
      <c r="K138" s="70"/>
      <c r="L138" s="71"/>
      <c r="M138" s="72" t="s">
        <v>1486</v>
      </c>
      <c r="N138" s="90">
        <v>12320.0</v>
      </c>
      <c r="O138" s="74" t="s">
        <v>1938</v>
      </c>
      <c r="P138" s="75">
        <v>0.7013888888888888</v>
      </c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234">
        <v>45657.0</v>
      </c>
      <c r="I139" s="68"/>
      <c r="J139" s="69"/>
      <c r="K139" s="70"/>
      <c r="L139" s="71"/>
      <c r="M139" s="72" t="s">
        <v>1486</v>
      </c>
      <c r="N139" s="90">
        <v>10660.0</v>
      </c>
      <c r="O139" s="74" t="s">
        <v>1939</v>
      </c>
      <c r="P139" s="75">
        <v>0.42986111111111114</v>
      </c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234">
        <v>45657.0</v>
      </c>
      <c r="I140" s="68"/>
      <c r="J140" s="69"/>
      <c r="K140" s="70"/>
      <c r="L140" s="71"/>
      <c r="M140" s="72" t="s">
        <v>1345</v>
      </c>
      <c r="N140" s="90">
        <v>11595.72</v>
      </c>
      <c r="O140" s="74" t="s">
        <v>1940</v>
      </c>
      <c r="P140" s="75">
        <v>0.5347222222222222</v>
      </c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234">
        <v>45657.0</v>
      </c>
      <c r="I141" s="68"/>
      <c r="J141" s="69"/>
      <c r="K141" s="85"/>
      <c r="L141" s="71"/>
      <c r="M141" s="72" t="s">
        <v>1345</v>
      </c>
      <c r="N141" s="90">
        <v>1523.84</v>
      </c>
      <c r="O141" s="74" t="s">
        <v>1941</v>
      </c>
      <c r="P141" s="75">
        <v>0.7354166666666667</v>
      </c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234">
        <v>45657.0</v>
      </c>
      <c r="I142" s="68"/>
      <c r="J142" s="69"/>
      <c r="K142" s="85"/>
      <c r="L142" s="71"/>
      <c r="M142" s="72" t="s">
        <v>1486</v>
      </c>
      <c r="N142" s="90">
        <v>10.0</v>
      </c>
      <c r="O142" s="237" t="s">
        <v>1942</v>
      </c>
      <c r="P142" s="75">
        <v>0.7381944444444445</v>
      </c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234">
        <v>45657.0</v>
      </c>
      <c r="I143" s="68"/>
      <c r="J143" s="69"/>
      <c r="K143" s="85"/>
      <c r="L143" s="71"/>
      <c r="M143" s="72" t="s">
        <v>1486</v>
      </c>
      <c r="N143" s="90">
        <f>2493-N142</f>
        <v>2483</v>
      </c>
      <c r="O143" s="238"/>
      <c r="P143" s="75">
        <v>0.75</v>
      </c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234">
        <v>45657.0</v>
      </c>
      <c r="I144" s="68"/>
      <c r="J144" s="69"/>
      <c r="K144" s="85"/>
      <c r="L144" s="71"/>
      <c r="M144" s="72" t="s">
        <v>1345</v>
      </c>
      <c r="N144" s="90">
        <v>169.15</v>
      </c>
      <c r="O144" s="74" t="s">
        <v>1943</v>
      </c>
      <c r="P144" s="75">
        <v>0.7541666666666667</v>
      </c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234">
        <v>45659.0</v>
      </c>
      <c r="I145" s="68"/>
      <c r="J145" s="69"/>
      <c r="K145" s="87"/>
      <c r="L145" s="71"/>
      <c r="M145" s="72" t="s">
        <v>20</v>
      </c>
      <c r="N145" s="90">
        <v>141.0</v>
      </c>
      <c r="O145" s="74" t="s">
        <v>1944</v>
      </c>
      <c r="P145" s="75">
        <v>0.55625</v>
      </c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234"/>
      <c r="I146" s="68"/>
      <c r="J146" s="69"/>
      <c r="K146" s="87"/>
      <c r="L146" s="71"/>
      <c r="M146" s="72"/>
      <c r="N146" s="90"/>
      <c r="O146" s="74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234"/>
      <c r="I147" s="68"/>
      <c r="J147" s="69"/>
      <c r="K147" s="87"/>
      <c r="L147" s="71"/>
      <c r="M147" s="72"/>
      <c r="N147" s="90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234"/>
      <c r="I148" s="84"/>
      <c r="J148" s="17"/>
      <c r="K148" s="85"/>
      <c r="L148" s="86"/>
      <c r="M148" s="72"/>
      <c r="N148" s="90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234"/>
      <c r="I149" s="84"/>
      <c r="J149" s="17"/>
      <c r="K149" s="85"/>
      <c r="L149" s="86"/>
      <c r="M149" s="72"/>
      <c r="N149" s="90"/>
      <c r="O149" s="74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234"/>
      <c r="I150" s="84"/>
      <c r="J150" s="17"/>
      <c r="K150" s="85"/>
      <c r="L150" s="86"/>
      <c r="M150" s="72"/>
      <c r="N150" s="90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234"/>
      <c r="I151" s="68"/>
      <c r="J151" s="69"/>
      <c r="K151" s="70"/>
      <c r="L151" s="88"/>
      <c r="M151" s="72"/>
      <c r="N151" s="90"/>
      <c r="O151" s="74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234"/>
      <c r="I152" s="68"/>
      <c r="J152" s="69"/>
      <c r="K152" s="87"/>
      <c r="L152" s="71"/>
      <c r="M152" s="72"/>
      <c r="N152" s="90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234"/>
      <c r="I153" s="68"/>
      <c r="J153" s="69"/>
      <c r="K153" s="85"/>
      <c r="L153" s="71"/>
      <c r="M153" s="72"/>
      <c r="N153" s="90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234"/>
      <c r="I154" s="84"/>
      <c r="J154" s="17"/>
      <c r="K154" s="85"/>
      <c r="L154" s="86"/>
      <c r="M154" s="72"/>
      <c r="N154" s="90"/>
      <c r="O154" s="74"/>
      <c r="P154" s="75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234"/>
      <c r="I155" s="68"/>
      <c r="J155" s="69"/>
      <c r="K155" s="70"/>
      <c r="L155" s="71"/>
      <c r="M155" s="72"/>
      <c r="N155" s="90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234"/>
      <c r="I156" s="68"/>
      <c r="J156" s="69"/>
      <c r="K156" s="70"/>
      <c r="L156" s="71"/>
      <c r="M156" s="147"/>
      <c r="N156" s="90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234"/>
      <c r="I157" s="68"/>
      <c r="J157" s="69"/>
      <c r="K157" s="87"/>
      <c r="L157" s="71"/>
      <c r="M157" s="72"/>
      <c r="N157" s="90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234"/>
      <c r="I158" s="68"/>
      <c r="J158" s="69"/>
      <c r="K158" s="87"/>
      <c r="L158" s="71"/>
      <c r="M158" s="72"/>
      <c r="N158" s="90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234"/>
      <c r="I159" s="68"/>
      <c r="J159" s="69"/>
      <c r="K159" s="70"/>
      <c r="L159" s="71"/>
      <c r="M159" s="147"/>
      <c r="N159" s="90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234"/>
      <c r="I160" s="68"/>
      <c r="J160" s="69"/>
      <c r="K160" s="93"/>
      <c r="L160" s="71"/>
      <c r="M160" s="72"/>
      <c r="N160" s="90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234"/>
      <c r="I161" s="84"/>
      <c r="J161" s="17"/>
      <c r="K161" s="93"/>
      <c r="L161" s="155"/>
      <c r="M161" s="72"/>
      <c r="N161" s="90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234"/>
      <c r="I162" s="68"/>
      <c r="J162" s="69"/>
      <c r="K162" s="87"/>
      <c r="L162" s="71"/>
      <c r="M162" s="72"/>
      <c r="N162" s="90"/>
      <c r="O162" s="74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234"/>
      <c r="I163" s="68"/>
      <c r="J163" s="69"/>
      <c r="K163" s="87"/>
      <c r="L163" s="71"/>
      <c r="M163" s="72"/>
      <c r="N163" s="90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234"/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234"/>
      <c r="I165" s="68"/>
      <c r="J165" s="69"/>
      <c r="K165" s="87"/>
      <c r="L165" s="71"/>
      <c r="M165" s="72"/>
      <c r="N165" s="90"/>
      <c r="O165" s="74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234"/>
      <c r="I166" s="68"/>
      <c r="J166" s="69"/>
      <c r="K166" s="87"/>
      <c r="L166" s="71"/>
      <c r="M166" s="72"/>
      <c r="N166" s="90"/>
      <c r="O166" s="74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234"/>
      <c r="I167" s="68"/>
      <c r="J167" s="69"/>
      <c r="K167" s="87"/>
      <c r="L167" s="71"/>
      <c r="M167" s="72"/>
      <c r="N167" s="90"/>
      <c r="O167" s="126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234"/>
      <c r="I168" s="84"/>
      <c r="J168" s="17"/>
      <c r="K168" s="85"/>
      <c r="L168" s="86"/>
      <c r="M168" s="72"/>
      <c r="N168" s="90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234"/>
      <c r="I169" s="84"/>
      <c r="J169" s="17"/>
      <c r="K169" s="85"/>
      <c r="L169" s="86"/>
      <c r="M169" s="72"/>
      <c r="N169" s="90"/>
      <c r="O169" s="74"/>
      <c r="P169" s="75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234"/>
      <c r="I170" s="68"/>
      <c r="J170" s="69"/>
      <c r="K170" s="85"/>
      <c r="L170" s="71"/>
      <c r="M170" s="72"/>
      <c r="N170" s="90"/>
      <c r="O170" s="74"/>
      <c r="P170" s="75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234"/>
      <c r="I171" s="84"/>
      <c r="J171" s="17"/>
      <c r="K171" s="85"/>
      <c r="L171" s="86"/>
      <c r="M171" s="72"/>
      <c r="N171" s="90"/>
      <c r="O171" s="74"/>
      <c r="P171" s="75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234"/>
      <c r="I172" s="68"/>
      <c r="J172" s="69"/>
      <c r="K172" s="87"/>
      <c r="L172" s="71"/>
      <c r="M172" s="72"/>
      <c r="N172" s="90"/>
      <c r="O172" s="74"/>
      <c r="P172" s="75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234"/>
      <c r="I173" s="154"/>
      <c r="J173" s="17"/>
      <c r="K173" s="87"/>
      <c r="L173" s="71"/>
      <c r="M173" s="72"/>
      <c r="N173" s="90"/>
      <c r="O173" s="74"/>
      <c r="P173" s="75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234"/>
      <c r="I174" s="84"/>
      <c r="J174" s="69"/>
      <c r="K174" s="87"/>
      <c r="L174" s="71"/>
      <c r="M174" s="72"/>
      <c r="N174" s="90"/>
      <c r="O174" s="74"/>
      <c r="P174" s="75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234"/>
      <c r="I175" s="68"/>
      <c r="J175" s="17"/>
      <c r="K175" s="85"/>
      <c r="L175" s="71"/>
      <c r="M175" s="72"/>
      <c r="N175" s="90"/>
      <c r="O175" s="74"/>
      <c r="P175" s="75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234"/>
      <c r="I176" s="84"/>
      <c r="J176" s="69"/>
      <c r="K176" s="70"/>
      <c r="L176" s="71"/>
      <c r="M176" s="72"/>
      <c r="N176" s="90"/>
      <c r="O176" s="74"/>
      <c r="P176" s="75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234"/>
      <c r="I177" s="84"/>
      <c r="J177" s="17"/>
      <c r="K177" s="85"/>
      <c r="L177" s="86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234"/>
      <c r="I178" s="68"/>
      <c r="J178" s="69"/>
      <c r="K178" s="87"/>
      <c r="L178" s="71"/>
      <c r="M178" s="72"/>
      <c r="N178" s="90"/>
      <c r="O178" s="74"/>
      <c r="P178" s="75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234"/>
      <c r="I179" s="68"/>
      <c r="J179" s="69"/>
      <c r="K179" s="87"/>
      <c r="L179" s="71"/>
      <c r="M179" s="72"/>
      <c r="N179" s="90"/>
      <c r="O179" s="74"/>
      <c r="P179" s="75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234"/>
      <c r="I180" s="84"/>
      <c r="J180" s="17"/>
      <c r="K180" s="85"/>
      <c r="L180" s="86"/>
      <c r="M180" s="72"/>
      <c r="N180" s="90"/>
      <c r="O180" s="74"/>
      <c r="P180" s="75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234"/>
      <c r="I181" s="84"/>
      <c r="J181" s="69"/>
      <c r="K181" s="70"/>
      <c r="L181" s="71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234"/>
      <c r="I182" s="68"/>
      <c r="J182" s="69"/>
      <c r="K182" s="85"/>
      <c r="L182" s="88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234"/>
      <c r="I183" s="68"/>
      <c r="J183" s="69"/>
      <c r="K183" s="87"/>
      <c r="L183" s="71"/>
      <c r="M183" s="72"/>
      <c r="N183" s="90"/>
      <c r="O183" s="74"/>
      <c r="P183" s="75"/>
      <c r="Q183" s="41"/>
      <c r="R183" s="39"/>
      <c r="S183" s="40"/>
      <c r="T183" s="76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234"/>
      <c r="I184" s="68"/>
      <c r="J184" s="69"/>
      <c r="K184" s="87"/>
      <c r="L184" s="71"/>
      <c r="M184" s="72"/>
      <c r="N184" s="90"/>
      <c r="O184" s="74"/>
      <c r="P184" s="75"/>
      <c r="Q184" s="41"/>
      <c r="R184" s="39"/>
      <c r="S184" s="40"/>
      <c r="T184" s="76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234"/>
      <c r="I185" s="68"/>
      <c r="J185" s="69"/>
      <c r="K185" s="87"/>
      <c r="L185" s="71"/>
      <c r="M185" s="72"/>
      <c r="N185" s="90"/>
      <c r="O185" s="74"/>
      <c r="P185" s="75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234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234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234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234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234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234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24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24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24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24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24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24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24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24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24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24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24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24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24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24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24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24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24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24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24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24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24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24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24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24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24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24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24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24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24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24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24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24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24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24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24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24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24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24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24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24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24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24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24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24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24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24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24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24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24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24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24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24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24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24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24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24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24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24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24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24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24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24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24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24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24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24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24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24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24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24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24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24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24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24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24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24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24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24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24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24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24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24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24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24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24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24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24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24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24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24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24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24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24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24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24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24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24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24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24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24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24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24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24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24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24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24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24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24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24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24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24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24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24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24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24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24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24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24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24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24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24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24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24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24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24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24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24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24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24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24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24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24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24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24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24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24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24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24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24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24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24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24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24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24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24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24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24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24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24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24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24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24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24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24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24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24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24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24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24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24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24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24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24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24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24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24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24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24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24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24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24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24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24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24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24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24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24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24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24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24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24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24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24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24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24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24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24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24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24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24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24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24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24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24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24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24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24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24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24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24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24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24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24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24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24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24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24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24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24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24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24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24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24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24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24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24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24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24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24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24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24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24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24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24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24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24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24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24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24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24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24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24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24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24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24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24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24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24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24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24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24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24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24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24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24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24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24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24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24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24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24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24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24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24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24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24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24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24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24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24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24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24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24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24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24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24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24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24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24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24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24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24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24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24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24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24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24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24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24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24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24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24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24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24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24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24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24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24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24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24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24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24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24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24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24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24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24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24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24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24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24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24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24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24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24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24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24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24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24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24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24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24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24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24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24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24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24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24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24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24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24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24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24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24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24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24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24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24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24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24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24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24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24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24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24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24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24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24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24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24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24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24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24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24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24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24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24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24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24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24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24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24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24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24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24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24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24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24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24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24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24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24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24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24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24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24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24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24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24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24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24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24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24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24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24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24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24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24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24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24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24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24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24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24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24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24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24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24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24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24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24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24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24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24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24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24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24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24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24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24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24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24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24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24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24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24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24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24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24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24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24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24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24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24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24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24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24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24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24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24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24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24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24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24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24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24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24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24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24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24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24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24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24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24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24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24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24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24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24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24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24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24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24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24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24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24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24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24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24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24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24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24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24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24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24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24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24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24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24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24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24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24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24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24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24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24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24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24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24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24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24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24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24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24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24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24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24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24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24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24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24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24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24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24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24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24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24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24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24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24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24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24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24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24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24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24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24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24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24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24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24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24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24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24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24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24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24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24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24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24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24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24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24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24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24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24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24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24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24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24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24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24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24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24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24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24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24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24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24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24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24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24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24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24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24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24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24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24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24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24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24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24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24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24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24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24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24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24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24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24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24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24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24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24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24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24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24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24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24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24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24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24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24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24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24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24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24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24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24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24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24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24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24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24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24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24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24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24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24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24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24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24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24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24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24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24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24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24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24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24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24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24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24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24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24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24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24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24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24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24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24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24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24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24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24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24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24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24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24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24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24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24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24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24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24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24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24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24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24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24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24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24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24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24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24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24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24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24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24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24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24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24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24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24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24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24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24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24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24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24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24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24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24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24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24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24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24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24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24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24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24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24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24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24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24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24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24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24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24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24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24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24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24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24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24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24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24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24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24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24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24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24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24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24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24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24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24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24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24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24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24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24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24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24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24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24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24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24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24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24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24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24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24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24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24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24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24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24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24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24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24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24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24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24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24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24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24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24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24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24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24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24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24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24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24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24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24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24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24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24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24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24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24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24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24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24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24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24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24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24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24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24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24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24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24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24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24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24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24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24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24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24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24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24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24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24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24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24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24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24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24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24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24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24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24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24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24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24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24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24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24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24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24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24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24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24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24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24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24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24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24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24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24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24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24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24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24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24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24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24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24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24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24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24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24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24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24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24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24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24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24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24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24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24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24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24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24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24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24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24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24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24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24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24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24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24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24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24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24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O142:O143"/>
  </mergeCells>
  <conditionalFormatting sqref="G2:P1000 X48 Z48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9.13"/>
    <col customWidth="1" min="22" max="24" width="6.88"/>
    <col customWidth="1" min="25" max="25" width="10.13"/>
    <col customWidth="1" min="26" max="26" width="6.88"/>
    <col customWidth="1" min="27" max="27" width="12.0"/>
    <col customWidth="1" min="28" max="28" width="6.88"/>
  </cols>
  <sheetData>
    <row r="1" ht="48.75" customHeight="1">
      <c r="A1" s="9"/>
      <c r="B1" s="2"/>
      <c r="C1" s="3" t="s">
        <v>1945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1946</v>
      </c>
      <c r="D4" s="21"/>
      <c r="E4" s="20"/>
      <c r="F4" s="21"/>
      <c r="G4" s="23" t="s">
        <v>1947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5">
        <f>SUMIF(M:M,"广告配套",N:N)</f>
        <v>3528.8858</v>
      </c>
      <c r="T6" s="101" t="s">
        <v>20</v>
      </c>
      <c r="U6" s="76" t="s">
        <v>1948</v>
      </c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140</v>
      </c>
      <c r="D7" s="54" t="s">
        <v>16</v>
      </c>
      <c r="E7" s="29"/>
      <c r="F7" s="30"/>
      <c r="G7" s="55">
        <v>1.0</v>
      </c>
      <c r="H7" s="241">
        <v>45597.0</v>
      </c>
      <c r="I7" s="57" t="s">
        <v>1949</v>
      </c>
      <c r="J7" s="58">
        <f>'10月收支财务报表'!C13</f>
        <v>95595.75899</v>
      </c>
      <c r="K7" s="59"/>
      <c r="L7" s="60"/>
      <c r="M7" s="61" t="s">
        <v>827</v>
      </c>
      <c r="N7" s="62">
        <v>20000.0</v>
      </c>
      <c r="O7" s="63"/>
      <c r="P7" s="64">
        <v>0.41388888888888886</v>
      </c>
      <c r="Q7" s="41"/>
      <c r="R7" s="39"/>
      <c r="S7" s="25">
        <f>SUMIF(M:M,"Fb966半限户-啊噗",N:N)</f>
        <v>1260</v>
      </c>
      <c r="T7" s="101" t="s">
        <v>1950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75">
        <v>45597.0</v>
      </c>
      <c r="I8" s="68"/>
      <c r="J8" s="69"/>
      <c r="K8" s="70"/>
      <c r="L8" s="88"/>
      <c r="M8" s="80" t="s">
        <v>1950</v>
      </c>
      <c r="N8" s="102">
        <v>210.0</v>
      </c>
      <c r="O8" s="180"/>
      <c r="P8" s="181">
        <v>0.4930555555555556</v>
      </c>
      <c r="Q8" s="41"/>
      <c r="R8" s="39"/>
      <c r="S8" s="25">
        <f>SUMIF(M:M,"一拖九半限户",N:N)</f>
        <v>1265</v>
      </c>
      <c r="T8" s="26" t="s">
        <v>1951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1607693.139</v>
      </c>
      <c r="D9" s="30"/>
      <c r="E9" s="29"/>
      <c r="F9" s="30"/>
      <c r="G9" s="66">
        <v>3.0</v>
      </c>
      <c r="H9" s="175">
        <v>45597.0</v>
      </c>
      <c r="I9" s="68"/>
      <c r="J9" s="69"/>
      <c r="K9" s="70"/>
      <c r="L9" s="88"/>
      <c r="M9" s="80" t="s">
        <v>1950</v>
      </c>
      <c r="N9" s="102">
        <v>210.0</v>
      </c>
      <c r="O9" s="74"/>
      <c r="P9" s="75">
        <v>0.5430555555555555</v>
      </c>
      <c r="Q9" s="41"/>
      <c r="R9" s="39"/>
      <c r="U9" s="40"/>
      <c r="V9" s="40"/>
      <c r="W9" s="40"/>
      <c r="X9" s="41"/>
      <c r="Y9" s="30"/>
      <c r="Z9" s="30"/>
      <c r="AA9" s="242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75">
        <v>45597.0</v>
      </c>
      <c r="I10" s="68"/>
      <c r="J10" s="69"/>
      <c r="K10" s="70"/>
      <c r="L10" s="88"/>
      <c r="M10" s="80" t="s">
        <v>1829</v>
      </c>
      <c r="N10" s="102">
        <v>2000.62</v>
      </c>
      <c r="O10" s="180"/>
      <c r="P10" s="181">
        <v>0.5430555555555555</v>
      </c>
      <c r="Q10" s="41"/>
      <c r="R10" s="39"/>
      <c r="S10" s="40"/>
      <c r="T10" s="76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1320476.256</v>
      </c>
      <c r="D11" s="30"/>
      <c r="E11" s="29"/>
      <c r="F11" s="30"/>
      <c r="G11" s="66">
        <v>5.0</v>
      </c>
      <c r="H11" s="175">
        <v>45597.0</v>
      </c>
      <c r="I11" s="84"/>
      <c r="J11" s="17"/>
      <c r="K11" s="85"/>
      <c r="L11" s="86"/>
      <c r="M11" s="72" t="s">
        <v>1952</v>
      </c>
      <c r="N11" s="90">
        <v>1230.0</v>
      </c>
      <c r="O11" s="74" t="s">
        <v>1953</v>
      </c>
      <c r="P11" s="75">
        <v>0.63125</v>
      </c>
      <c r="Q11" s="41"/>
      <c r="R11" s="39"/>
      <c r="S11" s="25">
        <f>SUMIF(M:M,"印度手工粉测试LS",N:N)</f>
        <v>8100</v>
      </c>
      <c r="T11" s="101" t="s">
        <v>1954</v>
      </c>
      <c r="U11" s="76" t="s">
        <v>1955</v>
      </c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75">
        <v>45597.0</v>
      </c>
      <c r="I12" s="68"/>
      <c r="J12" s="69"/>
      <c r="K12" s="87"/>
      <c r="L12" s="71"/>
      <c r="M12" s="80" t="s">
        <v>1829</v>
      </c>
      <c r="N12" s="90">
        <v>3000.01</v>
      </c>
      <c r="O12" s="74" t="s">
        <v>1956</v>
      </c>
      <c r="P12" s="75">
        <v>0.8013888888888889</v>
      </c>
      <c r="Q12" s="41"/>
      <c r="R12" s="39"/>
      <c r="S12" s="25">
        <f>SUMIF(M:M,"土耳其单导代投",N:N)</f>
        <v>2756</v>
      </c>
      <c r="T12" s="101" t="s">
        <v>1957</v>
      </c>
      <c r="U12" s="76" t="s">
        <v>1955</v>
      </c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287216.883</v>
      </c>
      <c r="D13" s="30"/>
      <c r="E13" s="29"/>
      <c r="F13" s="30"/>
      <c r="G13" s="66">
        <v>7.0</v>
      </c>
      <c r="H13" s="175">
        <v>45597.0</v>
      </c>
      <c r="I13" s="68"/>
      <c r="J13" s="69"/>
      <c r="K13" s="87"/>
      <c r="L13" s="71"/>
      <c r="M13" s="72" t="s">
        <v>1829</v>
      </c>
      <c r="N13" s="90">
        <v>3000.01</v>
      </c>
      <c r="O13" s="74" t="s">
        <v>1958</v>
      </c>
      <c r="P13" s="75">
        <v>0.8013888888888889</v>
      </c>
      <c r="Q13" s="41"/>
      <c r="R13" s="39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75">
        <v>45597.0</v>
      </c>
      <c r="I14" s="84"/>
      <c r="J14" s="17"/>
      <c r="K14" s="85"/>
      <c r="L14" s="86"/>
      <c r="M14" s="72" t="s">
        <v>1653</v>
      </c>
      <c r="N14" s="90">
        <v>3596.0</v>
      </c>
      <c r="O14" s="74"/>
      <c r="P14" s="75">
        <v>0.9277777777777778</v>
      </c>
      <c r="Q14" s="41"/>
      <c r="R14" s="39"/>
      <c r="S14" s="25">
        <f>SUMIF(M:M,"账单户广告费",N:N)</f>
        <v>40004.98</v>
      </c>
      <c r="T14" s="26" t="s">
        <v>1829</v>
      </c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75">
        <v>45598.0</v>
      </c>
      <c r="I15" s="68"/>
      <c r="J15" s="69"/>
      <c r="K15" s="87"/>
      <c r="L15" s="71"/>
      <c r="M15" s="61" t="s">
        <v>827</v>
      </c>
      <c r="N15" s="62">
        <v>20000.0</v>
      </c>
      <c r="O15" s="74"/>
      <c r="P15" s="75">
        <v>0.5041666666666667</v>
      </c>
      <c r="Q15" s="41"/>
      <c r="R15" s="39"/>
      <c r="S15" s="25">
        <f>SUMIF(M:M,"凤凰&amp;洛阳11月",N:N)</f>
        <v>340481.62</v>
      </c>
      <c r="T15" s="101" t="s">
        <v>1959</v>
      </c>
      <c r="U15" s="40">
        <f>S15+41143.8</f>
        <v>381625.42</v>
      </c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75">
        <v>45598.0</v>
      </c>
      <c r="I16" s="154"/>
      <c r="J16" s="17"/>
      <c r="K16" s="92"/>
      <c r="L16" s="173"/>
      <c r="M16" s="80" t="s">
        <v>1950</v>
      </c>
      <c r="N16" s="102">
        <v>210.0</v>
      </c>
      <c r="O16" s="74"/>
      <c r="P16" s="75">
        <v>0.5930555555555556</v>
      </c>
      <c r="Q16" s="41"/>
      <c r="R16" s="39"/>
      <c r="S16" s="25">
        <f>SUMIF(M:M,"启航广告费",N:N)</f>
        <v>305000</v>
      </c>
      <c r="T16" s="101" t="s">
        <v>827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75">
        <v>45598.0</v>
      </c>
      <c r="I17" s="68" t="s">
        <v>1960</v>
      </c>
      <c r="J17" s="69">
        <v>32500.0</v>
      </c>
      <c r="K17" s="70" t="s">
        <v>1961</v>
      </c>
      <c r="L17" s="71">
        <v>0.6375</v>
      </c>
      <c r="M17" s="72" t="s">
        <v>1653</v>
      </c>
      <c r="N17" s="90">
        <v>1700.0</v>
      </c>
      <c r="O17" s="74"/>
      <c r="P17" s="75">
        <v>0.8006944444444445</v>
      </c>
      <c r="Q17" s="41"/>
      <c r="R17" s="39"/>
      <c r="S17" s="25">
        <f>SUMIF(M:M,"印度企业户100u➕14%扎克伯克",N:N)</f>
        <v>2370</v>
      </c>
      <c r="T17" s="101" t="s">
        <v>1952</v>
      </c>
      <c r="U17" s="40">
        <f>S17+'10月收支财务报表'!V63</f>
        <v>3626.986</v>
      </c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75">
        <v>45598.0</v>
      </c>
      <c r="I18" s="154"/>
      <c r="J18" s="17"/>
      <c r="K18" s="92"/>
      <c r="L18" s="173"/>
      <c r="M18" s="80" t="s">
        <v>1829</v>
      </c>
      <c r="N18" s="90">
        <v>3000.83</v>
      </c>
      <c r="O18" s="74"/>
      <c r="P18" s="75">
        <v>0.94375</v>
      </c>
      <c r="Q18" s="41"/>
      <c r="R18" s="39"/>
      <c r="S18" s="25">
        <f>SUMIF(M:M,"十月二不限-泰华",N:N)</f>
        <v>25592</v>
      </c>
      <c r="T18" s="101" t="s">
        <v>1653</v>
      </c>
      <c r="U18" s="76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75">
        <v>45599.0</v>
      </c>
      <c r="I19" s="154"/>
      <c r="J19" s="17"/>
      <c r="K19" s="93"/>
      <c r="L19" s="155"/>
      <c r="M19" s="61" t="s">
        <v>827</v>
      </c>
      <c r="N19" s="62">
        <v>20000.0</v>
      </c>
      <c r="O19" s="209"/>
      <c r="P19" s="75">
        <v>0.42777777777777776</v>
      </c>
      <c r="Q19" s="41"/>
      <c r="R19" s="39"/>
      <c r="S19" s="25">
        <f>SUMIF(M:M,"GT井号户",N:N)</f>
        <v>22800</v>
      </c>
      <c r="T19" s="101" t="s">
        <v>1962</v>
      </c>
      <c r="V19" s="40"/>
      <c r="W19" s="40"/>
      <c r="X19" s="125"/>
      <c r="Y19" s="30"/>
      <c r="Z19" s="30"/>
      <c r="AA19" s="243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75">
        <v>45599.0</v>
      </c>
      <c r="I20" s="154"/>
      <c r="J20" s="17"/>
      <c r="K20" s="93"/>
      <c r="L20" s="155"/>
      <c r="M20" s="72" t="s">
        <v>1653</v>
      </c>
      <c r="N20" s="90">
        <v>1730.0</v>
      </c>
      <c r="O20" s="126"/>
      <c r="P20" s="75">
        <v>0.5347222222222222</v>
      </c>
      <c r="Q20" s="41"/>
      <c r="R20" s="39"/>
      <c r="S20" s="149">
        <f>SUMIF(M:M,"GT美国",N:N)</f>
        <v>223906.94</v>
      </c>
      <c r="T20" s="149" t="s">
        <v>1844</v>
      </c>
      <c r="U20" s="40"/>
      <c r="V20" s="40"/>
      <c r="W20" s="40"/>
      <c r="X20" s="125"/>
      <c r="Y20" s="243"/>
      <c r="Z20" s="243"/>
      <c r="AA20" s="243"/>
      <c r="AB20" s="30"/>
    </row>
    <row r="21" ht="27.75" customHeight="1">
      <c r="A21" s="29"/>
      <c r="B21" s="30"/>
      <c r="C21" s="77">
        <f>SUMIFS(J:J,H:H,"&gt;="&amp;$C$17,H:H,"&lt;="&amp;$C$19)</f>
        <v>1607693.139</v>
      </c>
      <c r="D21" s="30"/>
      <c r="E21" s="29"/>
      <c r="F21" s="30"/>
      <c r="G21" s="66">
        <v>15.0</v>
      </c>
      <c r="H21" s="175">
        <v>45599.0</v>
      </c>
      <c r="I21" s="154"/>
      <c r="J21" s="17"/>
      <c r="K21" s="93"/>
      <c r="L21" s="155"/>
      <c r="M21" s="72" t="s">
        <v>1844</v>
      </c>
      <c r="N21" s="90">
        <v>13334.43</v>
      </c>
      <c r="O21" s="126"/>
      <c r="P21" s="75">
        <v>0.5486111111111112</v>
      </c>
      <c r="Q21" s="41"/>
      <c r="R21" s="39"/>
      <c r="S21" s="25">
        <f>SUMIF(M:M,"GT欧洲",N:N)</f>
        <v>54636.06</v>
      </c>
      <c r="T21" s="101" t="s">
        <v>1835</v>
      </c>
      <c r="U21" s="40"/>
      <c r="V21" s="40"/>
      <c r="W21" s="40"/>
      <c r="X21" s="125"/>
      <c r="Y21" s="243"/>
      <c r="Z21" s="243"/>
      <c r="AA21" s="242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75">
        <v>45599.0</v>
      </c>
      <c r="I22" s="68"/>
      <c r="J22" s="17"/>
      <c r="K22" s="93"/>
      <c r="L22" s="155"/>
      <c r="M22" s="80" t="s">
        <v>1829</v>
      </c>
      <c r="N22" s="102">
        <v>3000.62</v>
      </c>
      <c r="O22" s="74"/>
      <c r="P22" s="75">
        <v>0.5770833333333333</v>
      </c>
      <c r="Q22" s="41"/>
      <c r="R22" s="39"/>
      <c r="S22" s="25">
        <f>SUMIF(M:M,"GT台湾",N:N)</f>
        <v>0</v>
      </c>
      <c r="T22" s="101" t="s">
        <v>1963</v>
      </c>
      <c r="U22" s="40"/>
      <c r="V22" s="40"/>
      <c r="W22" s="40"/>
      <c r="X22" s="125"/>
      <c r="Y22" s="243"/>
      <c r="Z22" s="242"/>
      <c r="AA22" s="243"/>
      <c r="AB22" s="30"/>
    </row>
    <row r="23" ht="27.75" customHeight="1">
      <c r="A23" s="29"/>
      <c r="B23" s="30"/>
      <c r="C23" s="79">
        <f>SUMIFS(N:N,H:H,"&gt;="&amp;$C$17,H:H,"&lt;="&amp;$C$19)</f>
        <v>1320476.256</v>
      </c>
      <c r="D23" s="30"/>
      <c r="E23" s="29"/>
      <c r="F23" s="30"/>
      <c r="G23" s="66">
        <v>17.0</v>
      </c>
      <c r="H23" s="175">
        <v>45599.0</v>
      </c>
      <c r="I23" s="68"/>
      <c r="J23" s="69"/>
      <c r="K23" s="87"/>
      <c r="L23" s="71"/>
      <c r="M23" s="80" t="s">
        <v>1950</v>
      </c>
      <c r="N23" s="102">
        <v>210.0</v>
      </c>
      <c r="O23" s="74"/>
      <c r="P23" s="75">
        <v>0.5798611111111112</v>
      </c>
      <c r="Q23" s="41"/>
      <c r="R23" s="39"/>
      <c r="S23" s="25">
        <f>SUMIF(M:M,"金融户印度-泰华Jennie",N:N)</f>
        <v>10875.27</v>
      </c>
      <c r="T23" s="101" t="s">
        <v>1964</v>
      </c>
      <c r="U23" s="40"/>
      <c r="V23" s="40"/>
      <c r="W23" s="40"/>
      <c r="X23" s="125"/>
      <c r="Y23" s="243"/>
      <c r="Z23" s="243"/>
      <c r="AA23" s="243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75">
        <v>45599.0</v>
      </c>
      <c r="I24" s="68"/>
      <c r="J24" s="69"/>
      <c r="K24" s="87"/>
      <c r="L24" s="71"/>
      <c r="M24" s="80" t="s">
        <v>1950</v>
      </c>
      <c r="N24" s="102">
        <v>210.0</v>
      </c>
      <c r="O24" s="74"/>
      <c r="P24" s="75">
        <v>0.7118055555555556</v>
      </c>
      <c r="Q24" s="41"/>
      <c r="R24" s="39"/>
      <c r="S24" s="25">
        <f>SUMIF(M:M,"深圳芳林子@SHEN 户",N:N)</f>
        <v>147899.5</v>
      </c>
      <c r="T24" s="101" t="s">
        <v>1345</v>
      </c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287216.883</v>
      </c>
      <c r="D25" s="30"/>
      <c r="E25" s="29"/>
      <c r="F25" s="30"/>
      <c r="G25" s="66">
        <v>19.0</v>
      </c>
      <c r="H25" s="175">
        <v>45599.0</v>
      </c>
      <c r="I25" s="68" t="s">
        <v>1965</v>
      </c>
      <c r="J25" s="69">
        <v>100.0</v>
      </c>
      <c r="K25" s="70" t="s">
        <v>1966</v>
      </c>
      <c r="L25" s="71">
        <v>0.7201388888888889</v>
      </c>
      <c r="M25" s="72"/>
      <c r="N25" s="90"/>
      <c r="O25" s="74"/>
      <c r="P25" s="75"/>
      <c r="Q25" s="41"/>
      <c r="R25" s="39"/>
      <c r="S25" s="40"/>
      <c r="T25" s="76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75">
        <v>45599.0</v>
      </c>
      <c r="I26" s="68" t="s">
        <v>1965</v>
      </c>
      <c r="J26" s="69">
        <v>99900.0</v>
      </c>
      <c r="K26" s="70" t="s">
        <v>1966</v>
      </c>
      <c r="L26" s="71">
        <v>0.7256944444444444</v>
      </c>
      <c r="M26" s="80" t="s">
        <v>1950</v>
      </c>
      <c r="N26" s="102">
        <v>210.0</v>
      </c>
      <c r="O26" s="74"/>
      <c r="P26" s="75">
        <v>0.7409722222222223</v>
      </c>
      <c r="Q26" s="41"/>
      <c r="R26" s="39"/>
      <c r="S26" s="109">
        <f>SUMIF(I:I,"济宁韦宁&amp;香港有意思 二不限 3%",J:J)</f>
        <v>3691.29</v>
      </c>
      <c r="T26" s="26" t="s">
        <v>1967</v>
      </c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75">
        <v>45599.0</v>
      </c>
      <c r="I27" s="68"/>
      <c r="J27" s="69"/>
      <c r="K27" s="70"/>
      <c r="L27" s="71"/>
      <c r="M27" s="72" t="s">
        <v>1968</v>
      </c>
      <c r="N27" s="90">
        <v>30000.0</v>
      </c>
      <c r="O27" s="74"/>
      <c r="P27" s="75">
        <v>0.775</v>
      </c>
      <c r="Q27" s="41"/>
      <c r="R27" s="39"/>
      <c r="S27" s="109">
        <f>SUMIF(I:I,"BH欧洲户-泰华-欧洲企业户-6+1",J:J)</f>
        <v>995.35</v>
      </c>
      <c r="T27" s="26" t="s">
        <v>1969</v>
      </c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75">
        <v>45599.0</v>
      </c>
      <c r="I28" s="68"/>
      <c r="J28" s="69"/>
      <c r="K28" s="85"/>
      <c r="L28" s="86"/>
      <c r="M28" s="80" t="s">
        <v>1829</v>
      </c>
      <c r="N28" s="90">
        <v>5000.75</v>
      </c>
      <c r="O28" s="74"/>
      <c r="P28" s="75">
        <v>0.7777777777777778</v>
      </c>
      <c r="Q28" s="41"/>
      <c r="R28" s="39"/>
      <c r="S28" s="109">
        <f>SUMIF(I:I,"欧洲三不限-泰华709-Sherry",J:J)</f>
        <v>1266</v>
      </c>
      <c r="T28" s="26" t="s">
        <v>1970</v>
      </c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75">
        <v>45599.0</v>
      </c>
      <c r="I29" s="68" t="s">
        <v>1971</v>
      </c>
      <c r="J29" s="69">
        <v>6.9</v>
      </c>
      <c r="K29" s="70"/>
      <c r="L29" s="71"/>
      <c r="M29" s="72" t="s">
        <v>1844</v>
      </c>
      <c r="N29" s="90">
        <v>2220.0</v>
      </c>
      <c r="O29" s="74" t="s">
        <v>1893</v>
      </c>
      <c r="P29" s="75">
        <v>0.8215277777777777</v>
      </c>
      <c r="Q29" s="41"/>
      <c r="R29" s="39"/>
      <c r="S29" s="109">
        <f>SUMIF(I:I,"低消1万美金户",J:J)</f>
        <v>3675</v>
      </c>
      <c r="T29" s="26" t="s">
        <v>1972</v>
      </c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75">
        <v>45599.0</v>
      </c>
      <c r="I30" s="68" t="s">
        <v>1960</v>
      </c>
      <c r="J30" s="69">
        <v>32500.0</v>
      </c>
      <c r="K30" s="70" t="s">
        <v>1961</v>
      </c>
      <c r="L30" s="71">
        <v>0.8631944444444445</v>
      </c>
      <c r="M30" s="72" t="s">
        <v>1829</v>
      </c>
      <c r="N30" s="90">
        <v>5000.69</v>
      </c>
      <c r="O30" s="74"/>
      <c r="P30" s="75">
        <v>0.8743055555555556</v>
      </c>
      <c r="Q30" s="41"/>
      <c r="R30" s="39"/>
      <c r="S30" s="109">
        <f>SUMIF(I:I,"印度企业户100u➕14%扎克伯克",J:J)</f>
        <v>1831.59</v>
      </c>
      <c r="T30" s="26" t="s">
        <v>1973</v>
      </c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75">
        <v>45599.0</v>
      </c>
      <c r="I31" s="68"/>
      <c r="J31" s="69"/>
      <c r="K31" s="70"/>
      <c r="L31" s="88"/>
      <c r="M31" s="72" t="s">
        <v>1835</v>
      </c>
      <c r="N31" s="90">
        <v>2100.0</v>
      </c>
      <c r="O31" s="74" t="s">
        <v>1716</v>
      </c>
      <c r="P31" s="75">
        <v>0.8916666666666667</v>
      </c>
      <c r="Q31" s="41"/>
      <c r="R31" s="39"/>
      <c r="S31" s="109">
        <f>SUMIF(I:I,"Chris Ryan&amp;二不限",J:J)</f>
        <v>779.34</v>
      </c>
      <c r="T31" s="26" t="s">
        <v>1974</v>
      </c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75">
        <v>45599.0</v>
      </c>
      <c r="I32" s="68" t="s">
        <v>1975</v>
      </c>
      <c r="J32" s="69">
        <v>100.0</v>
      </c>
      <c r="K32" s="85"/>
      <c r="L32" s="71">
        <v>0.94375</v>
      </c>
      <c r="M32" s="72"/>
      <c r="N32" s="90"/>
      <c r="O32" s="74"/>
      <c r="P32" s="75"/>
      <c r="Q32" s="41"/>
      <c r="R32" s="39"/>
      <c r="S32" s="109">
        <f>SUMIF(I:I,"FA-泰华印度1016（A-JIE）",J:J)</f>
        <v>12189.85</v>
      </c>
      <c r="T32" s="26" t="s">
        <v>1976</v>
      </c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75">
        <v>45599.0</v>
      </c>
      <c r="I33" s="68" t="s">
        <v>1975</v>
      </c>
      <c r="J33" s="69">
        <v>12900.0</v>
      </c>
      <c r="K33" s="70" t="s">
        <v>1977</v>
      </c>
      <c r="L33" s="71">
        <v>0.9472222222222222</v>
      </c>
      <c r="M33" s="72"/>
      <c r="N33" s="90"/>
      <c r="O33" s="74"/>
      <c r="P33" s="75"/>
      <c r="Q33" s="41"/>
      <c r="R33" s="39"/>
      <c r="S33" s="109">
        <f>SUMIF(I:I,"印度手工粉测试LS",J:J)</f>
        <v>999</v>
      </c>
      <c r="T33" s="26" t="s">
        <v>1978</v>
      </c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45600.0</v>
      </c>
      <c r="I34" s="154"/>
      <c r="J34" s="69"/>
      <c r="K34" s="87"/>
      <c r="L34" s="71"/>
      <c r="M34" s="72" t="s">
        <v>1844</v>
      </c>
      <c r="N34" s="90">
        <v>3330.0</v>
      </c>
      <c r="O34" s="74"/>
      <c r="P34" s="75">
        <v>0.3888888888888889</v>
      </c>
      <c r="Q34" s="41"/>
      <c r="R34" s="39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45600.0</v>
      </c>
      <c r="I35" s="68"/>
      <c r="J35" s="69"/>
      <c r="K35" s="85"/>
      <c r="L35" s="71"/>
      <c r="M35" s="72" t="s">
        <v>1844</v>
      </c>
      <c r="N35" s="90">
        <v>1110.0</v>
      </c>
      <c r="O35" s="74"/>
      <c r="P35" s="75">
        <v>0.40208333333333335</v>
      </c>
      <c r="Q35" s="41"/>
      <c r="R35" s="39"/>
      <c r="S35" s="109">
        <f>SUMIF(I:I,"意大利蟑螂哥",J:J)</f>
        <v>2300</v>
      </c>
      <c r="T35" s="26" t="s">
        <v>1979</v>
      </c>
      <c r="U35" s="76">
        <f>S35+'10月收支财务报表'!V27</f>
        <v>18944</v>
      </c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45600.0</v>
      </c>
      <c r="I36" s="84"/>
      <c r="J36" s="17"/>
      <c r="K36" s="85"/>
      <c r="L36" s="86"/>
      <c r="M36" s="80" t="s">
        <v>827</v>
      </c>
      <c r="N36" s="102">
        <v>20000.0</v>
      </c>
      <c r="O36" s="74"/>
      <c r="P36" s="75">
        <v>0.44166666666666665</v>
      </c>
      <c r="Q36" s="41"/>
      <c r="R36" s="39"/>
      <c r="S36" s="109">
        <f>SUMIF(I:I,"土耳其/A李信",J:J)</f>
        <v>205920</v>
      </c>
      <c r="T36" s="26" t="s">
        <v>1960</v>
      </c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45600.0</v>
      </c>
      <c r="I37" s="68"/>
      <c r="J37" s="69"/>
      <c r="K37" s="85"/>
      <c r="L37" s="86"/>
      <c r="M37" s="72" t="s">
        <v>1653</v>
      </c>
      <c r="N37" s="90">
        <v>1240.0</v>
      </c>
      <c r="O37" s="74"/>
      <c r="P37" s="75">
        <v>0.4979166666666667</v>
      </c>
      <c r="Q37" s="41"/>
      <c r="R37" s="39"/>
      <c r="S37" s="109">
        <f>SUMIF(I:I,"土耳其张总股票粉",J:J)</f>
        <v>19500</v>
      </c>
      <c r="T37" s="26" t="s">
        <v>1830</v>
      </c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45600.0</v>
      </c>
      <c r="I38" s="68"/>
      <c r="J38" s="69"/>
      <c r="K38" s="85"/>
      <c r="L38" s="86"/>
      <c r="M38" s="80" t="s">
        <v>827</v>
      </c>
      <c r="N38" s="90">
        <v>30000.0</v>
      </c>
      <c r="O38" s="74"/>
      <c r="P38" s="75">
        <v>0.5131944444444444</v>
      </c>
      <c r="Q38" s="41"/>
      <c r="R38" s="39"/>
      <c r="S38" s="109">
        <f>SUMIF(I:I,"新印度5期",J:J)</f>
        <v>100000</v>
      </c>
      <c r="T38" s="26" t="s">
        <v>1965</v>
      </c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45600.0</v>
      </c>
      <c r="I39" s="68"/>
      <c r="J39" s="69"/>
      <c r="K39" s="70"/>
      <c r="L39" s="88"/>
      <c r="M39" s="72" t="s">
        <v>1829</v>
      </c>
      <c r="N39" s="90">
        <v>5000.69</v>
      </c>
      <c r="O39" s="74"/>
      <c r="P39" s="75">
        <v>0.5159722222222223</v>
      </c>
      <c r="Q39" s="41"/>
      <c r="R39" s="39"/>
      <c r="S39" s="109">
        <f>SUMIF(I:I,"天叶印度2期",J:J)</f>
        <v>183000</v>
      </c>
      <c r="T39" s="26" t="s">
        <v>1975</v>
      </c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45600.0</v>
      </c>
      <c r="I40" s="68" t="s">
        <v>1257</v>
      </c>
      <c r="J40" s="69">
        <v>100.0</v>
      </c>
      <c r="K40" s="70"/>
      <c r="L40" s="71">
        <v>0.5548611111111111</v>
      </c>
      <c r="M40" s="72"/>
      <c r="N40" s="90"/>
      <c r="O40" s="74"/>
      <c r="P40" s="75"/>
      <c r="Q40" s="41"/>
      <c r="R40" s="39"/>
      <c r="S40" s="109">
        <f>SUMIF(I:I,"印度17期",J:J)</f>
        <v>10422</v>
      </c>
      <c r="T40" s="26" t="s">
        <v>695</v>
      </c>
      <c r="U40" s="76" t="s">
        <v>1980</v>
      </c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45600.0</v>
      </c>
      <c r="I41" s="68" t="s">
        <v>1257</v>
      </c>
      <c r="J41" s="69">
        <v>99900.0</v>
      </c>
      <c r="K41" s="70"/>
      <c r="L41" s="71">
        <v>0.5909722222222222</v>
      </c>
      <c r="M41" s="72" t="s">
        <v>1835</v>
      </c>
      <c r="N41" s="90">
        <v>2625.0</v>
      </c>
      <c r="O41" s="74" t="s">
        <v>1981</v>
      </c>
      <c r="P41" s="75">
        <v>0.6097222222222223</v>
      </c>
      <c r="Q41" s="41"/>
      <c r="R41" s="39"/>
      <c r="S41" s="109">
        <f>SUMIF(I:I,"印度18期",J:J)</f>
        <v>33121</v>
      </c>
      <c r="T41" s="26" t="s">
        <v>495</v>
      </c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45600.0</v>
      </c>
      <c r="I42" s="68"/>
      <c r="J42" s="69"/>
      <c r="K42" s="70"/>
      <c r="L42" s="88"/>
      <c r="M42" s="72" t="s">
        <v>1964</v>
      </c>
      <c r="N42" s="90">
        <v>1070.0</v>
      </c>
      <c r="O42" s="74"/>
      <c r="P42" s="75">
        <v>0.6986111111111111</v>
      </c>
      <c r="Q42" s="41"/>
      <c r="R42" s="39"/>
      <c r="S42" s="109">
        <f>SUMIF(I:I,"印度19期",J:J)</f>
        <v>200000</v>
      </c>
      <c r="T42" s="26" t="s">
        <v>1257</v>
      </c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45600.0</v>
      </c>
      <c r="I43" s="68"/>
      <c r="J43" s="69"/>
      <c r="K43" s="87"/>
      <c r="L43" s="71"/>
      <c r="M43" s="72" t="s">
        <v>1829</v>
      </c>
      <c r="N43" s="90">
        <v>5000.35</v>
      </c>
      <c r="O43" s="74"/>
      <c r="P43" s="75">
        <v>0.7708333333333334</v>
      </c>
      <c r="Q43" s="41"/>
      <c r="R43" s="39"/>
      <c r="S43" s="109">
        <f>SUMIF(I:I,"印度10期孟德",J:J)</f>
        <v>241488</v>
      </c>
      <c r="T43" s="26" t="s">
        <v>1872</v>
      </c>
      <c r="U43" s="76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45600.0</v>
      </c>
      <c r="I44" s="84"/>
      <c r="J44" s="17"/>
      <c r="K44" s="85"/>
      <c r="L44" s="86"/>
      <c r="M44" s="72" t="s">
        <v>1653</v>
      </c>
      <c r="N44" s="90">
        <v>2008.0</v>
      </c>
      <c r="O44" s="74"/>
      <c r="P44" s="75">
        <v>0.9368055555555556</v>
      </c>
      <c r="Q44" s="41"/>
      <c r="R44" s="39"/>
      <c r="S44" s="109">
        <f>SUMIF(I:I,"印度6期11/13",J:J)</f>
        <v>100000</v>
      </c>
      <c r="T44" s="26" t="s">
        <v>1982</v>
      </c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45601.0</v>
      </c>
      <c r="I45" s="68"/>
      <c r="J45" s="69"/>
      <c r="K45" s="85"/>
      <c r="L45" s="86"/>
      <c r="M45" s="80" t="s">
        <v>827</v>
      </c>
      <c r="N45" s="90">
        <v>20000.0</v>
      </c>
      <c r="O45" s="74"/>
      <c r="P45" s="75">
        <v>0.40069444444444446</v>
      </c>
      <c r="Q45" s="41"/>
      <c r="R45" s="39"/>
      <c r="S45" s="109">
        <f>SUMIF(I:I,"印度20期",J:J)</f>
        <v>200000</v>
      </c>
      <c r="T45" s="26" t="s">
        <v>1862</v>
      </c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45601.0</v>
      </c>
      <c r="I46" s="84"/>
      <c r="J46" s="17"/>
      <c r="K46" s="85"/>
      <c r="L46" s="86"/>
      <c r="M46" s="72" t="s">
        <v>1653</v>
      </c>
      <c r="N46" s="90">
        <v>3333.0</v>
      </c>
      <c r="O46" s="74" t="s">
        <v>1983</v>
      </c>
      <c r="P46" s="75">
        <v>0.40555555555555556</v>
      </c>
      <c r="Q46" s="41"/>
      <c r="R46" s="39"/>
      <c r="S46" s="109">
        <f>SUMIF(I:I,"印度21期",J:J)</f>
        <v>100000</v>
      </c>
      <c r="T46" s="26" t="s">
        <v>1984</v>
      </c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45601.0</v>
      </c>
      <c r="I47" s="68"/>
      <c r="J47" s="69"/>
      <c r="K47" s="70"/>
      <c r="L47" s="71"/>
      <c r="M47" s="72" t="s">
        <v>1844</v>
      </c>
      <c r="N47" s="90">
        <v>3330.0</v>
      </c>
      <c r="O47" s="74" t="s">
        <v>1880</v>
      </c>
      <c r="P47" s="75">
        <v>0.4083333333333333</v>
      </c>
      <c r="Q47" s="41"/>
      <c r="R47" s="39"/>
      <c r="S47" s="109">
        <f>SUMIF(I:I,"印度期权",J:J)</f>
        <v>16912</v>
      </c>
      <c r="T47" s="26" t="s">
        <v>1985</v>
      </c>
      <c r="U47" s="76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45601.0</v>
      </c>
      <c r="I48" s="68"/>
      <c r="J48" s="69"/>
      <c r="K48" s="87"/>
      <c r="L48" s="71"/>
      <c r="M48" s="72" t="s">
        <v>20</v>
      </c>
      <c r="N48" s="90">
        <v>45.0</v>
      </c>
      <c r="O48" s="74" t="s">
        <v>1986</v>
      </c>
      <c r="P48" s="75">
        <v>0.44375</v>
      </c>
      <c r="Q48" s="41"/>
      <c r="R48" s="39"/>
      <c r="S48" s="109">
        <f>SUMIF(I:I,"海哥印度粉11/26",J:J)</f>
        <v>60000</v>
      </c>
      <c r="T48" s="26" t="s">
        <v>1987</v>
      </c>
      <c r="U48" s="40"/>
      <c r="V48" s="40"/>
      <c r="W48" s="40"/>
      <c r="X48" s="41"/>
      <c r="Y48" s="30"/>
      <c r="Z48" s="74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45601.0</v>
      </c>
      <c r="I49" s="68" t="s">
        <v>495</v>
      </c>
      <c r="J49" s="69">
        <v>33121.0</v>
      </c>
      <c r="K49" s="70" t="s">
        <v>1988</v>
      </c>
      <c r="L49" s="71">
        <v>0.5645833333333333</v>
      </c>
      <c r="M49" s="72" t="s">
        <v>1835</v>
      </c>
      <c r="N49" s="90">
        <v>2100.0</v>
      </c>
      <c r="O49" s="126"/>
      <c r="P49" s="75">
        <v>0.525</v>
      </c>
      <c r="Q49" s="41"/>
      <c r="R49" s="39"/>
      <c r="S49" s="109">
        <f>SUMIF(I:I,"自媒体矩阵F B广告",J:J)</f>
        <v>14000</v>
      </c>
      <c r="T49" s="26" t="s">
        <v>1989</v>
      </c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45601.0</v>
      </c>
      <c r="I50" s="68"/>
      <c r="J50" s="69"/>
      <c r="K50" s="85"/>
      <c r="L50" s="71"/>
      <c r="M50" s="72" t="s">
        <v>1844</v>
      </c>
      <c r="N50" s="90">
        <v>5000.0</v>
      </c>
      <c r="O50" s="74"/>
      <c r="P50" s="75">
        <v>0.5868055555555556</v>
      </c>
      <c r="Q50" s="41"/>
      <c r="R50" s="39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45601.0</v>
      </c>
      <c r="I51" s="68"/>
      <c r="J51" s="69"/>
      <c r="K51" s="87"/>
      <c r="L51" s="71"/>
      <c r="M51" s="72" t="s">
        <v>1844</v>
      </c>
      <c r="N51" s="90">
        <v>2220.0</v>
      </c>
      <c r="O51" s="126"/>
      <c r="P51" s="75">
        <v>0.8104166666666667</v>
      </c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45601.0</v>
      </c>
      <c r="I52" s="68"/>
      <c r="J52" s="69"/>
      <c r="K52" s="87"/>
      <c r="L52" s="71"/>
      <c r="M52" s="72" t="s">
        <v>20</v>
      </c>
      <c r="N52" s="90">
        <v>45.0</v>
      </c>
      <c r="O52" s="74" t="s">
        <v>1986</v>
      </c>
      <c r="P52" s="75">
        <v>0.8694444444444445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45601.0</v>
      </c>
      <c r="I53" s="68"/>
      <c r="J53" s="69"/>
      <c r="K53" s="70"/>
      <c r="L53" s="88"/>
      <c r="M53" s="72" t="s">
        <v>1951</v>
      </c>
      <c r="N53" s="90">
        <v>845.0</v>
      </c>
      <c r="O53" s="74" t="s">
        <v>1990</v>
      </c>
      <c r="P53" s="75">
        <v>0.8791666666666667</v>
      </c>
      <c r="Q53" s="41"/>
      <c r="R53" s="39"/>
      <c r="S53" s="235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45601.0</v>
      </c>
      <c r="I54" s="84"/>
      <c r="J54" s="17"/>
      <c r="K54" s="85"/>
      <c r="L54" s="86"/>
      <c r="M54" s="72" t="s">
        <v>1844</v>
      </c>
      <c r="N54" s="90">
        <v>2220.0</v>
      </c>
      <c r="O54" s="74" t="s">
        <v>1893</v>
      </c>
      <c r="P54" s="75">
        <v>0.88125</v>
      </c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45601.0</v>
      </c>
      <c r="I55" s="68"/>
      <c r="J55" s="69"/>
      <c r="K55" s="87"/>
      <c r="L55" s="71"/>
      <c r="M55" s="72" t="s">
        <v>20</v>
      </c>
      <c r="N55" s="90">
        <v>211.2</v>
      </c>
      <c r="O55" s="74" t="s">
        <v>267</v>
      </c>
      <c r="P55" s="75">
        <v>0.9006944444444445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45601.0</v>
      </c>
      <c r="I56" s="154"/>
      <c r="J56" s="69"/>
      <c r="K56" s="87"/>
      <c r="L56" s="71"/>
      <c r="M56" s="72" t="s">
        <v>20</v>
      </c>
      <c r="N56" s="90">
        <v>6.9058</v>
      </c>
      <c r="O56" s="74" t="s">
        <v>1991</v>
      </c>
      <c r="P56" s="75">
        <v>0.9423611111111111</v>
      </c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45601.0</v>
      </c>
      <c r="I57" s="68"/>
      <c r="J57" s="69"/>
      <c r="K57" s="70"/>
      <c r="L57" s="71"/>
      <c r="M57" s="72" t="s">
        <v>20</v>
      </c>
      <c r="N57" s="90">
        <v>200.0</v>
      </c>
      <c r="O57" s="74" t="s">
        <v>211</v>
      </c>
      <c r="P57" s="75">
        <v>0.9604166666666667</v>
      </c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45601.0</v>
      </c>
      <c r="I58" s="68"/>
      <c r="J58" s="69"/>
      <c r="K58" s="87"/>
      <c r="L58" s="71"/>
      <c r="M58" s="72" t="s">
        <v>1829</v>
      </c>
      <c r="N58" s="90">
        <v>3000.35</v>
      </c>
      <c r="O58" s="126"/>
      <c r="P58" s="75">
        <v>0.9604166666666667</v>
      </c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45602.0</v>
      </c>
      <c r="I59" s="68"/>
      <c r="J59" s="69"/>
      <c r="K59" s="85"/>
      <c r="L59" s="71"/>
      <c r="M59" s="72" t="s">
        <v>1844</v>
      </c>
      <c r="N59" s="90">
        <v>4440.0</v>
      </c>
      <c r="O59" s="74" t="s">
        <v>1992</v>
      </c>
      <c r="P59" s="75">
        <v>0.5076388888888889</v>
      </c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45602.0</v>
      </c>
      <c r="I60" s="68"/>
      <c r="J60" s="69"/>
      <c r="K60" s="85"/>
      <c r="L60" s="71"/>
      <c r="M60" s="72" t="s">
        <v>1844</v>
      </c>
      <c r="N60" s="90">
        <v>4440.0</v>
      </c>
      <c r="O60" s="74" t="s">
        <v>1992</v>
      </c>
      <c r="P60" s="75">
        <v>0.5416666666666666</v>
      </c>
      <c r="Q60" s="41"/>
      <c r="R60" s="39"/>
      <c r="S60" s="76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45602.0</v>
      </c>
      <c r="I61" s="68" t="s">
        <v>1872</v>
      </c>
      <c r="J61" s="69">
        <v>100.0</v>
      </c>
      <c r="K61" s="85"/>
      <c r="L61" s="71">
        <v>0.6368055555555555</v>
      </c>
      <c r="M61" s="72"/>
      <c r="N61" s="90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45602.0</v>
      </c>
      <c r="I62" s="68" t="s">
        <v>1872</v>
      </c>
      <c r="J62" s="69">
        <v>13400.0</v>
      </c>
      <c r="K62" s="87"/>
      <c r="L62" s="71">
        <v>0.6381944444444444</v>
      </c>
      <c r="M62" s="72" t="s">
        <v>1844</v>
      </c>
      <c r="N62" s="90">
        <v>2220.0</v>
      </c>
      <c r="O62" s="74" t="s">
        <v>1993</v>
      </c>
      <c r="P62" s="75">
        <v>0.6430555555555556</v>
      </c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45602.0</v>
      </c>
      <c r="I63" s="68"/>
      <c r="J63" s="69"/>
      <c r="K63" s="87"/>
      <c r="L63" s="71"/>
      <c r="M63" s="72" t="s">
        <v>1653</v>
      </c>
      <c r="N63" s="90">
        <v>887.0</v>
      </c>
      <c r="O63" s="74"/>
      <c r="P63" s="75">
        <v>0.8638888888888889</v>
      </c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45602.0</v>
      </c>
      <c r="I64" s="68"/>
      <c r="J64" s="69"/>
      <c r="K64" s="87"/>
      <c r="L64" s="71"/>
      <c r="M64" s="72" t="s">
        <v>1959</v>
      </c>
      <c r="N64" s="90">
        <v>34437.0</v>
      </c>
      <c r="O64" s="74"/>
      <c r="P64" s="75">
        <v>0.8902777777777777</v>
      </c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45602.0</v>
      </c>
      <c r="I65" s="68"/>
      <c r="J65" s="69"/>
      <c r="K65" s="70"/>
      <c r="L65" s="88"/>
      <c r="M65" s="80" t="s">
        <v>827</v>
      </c>
      <c r="N65" s="90">
        <v>20000.0</v>
      </c>
      <c r="O65" s="74"/>
      <c r="P65" s="75">
        <v>0.9159722222222222</v>
      </c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45602.0</v>
      </c>
      <c r="I66" s="68" t="s">
        <v>702</v>
      </c>
      <c r="J66" s="69">
        <v>3691.29</v>
      </c>
      <c r="K66" s="70"/>
      <c r="L66" s="71">
        <v>0.4236111111111111</v>
      </c>
      <c r="M66" s="147"/>
      <c r="N66" s="90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45602.0</v>
      </c>
      <c r="I67" s="68" t="s">
        <v>1979</v>
      </c>
      <c r="J67" s="69">
        <v>2000.0</v>
      </c>
      <c r="K67" s="70" t="s">
        <v>981</v>
      </c>
      <c r="L67" s="71">
        <v>0.4236111111111111</v>
      </c>
      <c r="M67" s="103"/>
      <c r="N67" s="236"/>
      <c r="O67" s="103"/>
      <c r="P67" s="103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45603.0</v>
      </c>
      <c r="I68" s="68"/>
      <c r="J68" s="69"/>
      <c r="K68" s="87"/>
      <c r="L68" s="71"/>
      <c r="M68" s="72" t="s">
        <v>1954</v>
      </c>
      <c r="N68" s="90">
        <v>2700.0</v>
      </c>
      <c r="O68" s="74" t="s">
        <v>1994</v>
      </c>
      <c r="P68" s="75">
        <v>0.4305555555555556</v>
      </c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45603.0</v>
      </c>
      <c r="I69" s="68"/>
      <c r="J69" s="69"/>
      <c r="K69" s="85"/>
      <c r="L69" s="71"/>
      <c r="M69" s="72" t="s">
        <v>1844</v>
      </c>
      <c r="N69" s="90">
        <v>11100.0</v>
      </c>
      <c r="O69" s="74" t="s">
        <v>1995</v>
      </c>
      <c r="P69" s="75">
        <v>0.44305555555555554</v>
      </c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45603.0</v>
      </c>
      <c r="I70" s="68"/>
      <c r="J70" s="69"/>
      <c r="K70" s="70"/>
      <c r="L70" s="71"/>
      <c r="M70" s="72" t="s">
        <v>1835</v>
      </c>
      <c r="N70" s="90">
        <v>3150.0</v>
      </c>
      <c r="O70" s="74"/>
      <c r="P70" s="75">
        <v>0.4576388888888889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45603.0</v>
      </c>
      <c r="I71" s="68" t="s">
        <v>1975</v>
      </c>
      <c r="J71" s="69">
        <v>20000.0</v>
      </c>
      <c r="K71" s="87"/>
      <c r="L71" s="71">
        <v>0.5215277777777778</v>
      </c>
      <c r="M71" s="72" t="s">
        <v>1844</v>
      </c>
      <c r="N71" s="90">
        <v>8325.0</v>
      </c>
      <c r="O71" s="74" t="s">
        <v>1996</v>
      </c>
      <c r="P71" s="75">
        <v>0.5576388888888889</v>
      </c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45603.0</v>
      </c>
      <c r="I72" s="68" t="s">
        <v>1257</v>
      </c>
      <c r="J72" s="69">
        <v>100000.0</v>
      </c>
      <c r="K72" s="85"/>
      <c r="L72" s="71">
        <v>0.5944444444444444</v>
      </c>
      <c r="M72" s="72" t="s">
        <v>1835</v>
      </c>
      <c r="N72" s="90">
        <v>1415.05</v>
      </c>
      <c r="O72" s="126"/>
      <c r="P72" s="75">
        <v>0.5979166666666667</v>
      </c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45603.0</v>
      </c>
      <c r="I73" s="68"/>
      <c r="J73" s="69"/>
      <c r="K73" s="93"/>
      <c r="L73" s="71"/>
      <c r="M73" s="72" t="s">
        <v>20</v>
      </c>
      <c r="N73" s="90">
        <v>209.38</v>
      </c>
      <c r="O73" s="74" t="s">
        <v>275</v>
      </c>
      <c r="P73" s="75">
        <v>0.6027777777777777</v>
      </c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45603.0</v>
      </c>
      <c r="I74" s="68"/>
      <c r="J74" s="69"/>
      <c r="K74" s="87"/>
      <c r="L74" s="71"/>
      <c r="M74" s="72" t="s">
        <v>20</v>
      </c>
      <c r="N74" s="90">
        <v>45.0</v>
      </c>
      <c r="O74" s="74" t="s">
        <v>1997</v>
      </c>
      <c r="P74" s="75">
        <v>0.6652777777777777</v>
      </c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45603.0</v>
      </c>
      <c r="I75" s="154"/>
      <c r="J75" s="69"/>
      <c r="K75" s="87"/>
      <c r="L75" s="71"/>
      <c r="M75" s="72" t="s">
        <v>20</v>
      </c>
      <c r="N75" s="90">
        <v>49.0</v>
      </c>
      <c r="O75" s="74" t="s">
        <v>1998</v>
      </c>
      <c r="P75" s="75">
        <v>0.8680555555555556</v>
      </c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45603.0</v>
      </c>
      <c r="I76" s="68"/>
      <c r="J76" s="69"/>
      <c r="K76" s="85"/>
      <c r="L76" s="71"/>
      <c r="M76" s="72" t="s">
        <v>1951</v>
      </c>
      <c r="N76" s="90">
        <v>420.0</v>
      </c>
      <c r="O76" s="74" t="s">
        <v>1999</v>
      </c>
      <c r="P76" s="75">
        <v>0.8951388888888889</v>
      </c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45603.0</v>
      </c>
      <c r="I77" s="68"/>
      <c r="J77" s="69"/>
      <c r="K77" s="87"/>
      <c r="L77" s="71"/>
      <c r="M77" s="72" t="s">
        <v>1829</v>
      </c>
      <c r="N77" s="90">
        <v>3000.06</v>
      </c>
      <c r="O77" s="126"/>
      <c r="P77" s="75">
        <v>0.9013888888888889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45604.0</v>
      </c>
      <c r="I78" s="68"/>
      <c r="J78" s="69"/>
      <c r="K78" s="70"/>
      <c r="L78" s="71"/>
      <c r="M78" s="72" t="s">
        <v>1959</v>
      </c>
      <c r="N78" s="90">
        <v>10481.0</v>
      </c>
      <c r="O78" s="74" t="s">
        <v>2000</v>
      </c>
      <c r="P78" s="75">
        <v>0.9902777777777778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45604.0</v>
      </c>
      <c r="I79" s="68"/>
      <c r="J79" s="69"/>
      <c r="K79" s="70"/>
      <c r="L79" s="71"/>
      <c r="M79" s="72" t="s">
        <v>1653</v>
      </c>
      <c r="N79" s="90">
        <v>1242.0</v>
      </c>
      <c r="O79" s="74"/>
      <c r="P79" s="75">
        <v>0.01597222222222222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45604.0</v>
      </c>
      <c r="I80" s="68" t="s">
        <v>1960</v>
      </c>
      <c r="J80" s="69">
        <v>32500.0</v>
      </c>
      <c r="K80" s="70" t="s">
        <v>1961</v>
      </c>
      <c r="L80" s="71">
        <v>0.07291666666666667</v>
      </c>
      <c r="M80" s="72" t="s">
        <v>1954</v>
      </c>
      <c r="N80" s="90">
        <f>200*27</f>
        <v>5400</v>
      </c>
      <c r="O80" s="74" t="s">
        <v>2001</v>
      </c>
      <c r="P80" s="75">
        <v>0.4097222222222222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45604.0</v>
      </c>
      <c r="I81" s="68"/>
      <c r="J81" s="69"/>
      <c r="K81" s="70"/>
      <c r="L81" s="71"/>
      <c r="M81" s="72" t="s">
        <v>1959</v>
      </c>
      <c r="N81" s="90">
        <v>11900.0</v>
      </c>
      <c r="O81" s="74" t="s">
        <v>2002</v>
      </c>
      <c r="P81" s="75">
        <v>0.53125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45604.0</v>
      </c>
      <c r="I82" s="154"/>
      <c r="J82" s="17"/>
      <c r="K82" s="92"/>
      <c r="L82" s="173"/>
      <c r="M82" s="72" t="s">
        <v>1844</v>
      </c>
      <c r="N82" s="90">
        <v>10545.0</v>
      </c>
      <c r="O82" s="74" t="s">
        <v>2003</v>
      </c>
      <c r="P82" s="75">
        <v>0.5611111111111111</v>
      </c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45604.0</v>
      </c>
      <c r="I83" s="68"/>
      <c r="J83" s="69"/>
      <c r="K83" s="87"/>
      <c r="L83" s="71"/>
      <c r="M83" s="72" t="s">
        <v>1835</v>
      </c>
      <c r="N83" s="90">
        <v>8925.0</v>
      </c>
      <c r="O83" s="74" t="s">
        <v>2004</v>
      </c>
      <c r="P83" s="75">
        <v>0.5638888888888889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45604.0</v>
      </c>
      <c r="I84" s="68"/>
      <c r="J84" s="69"/>
      <c r="K84" s="87"/>
      <c r="L84" s="71"/>
      <c r="M84" s="72" t="s">
        <v>1959</v>
      </c>
      <c r="N84" s="90">
        <v>11900.0</v>
      </c>
      <c r="O84" s="74" t="s">
        <v>2002</v>
      </c>
      <c r="P84" s="75">
        <v>0.5652777777777778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45604.0</v>
      </c>
      <c r="I85" s="68"/>
      <c r="J85" s="69"/>
      <c r="K85" s="87"/>
      <c r="L85" s="71"/>
      <c r="M85" s="72" t="s">
        <v>1844</v>
      </c>
      <c r="N85" s="90">
        <v>4440.0</v>
      </c>
      <c r="O85" s="74" t="s">
        <v>2005</v>
      </c>
      <c r="P85" s="75">
        <v>0.6027777777777777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45604.0</v>
      </c>
      <c r="I86" s="68"/>
      <c r="J86" s="69"/>
      <c r="K86" s="87"/>
      <c r="L86" s="71"/>
      <c r="M86" s="72" t="s">
        <v>1844</v>
      </c>
      <c r="N86" s="90">
        <v>4440.0</v>
      </c>
      <c r="O86" s="74" t="s">
        <v>2005</v>
      </c>
      <c r="P86" s="75">
        <v>0.6305555555555555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45604.0</v>
      </c>
      <c r="I87" s="68" t="s">
        <v>1872</v>
      </c>
      <c r="J87" s="69">
        <v>100.0</v>
      </c>
      <c r="K87" s="70"/>
      <c r="L87" s="71">
        <v>0.6430555555555556</v>
      </c>
      <c r="M87" s="103"/>
      <c r="N87" s="236"/>
      <c r="O87" s="103"/>
      <c r="P87" s="103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45604.0</v>
      </c>
      <c r="I88" s="68" t="s">
        <v>1872</v>
      </c>
      <c r="J88" s="69">
        <v>26900.0</v>
      </c>
      <c r="K88" s="70" t="s">
        <v>2006</v>
      </c>
      <c r="L88" s="71">
        <v>0.6451388888888889</v>
      </c>
      <c r="M88" s="72" t="s">
        <v>1844</v>
      </c>
      <c r="N88" s="90">
        <v>1110.0</v>
      </c>
      <c r="O88" s="74" t="s">
        <v>546</v>
      </c>
      <c r="P88" s="75">
        <v>0.6666666666666666</v>
      </c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45604.0</v>
      </c>
      <c r="I89" s="68"/>
      <c r="J89" s="69"/>
      <c r="K89" s="85"/>
      <c r="L89" s="71"/>
      <c r="M89" s="72" t="s">
        <v>1959</v>
      </c>
      <c r="N89" s="90">
        <v>23800.0</v>
      </c>
      <c r="O89" s="74" t="s">
        <v>2007</v>
      </c>
      <c r="P89" s="75">
        <v>0.7131944444444445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45604.0</v>
      </c>
      <c r="I90" s="68"/>
      <c r="J90" s="69"/>
      <c r="K90" s="70"/>
      <c r="L90" s="71"/>
      <c r="M90" s="72" t="s">
        <v>20</v>
      </c>
      <c r="N90" s="90">
        <v>125.71</v>
      </c>
      <c r="O90" s="74" t="s">
        <v>1202</v>
      </c>
      <c r="P90" s="75">
        <v>0.7277777777777777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45604.0</v>
      </c>
      <c r="I91" s="68" t="s">
        <v>2008</v>
      </c>
      <c r="J91" s="69">
        <v>995.35</v>
      </c>
      <c r="K91" s="70" t="s">
        <v>155</v>
      </c>
      <c r="L91" s="71">
        <v>0.7347222222222223</v>
      </c>
      <c r="M91" s="72" t="s">
        <v>1653</v>
      </c>
      <c r="N91" s="90">
        <v>1866.0</v>
      </c>
      <c r="O91" s="74" t="s">
        <v>2009</v>
      </c>
      <c r="P91" s="75">
        <v>0.7923611111111111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45604.0</v>
      </c>
      <c r="I92" s="68"/>
      <c r="J92" s="69"/>
      <c r="K92" s="70"/>
      <c r="L92" s="88"/>
      <c r="M92" s="72" t="s">
        <v>1959</v>
      </c>
      <c r="N92" s="90">
        <v>35700.0</v>
      </c>
      <c r="O92" s="74" t="s">
        <v>2010</v>
      </c>
      <c r="P92" s="75">
        <v>0.8236111111111111</v>
      </c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45604.0</v>
      </c>
      <c r="I93" s="68"/>
      <c r="J93" s="69"/>
      <c r="K93" s="70"/>
      <c r="L93" s="88"/>
      <c r="M93" s="72" t="s">
        <v>20</v>
      </c>
      <c r="N93" s="90">
        <v>45.0</v>
      </c>
      <c r="O93" s="74" t="s">
        <v>1997</v>
      </c>
      <c r="P93" s="75">
        <v>0.9020833333333333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45604.0</v>
      </c>
      <c r="I94" s="68"/>
      <c r="J94" s="69"/>
      <c r="K94" s="70"/>
      <c r="L94" s="71"/>
      <c r="M94" s="72" t="s">
        <v>1959</v>
      </c>
      <c r="N94" s="90">
        <v>51170.0</v>
      </c>
      <c r="O94" s="74" t="s">
        <v>2011</v>
      </c>
      <c r="P94" s="75">
        <v>0.9368055555555556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45604.0</v>
      </c>
      <c r="I95" s="68" t="s">
        <v>1960</v>
      </c>
      <c r="J95" s="69">
        <v>32500.0</v>
      </c>
      <c r="K95" s="70" t="s">
        <v>1961</v>
      </c>
      <c r="L95" s="71">
        <v>0.99375</v>
      </c>
      <c r="M95" s="147"/>
      <c r="N95" s="90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45605.0</v>
      </c>
      <c r="I96" s="68"/>
      <c r="J96" s="69"/>
      <c r="K96" s="87"/>
      <c r="L96" s="71"/>
      <c r="M96" s="72" t="s">
        <v>1653</v>
      </c>
      <c r="N96" s="90">
        <v>1212.0</v>
      </c>
      <c r="O96" s="74" t="s">
        <v>2012</v>
      </c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45605.0</v>
      </c>
      <c r="I97" s="68" t="s">
        <v>1975</v>
      </c>
      <c r="J97" s="69">
        <v>50000.0</v>
      </c>
      <c r="K97" s="85"/>
      <c r="L97" s="71">
        <v>0.50625</v>
      </c>
      <c r="M97" s="72" t="s">
        <v>20</v>
      </c>
      <c r="N97" s="90">
        <v>45.0</v>
      </c>
      <c r="O97" s="74" t="s">
        <v>1997</v>
      </c>
      <c r="P97" s="75">
        <v>0.5548611111111111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45605.0</v>
      </c>
      <c r="I98" s="68" t="s">
        <v>1872</v>
      </c>
      <c r="J98" s="69">
        <v>100.0</v>
      </c>
      <c r="K98" s="85"/>
      <c r="L98" s="71">
        <v>0.5805555555555556</v>
      </c>
      <c r="M98" s="147"/>
      <c r="N98" s="90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45605.0</v>
      </c>
      <c r="I99" s="68" t="s">
        <v>1872</v>
      </c>
      <c r="J99" s="69">
        <v>107900.0</v>
      </c>
      <c r="K99" s="92"/>
      <c r="L99" s="71">
        <v>0.5833333333333334</v>
      </c>
      <c r="M99" s="72" t="s">
        <v>1959</v>
      </c>
      <c r="N99" s="90">
        <v>26220.0</v>
      </c>
      <c r="O99" s="74" t="s">
        <v>2013</v>
      </c>
      <c r="P99" s="75">
        <v>0.6965277777777777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45605.0</v>
      </c>
      <c r="I100" s="84"/>
      <c r="J100" s="17"/>
      <c r="K100" s="85"/>
      <c r="L100" s="86"/>
      <c r="M100" s="72" t="s">
        <v>827</v>
      </c>
      <c r="N100" s="90">
        <v>15000.0</v>
      </c>
      <c r="O100" s="74"/>
      <c r="P100" s="75">
        <v>0.6993055555555555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45605.0</v>
      </c>
      <c r="I101" s="84"/>
      <c r="J101" s="17"/>
      <c r="K101" s="87"/>
      <c r="L101" s="71"/>
      <c r="M101" s="72" t="s">
        <v>1653</v>
      </c>
      <c r="N101" s="90">
        <v>3636.0</v>
      </c>
      <c r="O101" s="126"/>
      <c r="P101" s="75">
        <v>0.7284722222222222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45605.0</v>
      </c>
      <c r="I102" s="68"/>
      <c r="J102" s="69"/>
      <c r="K102" s="87"/>
      <c r="L102" s="71"/>
      <c r="M102" s="72" t="s">
        <v>1959</v>
      </c>
      <c r="N102" s="90">
        <v>28500.0</v>
      </c>
      <c r="O102" s="74"/>
      <c r="P102" s="75">
        <v>0.6715277777777777</v>
      </c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45607.0</v>
      </c>
      <c r="I103" s="68"/>
      <c r="J103" s="69"/>
      <c r="K103" s="87"/>
      <c r="L103" s="71"/>
      <c r="M103" s="72" t="s">
        <v>20</v>
      </c>
      <c r="N103" s="90">
        <v>250.5</v>
      </c>
      <c r="O103" s="74" t="s">
        <v>2014</v>
      </c>
      <c r="P103" s="75">
        <v>0.475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45607.0</v>
      </c>
      <c r="I104" s="84"/>
      <c r="J104" s="17"/>
      <c r="K104" s="93"/>
      <c r="L104" s="155"/>
      <c r="M104" s="72" t="s">
        <v>20</v>
      </c>
      <c r="N104" s="90">
        <v>45.0</v>
      </c>
      <c r="O104" s="74" t="s">
        <v>1997</v>
      </c>
      <c r="P104" s="75">
        <v>0.5090277777777777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45607.0</v>
      </c>
      <c r="I105" s="68"/>
      <c r="J105" s="69"/>
      <c r="K105" s="87"/>
      <c r="L105" s="71"/>
      <c r="M105" s="72" t="s">
        <v>1959</v>
      </c>
      <c r="N105" s="90">
        <v>14820.0</v>
      </c>
      <c r="O105" s="74" t="s">
        <v>2015</v>
      </c>
      <c r="P105" s="75">
        <v>0.5541666666666667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45607.0</v>
      </c>
      <c r="I106" s="68" t="s">
        <v>1872</v>
      </c>
      <c r="J106" s="69">
        <v>397.0</v>
      </c>
      <c r="K106" s="93"/>
      <c r="L106" s="71">
        <v>0.6854166666666667</v>
      </c>
      <c r="M106" s="72"/>
      <c r="N106" s="90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45607.0</v>
      </c>
      <c r="I107" s="68" t="s">
        <v>1872</v>
      </c>
      <c r="J107" s="69">
        <v>89000.0</v>
      </c>
      <c r="K107" s="93"/>
      <c r="L107" s="71">
        <v>0.6861111111111111</v>
      </c>
      <c r="M107" s="147"/>
      <c r="N107" s="90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45608.0</v>
      </c>
      <c r="I108" s="68" t="s">
        <v>1960</v>
      </c>
      <c r="J108" s="69">
        <v>32500.0</v>
      </c>
      <c r="K108" s="70" t="s">
        <v>1961</v>
      </c>
      <c r="L108" s="71">
        <v>0.48680555555555555</v>
      </c>
      <c r="M108" s="72" t="s">
        <v>1844</v>
      </c>
      <c r="N108" s="90">
        <v>8880.0</v>
      </c>
      <c r="O108" s="74" t="s">
        <v>1887</v>
      </c>
      <c r="P108" s="75">
        <v>0.6201388888888889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45608.0</v>
      </c>
      <c r="I109" s="68"/>
      <c r="J109" s="69"/>
      <c r="K109" s="70"/>
      <c r="L109" s="71"/>
      <c r="M109" s="72" t="s">
        <v>1835</v>
      </c>
      <c r="N109" s="90">
        <v>3150.0</v>
      </c>
      <c r="O109" s="74" t="s">
        <v>1721</v>
      </c>
      <c r="P109" s="75">
        <v>0.6256944444444444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45608.0</v>
      </c>
      <c r="I110" s="68"/>
      <c r="J110" s="69"/>
      <c r="K110" s="70"/>
      <c r="L110" s="71"/>
      <c r="M110" s="72" t="s">
        <v>1844</v>
      </c>
      <c r="N110" s="90">
        <v>6660.0</v>
      </c>
      <c r="O110" s="74" t="s">
        <v>2016</v>
      </c>
      <c r="P110" s="75">
        <v>0.6277777777777778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45608.0</v>
      </c>
      <c r="I111" s="154"/>
      <c r="J111" s="17"/>
      <c r="K111" s="92"/>
      <c r="L111" s="173"/>
      <c r="M111" s="72" t="s">
        <v>1835</v>
      </c>
      <c r="N111" s="90">
        <v>2625.0</v>
      </c>
      <c r="O111" s="74" t="s">
        <v>1981</v>
      </c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45608.0</v>
      </c>
      <c r="I112" s="84"/>
      <c r="J112" s="17"/>
      <c r="K112" s="85"/>
      <c r="L112" s="86"/>
      <c r="M112" s="72" t="s">
        <v>1345</v>
      </c>
      <c r="N112" s="90">
        <v>3939.0</v>
      </c>
      <c r="O112" s="74" t="s">
        <v>2017</v>
      </c>
      <c r="P112" s="75">
        <v>0.7388888888888889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45608.0</v>
      </c>
      <c r="I113" s="68" t="s">
        <v>2018</v>
      </c>
      <c r="J113" s="69">
        <v>1266.0</v>
      </c>
      <c r="K113" s="70" t="s">
        <v>155</v>
      </c>
      <c r="L113" s="71">
        <v>0.8534722222222222</v>
      </c>
      <c r="M113" s="72" t="s">
        <v>1959</v>
      </c>
      <c r="N113" s="90">
        <v>22340.0</v>
      </c>
      <c r="O113" s="126"/>
      <c r="P113" s="75">
        <v>0.9291666666666667</v>
      </c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45609.0</v>
      </c>
      <c r="I114" s="154"/>
      <c r="J114" s="17"/>
      <c r="K114" s="93"/>
      <c r="L114" s="155"/>
      <c r="M114" s="72" t="s">
        <v>1345</v>
      </c>
      <c r="N114" s="90">
        <v>12342.2</v>
      </c>
      <c r="O114" s="74" t="s">
        <v>2019</v>
      </c>
      <c r="P114" s="75">
        <v>0.5534722222222223</v>
      </c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45609.0</v>
      </c>
      <c r="I115" s="68" t="s">
        <v>2020</v>
      </c>
      <c r="J115" s="69">
        <v>14000.0</v>
      </c>
      <c r="K115" s="85"/>
      <c r="L115" s="71">
        <v>0.6013888888888889</v>
      </c>
      <c r="M115" s="80" t="s">
        <v>20</v>
      </c>
      <c r="N115" s="90">
        <v>83.06</v>
      </c>
      <c r="O115" s="74" t="s">
        <v>2021</v>
      </c>
      <c r="P115" s="75">
        <v>0.6541666666666667</v>
      </c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45609.0</v>
      </c>
      <c r="I116" s="154"/>
      <c r="J116" s="17"/>
      <c r="K116" s="92"/>
      <c r="L116" s="155"/>
      <c r="M116" s="80" t="s">
        <v>1968</v>
      </c>
      <c r="N116" s="90">
        <v>100000.0</v>
      </c>
      <c r="O116" s="126"/>
      <c r="P116" s="75">
        <v>0.7506944444444444</v>
      </c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45609.0</v>
      </c>
      <c r="I117" s="154"/>
      <c r="J117" s="17"/>
      <c r="K117" s="85"/>
      <c r="L117" s="155"/>
      <c r="M117" s="72" t="s">
        <v>1345</v>
      </c>
      <c r="N117" s="90">
        <v>3454.2</v>
      </c>
      <c r="O117" s="74" t="s">
        <v>601</v>
      </c>
      <c r="P117" s="75">
        <v>0.8180555555555555</v>
      </c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45609.0</v>
      </c>
      <c r="I118" s="84"/>
      <c r="J118" s="17"/>
      <c r="K118" s="93"/>
      <c r="L118" s="155"/>
      <c r="M118" s="80" t="s">
        <v>827</v>
      </c>
      <c r="N118" s="90">
        <v>15000.0</v>
      </c>
      <c r="O118" s="126"/>
      <c r="P118" s="75">
        <v>0.8902777777777777</v>
      </c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45609.0</v>
      </c>
      <c r="I119" s="68"/>
      <c r="J119" s="69"/>
      <c r="K119" s="70"/>
      <c r="L119" s="71"/>
      <c r="M119" s="80" t="s">
        <v>20</v>
      </c>
      <c r="N119" s="90">
        <v>222.0</v>
      </c>
      <c r="O119" s="74" t="s">
        <v>2022</v>
      </c>
      <c r="P119" s="75">
        <v>0.9173611111111111</v>
      </c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45610.0</v>
      </c>
      <c r="I120" s="68" t="s">
        <v>1960</v>
      </c>
      <c r="J120" s="69">
        <v>32500.0</v>
      </c>
      <c r="K120" s="70" t="s">
        <v>1961</v>
      </c>
      <c r="L120" s="71">
        <v>0.9979166666666667</v>
      </c>
      <c r="M120" s="80"/>
      <c r="N120" s="90"/>
      <c r="O120" s="126"/>
      <c r="P120" s="174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45610.0</v>
      </c>
      <c r="I121" s="68" t="s">
        <v>2023</v>
      </c>
      <c r="J121" s="69">
        <v>3675.0</v>
      </c>
      <c r="K121" s="70" t="s">
        <v>155</v>
      </c>
      <c r="L121" s="71">
        <v>0.17777777777777778</v>
      </c>
      <c r="M121" s="80" t="s">
        <v>827</v>
      </c>
      <c r="N121" s="90">
        <v>20000.0</v>
      </c>
      <c r="O121" s="126"/>
      <c r="P121" s="75">
        <v>0.5409722222222222</v>
      </c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45610.0</v>
      </c>
      <c r="I122" s="68" t="s">
        <v>1975</v>
      </c>
      <c r="J122" s="69">
        <v>50000.0</v>
      </c>
      <c r="K122" s="70"/>
      <c r="L122" s="71">
        <v>0.5868055555555556</v>
      </c>
      <c r="M122" s="72" t="s">
        <v>1964</v>
      </c>
      <c r="N122" s="90">
        <v>5761.0</v>
      </c>
      <c r="O122" s="74" t="s">
        <v>2024</v>
      </c>
      <c r="P122" s="75">
        <v>0.5930555555555556</v>
      </c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45610.0</v>
      </c>
      <c r="I123" s="68" t="s">
        <v>2025</v>
      </c>
      <c r="J123" s="69">
        <v>0.0569</v>
      </c>
      <c r="K123" s="70"/>
      <c r="L123" s="71">
        <v>0.6701388888888888</v>
      </c>
      <c r="M123" s="72" t="s">
        <v>1952</v>
      </c>
      <c r="N123" s="90">
        <v>1140.0</v>
      </c>
      <c r="O123" s="74"/>
      <c r="P123" s="75">
        <v>0.66875</v>
      </c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45610.0</v>
      </c>
      <c r="I124" s="68" t="s">
        <v>1979</v>
      </c>
      <c r="J124" s="69">
        <v>300.0</v>
      </c>
      <c r="K124" s="70" t="s">
        <v>981</v>
      </c>
      <c r="L124" s="71">
        <v>0.6701388888888888</v>
      </c>
      <c r="M124" s="72" t="s">
        <v>1844</v>
      </c>
      <c r="N124" s="90">
        <v>5847.38</v>
      </c>
      <c r="O124" s="74" t="s">
        <v>2026</v>
      </c>
      <c r="P124" s="75">
        <v>0.6743055555555556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45611.0</v>
      </c>
      <c r="I125" s="84"/>
      <c r="J125" s="17"/>
      <c r="K125" s="85"/>
      <c r="L125" s="86"/>
      <c r="M125" s="72" t="s">
        <v>1959</v>
      </c>
      <c r="N125" s="90">
        <v>29817.62</v>
      </c>
      <c r="O125" s="74" t="s">
        <v>2027</v>
      </c>
      <c r="P125" s="75">
        <v>0.47430555555555554</v>
      </c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45611.0</v>
      </c>
      <c r="I126" s="84"/>
      <c r="J126" s="17"/>
      <c r="K126" s="85"/>
      <c r="L126" s="86"/>
      <c r="M126" s="72" t="s">
        <v>1345</v>
      </c>
      <c r="N126" s="90">
        <v>10433.18</v>
      </c>
      <c r="O126" s="74" t="s">
        <v>2028</v>
      </c>
      <c r="P126" s="75">
        <v>0.5298611111111111</v>
      </c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45611.0</v>
      </c>
      <c r="I127" s="68" t="s">
        <v>1872</v>
      </c>
      <c r="J127" s="69">
        <v>3591.0</v>
      </c>
      <c r="K127" s="87"/>
      <c r="L127" s="71">
        <v>0.5381944444444444</v>
      </c>
      <c r="M127" s="72" t="s">
        <v>1345</v>
      </c>
      <c r="N127" s="90">
        <v>11312.0</v>
      </c>
      <c r="O127" s="74" t="s">
        <v>2029</v>
      </c>
      <c r="P127" s="75">
        <v>0.7861111111111111</v>
      </c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45611.0</v>
      </c>
      <c r="I128" s="68" t="s">
        <v>1982</v>
      </c>
      <c r="J128" s="69">
        <v>100000.0</v>
      </c>
      <c r="K128" s="70"/>
      <c r="L128" s="71">
        <v>0.8333333333333334</v>
      </c>
      <c r="M128" s="147"/>
      <c r="N128" s="90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45612.0</v>
      </c>
      <c r="I129" s="68"/>
      <c r="J129" s="69"/>
      <c r="K129" s="70"/>
      <c r="L129" s="71"/>
      <c r="M129" s="72" t="s">
        <v>20</v>
      </c>
      <c r="N129" s="90">
        <v>200.0</v>
      </c>
      <c r="O129" s="74" t="s">
        <v>211</v>
      </c>
      <c r="P129" s="75">
        <v>0.4847222222222222</v>
      </c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45612.0</v>
      </c>
      <c r="I130" s="68" t="s">
        <v>1960</v>
      </c>
      <c r="J130" s="69">
        <v>10920.0</v>
      </c>
      <c r="K130" s="85"/>
      <c r="L130" s="71">
        <v>0.7486111111111111</v>
      </c>
      <c r="M130" s="72" t="s">
        <v>1653</v>
      </c>
      <c r="N130" s="90">
        <v>1128.0</v>
      </c>
      <c r="O130" s="74" t="s">
        <v>2030</v>
      </c>
      <c r="P130" s="75">
        <v>0.6180555555555556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45613.0</v>
      </c>
      <c r="I131" s="68"/>
      <c r="J131" s="69"/>
      <c r="K131" s="87"/>
      <c r="L131" s="71"/>
      <c r="M131" s="72" t="s">
        <v>1653</v>
      </c>
      <c r="N131" s="90">
        <v>1717.0</v>
      </c>
      <c r="O131" s="74" t="s">
        <v>2031</v>
      </c>
      <c r="P131" s="75">
        <v>0.6180555555555556</v>
      </c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45614.0</v>
      </c>
      <c r="I132" s="68"/>
      <c r="J132" s="69"/>
      <c r="K132" s="85"/>
      <c r="L132" s="71"/>
      <c r="M132" s="72" t="s">
        <v>1962</v>
      </c>
      <c r="N132" s="90">
        <v>11400.0</v>
      </c>
      <c r="O132" s="74" t="s">
        <v>2032</v>
      </c>
      <c r="P132" s="75">
        <v>0.41388888888888886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45614.0</v>
      </c>
      <c r="I133" s="68" t="s">
        <v>1954</v>
      </c>
      <c r="J133" s="69">
        <v>999.0</v>
      </c>
      <c r="K133" s="70"/>
      <c r="L133" s="71">
        <v>0.48055555555555557</v>
      </c>
      <c r="M133" s="72"/>
      <c r="N133" s="90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45614.0</v>
      </c>
      <c r="I134" s="68" t="s">
        <v>1952</v>
      </c>
      <c r="J134" s="69">
        <v>1831.59</v>
      </c>
      <c r="K134" s="70"/>
      <c r="L134" s="71">
        <v>0.5895833333333333</v>
      </c>
      <c r="M134" s="72" t="s">
        <v>1962</v>
      </c>
      <c r="N134" s="90">
        <v>11400.0</v>
      </c>
      <c r="O134" s="74" t="s">
        <v>2032</v>
      </c>
      <c r="P134" s="75">
        <v>0.7125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45614.0</v>
      </c>
      <c r="I135" s="68"/>
      <c r="J135" s="69"/>
      <c r="K135" s="85"/>
      <c r="L135" s="71"/>
      <c r="M135" s="72" t="s">
        <v>1959</v>
      </c>
      <c r="N135" s="90">
        <v>10896.0</v>
      </c>
      <c r="O135" s="74" t="s">
        <v>2033</v>
      </c>
      <c r="P135" s="75">
        <v>0.8659722222222223</v>
      </c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45614.0</v>
      </c>
      <c r="I136" s="68"/>
      <c r="J136" s="69"/>
      <c r="K136" s="70"/>
      <c r="L136" s="71"/>
      <c r="M136" s="72" t="s">
        <v>1959</v>
      </c>
      <c r="N136" s="90">
        <v>28500.0</v>
      </c>
      <c r="O136" s="74" t="s">
        <v>2034</v>
      </c>
      <c r="P136" s="75">
        <v>0.8826388888888889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45615.0</v>
      </c>
      <c r="I137" s="84"/>
      <c r="J137" s="17"/>
      <c r="K137" s="85"/>
      <c r="L137" s="86"/>
      <c r="M137" s="72" t="s">
        <v>20</v>
      </c>
      <c r="N137" s="90">
        <v>221.0</v>
      </c>
      <c r="O137" s="74" t="s">
        <v>2035</v>
      </c>
      <c r="P137" s="75">
        <v>0.3798611111111111</v>
      </c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45615.0</v>
      </c>
      <c r="I138" s="68"/>
      <c r="J138" s="69"/>
      <c r="K138" s="70"/>
      <c r="L138" s="71"/>
      <c r="M138" s="72" t="s">
        <v>1653</v>
      </c>
      <c r="N138" s="90">
        <v>297.0</v>
      </c>
      <c r="O138" s="74" t="s">
        <v>2036</v>
      </c>
      <c r="P138" s="75">
        <v>0.40625</v>
      </c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45615.0</v>
      </c>
      <c r="I139" s="68" t="s">
        <v>2037</v>
      </c>
      <c r="J139" s="69">
        <v>779.34</v>
      </c>
      <c r="K139" s="70" t="s">
        <v>155</v>
      </c>
      <c r="L139" s="71">
        <v>0.5694444444444444</v>
      </c>
      <c r="M139" s="147"/>
      <c r="N139" s="90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45615.0</v>
      </c>
      <c r="I140" s="68" t="s">
        <v>2025</v>
      </c>
      <c r="J140" s="69">
        <v>8.3E-5</v>
      </c>
      <c r="K140" s="70"/>
      <c r="L140" s="71">
        <v>0.5694444444444444</v>
      </c>
      <c r="M140" s="72" t="s">
        <v>1964</v>
      </c>
      <c r="N140" s="90">
        <v>4044.27</v>
      </c>
      <c r="O140" s="74" t="s">
        <v>2038</v>
      </c>
      <c r="P140" s="75">
        <v>0.575</v>
      </c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>
        <v>45615.0</v>
      </c>
      <c r="I141" s="68" t="s">
        <v>298</v>
      </c>
      <c r="J141" s="69">
        <v>100000.0</v>
      </c>
      <c r="K141" s="85"/>
      <c r="L141" s="71">
        <v>0.61875</v>
      </c>
      <c r="M141" s="147"/>
      <c r="N141" s="90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>
        <v>45616.0</v>
      </c>
      <c r="I142" s="68"/>
      <c r="J142" s="69"/>
      <c r="K142" s="85"/>
      <c r="L142" s="71"/>
      <c r="M142" s="72" t="s">
        <v>1345</v>
      </c>
      <c r="N142" s="90">
        <v>5461.04</v>
      </c>
      <c r="O142" s="74" t="s">
        <v>2039</v>
      </c>
      <c r="P142" s="75">
        <v>0.6048611111111111</v>
      </c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>
        <v>45616.0</v>
      </c>
      <c r="I143" s="68"/>
      <c r="J143" s="69"/>
      <c r="K143" s="85"/>
      <c r="L143" s="71"/>
      <c r="M143" s="72" t="s">
        <v>20</v>
      </c>
      <c r="N143" s="90">
        <v>450.0</v>
      </c>
      <c r="O143" s="74" t="s">
        <v>2040</v>
      </c>
      <c r="P143" s="75">
        <v>0.6673611111111111</v>
      </c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>
        <v>45616.0</v>
      </c>
      <c r="I144" s="68"/>
      <c r="J144" s="69"/>
      <c r="K144" s="85"/>
      <c r="L144" s="71"/>
      <c r="M144" s="72" t="s">
        <v>20</v>
      </c>
      <c r="N144" s="90">
        <v>24.0</v>
      </c>
      <c r="O144" s="74" t="s">
        <v>2041</v>
      </c>
      <c r="P144" s="75">
        <v>0.7638888888888888</v>
      </c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>
        <v>45617.0</v>
      </c>
      <c r="I145" s="68"/>
      <c r="J145" s="69"/>
      <c r="K145" s="87"/>
      <c r="L145" s="71"/>
      <c r="M145" s="72" t="s">
        <v>1345</v>
      </c>
      <c r="N145" s="90">
        <v>4444.0</v>
      </c>
      <c r="O145" s="74" t="s">
        <v>1696</v>
      </c>
      <c r="P145" s="75">
        <v>0.5395833333333333</v>
      </c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>
        <v>45617.0</v>
      </c>
      <c r="I146" s="68" t="s">
        <v>2025</v>
      </c>
      <c r="J146" s="69">
        <v>0.00279</v>
      </c>
      <c r="K146" s="87"/>
      <c r="L146" s="71">
        <v>0.58125</v>
      </c>
      <c r="M146" s="72" t="s">
        <v>1345</v>
      </c>
      <c r="N146" s="90">
        <v>8844.19</v>
      </c>
      <c r="O146" s="74" t="s">
        <v>2042</v>
      </c>
      <c r="P146" s="75">
        <v>0.5791666666666667</v>
      </c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>
        <v>45617.0</v>
      </c>
      <c r="I147" s="68" t="s">
        <v>1850</v>
      </c>
      <c r="J147" s="69">
        <v>12189.85</v>
      </c>
      <c r="K147" s="87"/>
      <c r="L147" s="71">
        <v>0.58125</v>
      </c>
      <c r="M147" s="72" t="s">
        <v>1844</v>
      </c>
      <c r="N147" s="90">
        <v>16490.77</v>
      </c>
      <c r="O147" s="74" t="s">
        <v>2043</v>
      </c>
      <c r="P147" s="75">
        <v>0.6006944444444444</v>
      </c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>
        <v>45617.0</v>
      </c>
      <c r="I148" s="84"/>
      <c r="J148" s="17"/>
      <c r="K148" s="85"/>
      <c r="L148" s="86"/>
      <c r="M148" s="72" t="s">
        <v>1345</v>
      </c>
      <c r="N148" s="90">
        <v>5798.46</v>
      </c>
      <c r="O148" s="74" t="s">
        <v>2044</v>
      </c>
      <c r="P148" s="75">
        <v>0.6048611111111111</v>
      </c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>
        <v>45617.0</v>
      </c>
      <c r="I149" s="84"/>
      <c r="J149" s="17"/>
      <c r="K149" s="85"/>
      <c r="L149" s="86"/>
      <c r="M149" s="72" t="s">
        <v>1844</v>
      </c>
      <c r="N149" s="90">
        <v>8880.0</v>
      </c>
      <c r="O149" s="74" t="s">
        <v>1887</v>
      </c>
      <c r="P149" s="75">
        <v>0.6298611111111111</v>
      </c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>
        <v>45617.0</v>
      </c>
      <c r="I150" s="84"/>
      <c r="J150" s="17"/>
      <c r="K150" s="85"/>
      <c r="L150" s="86"/>
      <c r="M150" s="72" t="s">
        <v>1835</v>
      </c>
      <c r="N150" s="90">
        <v>7000.0</v>
      </c>
      <c r="O150" s="74" t="s">
        <v>2045</v>
      </c>
      <c r="P150" s="75">
        <v>0.6618055555555555</v>
      </c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>
        <v>45617.0</v>
      </c>
      <c r="I151" s="68"/>
      <c r="J151" s="69"/>
      <c r="K151" s="70"/>
      <c r="L151" s="88"/>
      <c r="M151" s="72" t="s">
        <v>20</v>
      </c>
      <c r="N151" s="90">
        <v>228.0</v>
      </c>
      <c r="O151" s="74" t="s">
        <v>2046</v>
      </c>
      <c r="P151" s="75">
        <v>0.8729166666666667</v>
      </c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>
        <v>45618.0</v>
      </c>
      <c r="I152" s="68"/>
      <c r="J152" s="69"/>
      <c r="K152" s="87"/>
      <c r="L152" s="71"/>
      <c r="M152" s="72" t="s">
        <v>1844</v>
      </c>
      <c r="N152" s="90">
        <v>25614.36</v>
      </c>
      <c r="O152" s="74" t="s">
        <v>2047</v>
      </c>
      <c r="P152" s="75">
        <v>0.6590277777777778</v>
      </c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>
        <v>45618.0</v>
      </c>
      <c r="I153" s="68"/>
      <c r="J153" s="69"/>
      <c r="K153" s="85"/>
      <c r="L153" s="71"/>
      <c r="M153" s="72" t="s">
        <v>20</v>
      </c>
      <c r="N153" s="90">
        <v>200.0</v>
      </c>
      <c r="O153" s="74" t="s">
        <v>2048</v>
      </c>
      <c r="P153" s="75">
        <v>0.6923611111111111</v>
      </c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>
        <v>45618.0</v>
      </c>
      <c r="I154" s="84"/>
      <c r="J154" s="17"/>
      <c r="K154" s="85"/>
      <c r="L154" s="86"/>
      <c r="M154" s="72" t="s">
        <v>1844</v>
      </c>
      <c r="N154" s="90">
        <v>38850.0</v>
      </c>
      <c r="O154" s="74" t="s">
        <v>2049</v>
      </c>
      <c r="P154" s="75">
        <v>0.7013888888888888</v>
      </c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>
        <v>45618.0</v>
      </c>
      <c r="I155" s="68" t="s">
        <v>1830</v>
      </c>
      <c r="J155" s="69">
        <v>6500.0</v>
      </c>
      <c r="K155" s="70" t="s">
        <v>2050</v>
      </c>
      <c r="L155" s="71">
        <v>0.70625</v>
      </c>
      <c r="M155" s="72" t="s">
        <v>1835</v>
      </c>
      <c r="N155" s="90">
        <v>2060.0</v>
      </c>
      <c r="O155" s="74" t="s">
        <v>2051</v>
      </c>
      <c r="P155" s="75">
        <v>0.7076388888888889</v>
      </c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>
        <v>45618.0</v>
      </c>
      <c r="I156" s="68" t="s">
        <v>1985</v>
      </c>
      <c r="J156" s="69">
        <v>16912.0</v>
      </c>
      <c r="K156" s="70" t="s">
        <v>2052</v>
      </c>
      <c r="L156" s="71">
        <v>0.8479166666666667</v>
      </c>
      <c r="M156" s="147"/>
      <c r="N156" s="90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>
        <v>45619.0</v>
      </c>
      <c r="I157" s="68"/>
      <c r="J157" s="69"/>
      <c r="K157" s="87"/>
      <c r="L157" s="71"/>
      <c r="M157" s="72" t="s">
        <v>1345</v>
      </c>
      <c r="N157" s="90">
        <v>5757.0</v>
      </c>
      <c r="O157" s="74" t="s">
        <v>2053</v>
      </c>
      <c r="P157" s="75">
        <v>0.6097222222222223</v>
      </c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>
        <v>45619.0</v>
      </c>
      <c r="I158" s="68"/>
      <c r="J158" s="69"/>
      <c r="K158" s="87"/>
      <c r="L158" s="71"/>
      <c r="M158" s="72" t="s">
        <v>827</v>
      </c>
      <c r="N158" s="90">
        <v>15000.0</v>
      </c>
      <c r="O158" s="74"/>
      <c r="P158" s="75">
        <v>0.6111111111111112</v>
      </c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>
        <v>45619.0</v>
      </c>
      <c r="I159" s="68" t="s">
        <v>695</v>
      </c>
      <c r="J159" s="69">
        <v>10422.0</v>
      </c>
      <c r="K159" s="70" t="s">
        <v>2054</v>
      </c>
      <c r="L159" s="71">
        <v>0.6729166666666667</v>
      </c>
      <c r="M159" s="147"/>
      <c r="N159" s="90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>
        <v>45619.0</v>
      </c>
      <c r="I160" s="68" t="s">
        <v>298</v>
      </c>
      <c r="J160" s="69">
        <v>100000.0</v>
      </c>
      <c r="K160" s="93"/>
      <c r="L160" s="71">
        <v>0.6736111111111112</v>
      </c>
      <c r="M160" s="72"/>
      <c r="N160" s="90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>
        <v>45620.0</v>
      </c>
      <c r="I161" s="84"/>
      <c r="J161" s="17"/>
      <c r="K161" s="93"/>
      <c r="L161" s="155"/>
      <c r="M161" s="72" t="s">
        <v>827</v>
      </c>
      <c r="N161" s="90">
        <v>10000.0</v>
      </c>
      <c r="O161" s="239"/>
      <c r="P161" s="75">
        <v>0.7041666666666667</v>
      </c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>
        <v>45621.0</v>
      </c>
      <c r="I162" s="68" t="s">
        <v>1975</v>
      </c>
      <c r="J162" s="69">
        <v>50000.0</v>
      </c>
      <c r="K162" s="87"/>
      <c r="L162" s="71">
        <v>0.5333333333333333</v>
      </c>
      <c r="M162" s="72" t="s">
        <v>1844</v>
      </c>
      <c r="N162" s="90">
        <v>28860.0</v>
      </c>
      <c r="O162" s="74" t="s">
        <v>2055</v>
      </c>
      <c r="P162" s="75">
        <v>0.5409722222222222</v>
      </c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>
        <v>45621.0</v>
      </c>
      <c r="I163" s="68"/>
      <c r="J163" s="69"/>
      <c r="K163" s="87"/>
      <c r="L163" s="71"/>
      <c r="M163" s="72" t="s">
        <v>827</v>
      </c>
      <c r="N163" s="90">
        <v>15000.0</v>
      </c>
      <c r="O163" s="74"/>
      <c r="P163" s="75">
        <v>0.8993055555555556</v>
      </c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>
        <v>45622.0</v>
      </c>
      <c r="I164" s="68"/>
      <c r="J164" s="69"/>
      <c r="K164" s="87"/>
      <c r="L164" s="71"/>
      <c r="M164" s="72" t="s">
        <v>20</v>
      </c>
      <c r="N164" s="90">
        <v>207.0</v>
      </c>
      <c r="O164" s="74" t="s">
        <v>2056</v>
      </c>
      <c r="P164" s="75">
        <v>0.4625</v>
      </c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>
        <v>45622.0</v>
      </c>
      <c r="I165" s="68"/>
      <c r="J165" s="69"/>
      <c r="K165" s="87"/>
      <c r="L165" s="71"/>
      <c r="M165" s="72" t="s">
        <v>1835</v>
      </c>
      <c r="N165" s="90">
        <v>14714.29</v>
      </c>
      <c r="O165" s="74" t="s">
        <v>2057</v>
      </c>
      <c r="P165" s="75">
        <v>0.6284722222222222</v>
      </c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>
        <v>45622.0</v>
      </c>
      <c r="I166" s="68"/>
      <c r="J166" s="69"/>
      <c r="K166" s="87"/>
      <c r="L166" s="71"/>
      <c r="M166" s="72" t="s">
        <v>20</v>
      </c>
      <c r="N166" s="90">
        <v>100.13</v>
      </c>
      <c r="O166" s="74" t="s">
        <v>2058</v>
      </c>
      <c r="P166" s="75">
        <v>0.9</v>
      </c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>
        <v>45623.0</v>
      </c>
      <c r="I167" s="68"/>
      <c r="J167" s="69"/>
      <c r="K167" s="87"/>
      <c r="L167" s="71"/>
      <c r="M167" s="72" t="s">
        <v>827</v>
      </c>
      <c r="N167" s="90">
        <v>20000.0</v>
      </c>
      <c r="O167" s="126"/>
      <c r="P167" s="75">
        <v>0.43472222222222223</v>
      </c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>
        <v>45623.0</v>
      </c>
      <c r="I168" s="84"/>
      <c r="J168" s="17"/>
      <c r="K168" s="85"/>
      <c r="L168" s="86"/>
      <c r="M168" s="72" t="s">
        <v>20</v>
      </c>
      <c r="N168" s="90">
        <v>255.0</v>
      </c>
      <c r="O168" s="74" t="s">
        <v>2059</v>
      </c>
      <c r="P168" s="75">
        <v>0.9465277777777777</v>
      </c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>
        <v>45623.0</v>
      </c>
      <c r="I169" s="84"/>
      <c r="J169" s="17"/>
      <c r="K169" s="85"/>
      <c r="L169" s="86"/>
      <c r="M169" s="72" t="s">
        <v>1835</v>
      </c>
      <c r="N169" s="90">
        <v>4771.72</v>
      </c>
      <c r="O169" s="74" t="s">
        <v>2060</v>
      </c>
      <c r="P169" s="75">
        <v>0.6611111111111111</v>
      </c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>
        <v>45623.0</v>
      </c>
      <c r="I170" s="68" t="s">
        <v>1987</v>
      </c>
      <c r="J170" s="69">
        <v>30000.0</v>
      </c>
      <c r="K170" s="85"/>
      <c r="L170" s="71">
        <v>0.66875</v>
      </c>
      <c r="M170" s="72" t="s">
        <v>827</v>
      </c>
      <c r="N170" s="90">
        <v>20000.0</v>
      </c>
      <c r="O170" s="74"/>
      <c r="P170" s="75">
        <v>0.8416666666666667</v>
      </c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>
        <v>45623.0</v>
      </c>
      <c r="I171" s="84"/>
      <c r="J171" s="17"/>
      <c r="K171" s="85"/>
      <c r="L171" s="86"/>
      <c r="M171" s="72" t="s">
        <v>1345</v>
      </c>
      <c r="N171" s="90">
        <v>2888.28</v>
      </c>
      <c r="O171" s="74" t="s">
        <v>2061</v>
      </c>
      <c r="P171" s="75">
        <v>0.9409722222222222</v>
      </c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>
        <v>45624.0</v>
      </c>
      <c r="I172" s="68"/>
      <c r="J172" s="69"/>
      <c r="K172" s="87"/>
      <c r="L172" s="71"/>
      <c r="M172" s="72" t="s">
        <v>1345</v>
      </c>
      <c r="N172" s="90">
        <v>6666.0</v>
      </c>
      <c r="O172" s="74" t="s">
        <v>2062</v>
      </c>
      <c r="P172" s="75">
        <v>0.5520833333333334</v>
      </c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>
        <v>45624.0</v>
      </c>
      <c r="I173" s="154"/>
      <c r="J173" s="17"/>
      <c r="K173" s="87"/>
      <c r="L173" s="71"/>
      <c r="M173" s="72" t="s">
        <v>827</v>
      </c>
      <c r="N173" s="90">
        <v>20000.0</v>
      </c>
      <c r="O173" s="74"/>
      <c r="P173" s="75">
        <v>0.6340277777777777</v>
      </c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>
        <v>45624.0</v>
      </c>
      <c r="I174" s="84"/>
      <c r="J174" s="69"/>
      <c r="K174" s="87"/>
      <c r="L174" s="71"/>
      <c r="M174" s="72" t="s">
        <v>1957</v>
      </c>
      <c r="N174" s="90">
        <v>848.0</v>
      </c>
      <c r="O174" s="74" t="s">
        <v>2063</v>
      </c>
      <c r="P174" s="75">
        <v>0.6395833333333333</v>
      </c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>
        <v>45624.0</v>
      </c>
      <c r="I175" s="68" t="s">
        <v>857</v>
      </c>
      <c r="J175" s="17">
        <v>100000.0</v>
      </c>
      <c r="K175" s="85"/>
      <c r="L175" s="71">
        <v>0.6986111111111111</v>
      </c>
      <c r="M175" s="72" t="s">
        <v>1345</v>
      </c>
      <c r="N175" s="90">
        <v>3333.0</v>
      </c>
      <c r="O175" s="74" t="s">
        <v>1281</v>
      </c>
      <c r="P175" s="75">
        <v>0.9527777777777777</v>
      </c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>
        <v>45625.0</v>
      </c>
      <c r="I176" s="84"/>
      <c r="J176" s="69"/>
      <c r="K176" s="70"/>
      <c r="L176" s="71"/>
      <c r="M176" s="72" t="s">
        <v>1345</v>
      </c>
      <c r="N176" s="90">
        <v>18129.85</v>
      </c>
      <c r="O176" s="74" t="s">
        <v>2064</v>
      </c>
      <c r="P176" s="75">
        <v>0.5451388888888888</v>
      </c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>
        <v>45625.0</v>
      </c>
      <c r="I177" s="84"/>
      <c r="J177" s="17"/>
      <c r="K177" s="85"/>
      <c r="L177" s="86"/>
      <c r="M177" s="72" t="s">
        <v>1345</v>
      </c>
      <c r="N177" s="90">
        <v>12221.0</v>
      </c>
      <c r="O177" s="74" t="s">
        <v>2065</v>
      </c>
      <c r="P177" s="75">
        <v>0.5583333333333333</v>
      </c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>
        <v>45625.0</v>
      </c>
      <c r="I178" s="68"/>
      <c r="J178" s="69"/>
      <c r="K178" s="87"/>
      <c r="L178" s="71"/>
      <c r="M178" s="72" t="s">
        <v>20</v>
      </c>
      <c r="N178" s="90">
        <v>16.0</v>
      </c>
      <c r="O178" s="74" t="s">
        <v>2066</v>
      </c>
      <c r="P178" s="75">
        <v>0.625</v>
      </c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>
        <v>45625.0</v>
      </c>
      <c r="I179" s="68"/>
      <c r="J179" s="69"/>
      <c r="K179" s="87"/>
      <c r="L179" s="71"/>
      <c r="M179" s="72" t="s">
        <v>1345</v>
      </c>
      <c r="N179" s="90">
        <v>3333.0</v>
      </c>
      <c r="O179" s="74" t="s">
        <v>1178</v>
      </c>
      <c r="P179" s="75">
        <v>0.6465277777777778</v>
      </c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>
        <v>45625.0</v>
      </c>
      <c r="I180" s="84"/>
      <c r="J180" s="17"/>
      <c r="K180" s="85"/>
      <c r="L180" s="86"/>
      <c r="M180" s="72" t="s">
        <v>1345</v>
      </c>
      <c r="N180" s="90">
        <v>1111.0</v>
      </c>
      <c r="O180" s="74" t="s">
        <v>1153</v>
      </c>
      <c r="P180" s="75">
        <v>0.7326388888888888</v>
      </c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>
        <v>45625.0</v>
      </c>
      <c r="I181" s="84" t="s">
        <v>1830</v>
      </c>
      <c r="J181" s="69">
        <v>13000.0</v>
      </c>
      <c r="K181" s="70" t="s">
        <v>2067</v>
      </c>
      <c r="L181" s="71">
        <v>0.7604166666666666</v>
      </c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>
        <v>45625.0</v>
      </c>
      <c r="I182" s="68" t="s">
        <v>1987</v>
      </c>
      <c r="J182" s="69">
        <v>30000.0</v>
      </c>
      <c r="K182" s="85"/>
      <c r="L182" s="88" t="s">
        <v>2068</v>
      </c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>
        <v>45626.0</v>
      </c>
      <c r="I183" s="68"/>
      <c r="J183" s="69"/>
      <c r="K183" s="87"/>
      <c r="L183" s="71"/>
      <c r="M183" s="72" t="s">
        <v>1345</v>
      </c>
      <c r="N183" s="90">
        <v>12666.08</v>
      </c>
      <c r="O183" s="74" t="s">
        <v>2069</v>
      </c>
      <c r="P183" s="75">
        <v>0.4527777777777778</v>
      </c>
      <c r="Q183" s="41"/>
      <c r="R183" s="39"/>
      <c r="S183" s="40"/>
      <c r="T183" s="76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>
        <v>45626.0</v>
      </c>
      <c r="I184" s="68"/>
      <c r="J184" s="69"/>
      <c r="K184" s="87"/>
      <c r="L184" s="71"/>
      <c r="M184" s="72" t="s">
        <v>1957</v>
      </c>
      <c r="N184" s="90">
        <v>1908.0</v>
      </c>
      <c r="O184" s="74" t="s">
        <v>2070</v>
      </c>
      <c r="P184" s="75">
        <v>0.5840277777777778</v>
      </c>
      <c r="Q184" s="41"/>
      <c r="R184" s="39"/>
      <c r="S184" s="40"/>
      <c r="T184" s="76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>
        <v>45626.0</v>
      </c>
      <c r="I185" s="68"/>
      <c r="J185" s="69"/>
      <c r="K185" s="87"/>
      <c r="L185" s="71"/>
      <c r="M185" s="72" t="s">
        <v>1345</v>
      </c>
      <c r="N185" s="90">
        <v>15766.02</v>
      </c>
      <c r="O185" s="74" t="s">
        <v>2071</v>
      </c>
      <c r="P185" s="75">
        <v>0.6097222222222223</v>
      </c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>
        <v>45626.0</v>
      </c>
      <c r="I186" s="84"/>
      <c r="J186" s="17"/>
      <c r="K186" s="85"/>
      <c r="L186" s="86"/>
      <c r="M186" s="72" t="s">
        <v>827</v>
      </c>
      <c r="N186" s="90">
        <v>5000.0</v>
      </c>
      <c r="O186" s="74"/>
      <c r="P186" s="75">
        <v>0.6458333333333334</v>
      </c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 Z48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2.5"/>
    <col customWidth="1" min="22" max="22" width="18.5"/>
    <col customWidth="1" min="23" max="23" width="21.75"/>
    <col customWidth="1" min="24" max="26" width="9.25"/>
    <col customWidth="1" min="27" max="29" width="6.88"/>
  </cols>
  <sheetData>
    <row r="1" ht="48.75" customHeight="1">
      <c r="A1" s="9"/>
      <c r="B1" s="2"/>
      <c r="C1" s="3" t="s">
        <v>2072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  <c r="AC1" s="6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  <c r="AC2" s="6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  <c r="AC3" s="6"/>
    </row>
    <row r="4" ht="57.0" customHeight="1">
      <c r="A4" s="20"/>
      <c r="B4" s="21"/>
      <c r="C4" s="22" t="s">
        <v>2073</v>
      </c>
      <c r="D4" s="21"/>
      <c r="E4" s="20"/>
      <c r="F4" s="21"/>
      <c r="G4" s="23" t="s">
        <v>2074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  <c r="AC4" s="27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U5" s="40"/>
      <c r="V5" s="40"/>
      <c r="W5" s="40"/>
      <c r="X5" s="41"/>
      <c r="Y5" s="30"/>
      <c r="Z5" s="30"/>
      <c r="AA5" s="30"/>
      <c r="AB5" s="30"/>
      <c r="AC5" s="4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40"/>
      <c r="T6" s="76"/>
      <c r="U6" s="40"/>
      <c r="V6" s="40"/>
      <c r="W6" s="40"/>
      <c r="X6" s="41"/>
      <c r="Y6" s="30"/>
      <c r="Z6" s="30"/>
      <c r="AA6" s="30"/>
      <c r="AB6" s="30"/>
      <c r="AC6" s="40"/>
    </row>
    <row r="7" ht="27.75" customHeight="1">
      <c r="A7" s="29"/>
      <c r="B7" s="30"/>
      <c r="C7" s="53" t="s">
        <v>261</v>
      </c>
      <c r="D7" s="54" t="s">
        <v>16</v>
      </c>
      <c r="E7" s="29"/>
      <c r="F7" s="30"/>
      <c r="G7" s="55">
        <v>1.0</v>
      </c>
      <c r="H7" s="241">
        <v>45566.0</v>
      </c>
      <c r="I7" s="57" t="s">
        <v>2075</v>
      </c>
      <c r="J7" s="58">
        <f>'9月收支财务报表'!C25</f>
        <v>72340.42249</v>
      </c>
      <c r="K7" s="59"/>
      <c r="L7" s="60"/>
      <c r="M7" s="61" t="s">
        <v>2076</v>
      </c>
      <c r="N7" s="62">
        <f>37100-'9月收支财务报表'!N175</f>
        <v>35700</v>
      </c>
      <c r="O7" s="63" t="s">
        <v>2077</v>
      </c>
      <c r="P7" s="64">
        <v>0.7868055555555555</v>
      </c>
      <c r="Q7" s="41"/>
      <c r="R7" s="39"/>
      <c r="V7" s="206">
        <v>45566.0</v>
      </c>
      <c r="W7" s="76" t="s">
        <v>2076</v>
      </c>
      <c r="X7" s="244">
        <v>11900.0</v>
      </c>
      <c r="Y7" s="243" t="s">
        <v>2078</v>
      </c>
      <c r="Z7" s="243" t="s">
        <v>2079</v>
      </c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30">
        <v>45567.0</v>
      </c>
      <c r="I8" s="154" t="s">
        <v>2080</v>
      </c>
      <c r="J8" s="17">
        <v>20000.0</v>
      </c>
      <c r="K8" s="92" t="s">
        <v>2081</v>
      </c>
      <c r="L8" s="155">
        <v>0.41944444444444445</v>
      </c>
      <c r="M8" s="147" t="s">
        <v>1968</v>
      </c>
      <c r="N8" s="19">
        <v>20000.0</v>
      </c>
      <c r="O8" s="126"/>
      <c r="P8" s="172"/>
      <c r="Q8" s="41"/>
      <c r="R8" s="39"/>
      <c r="V8" s="206">
        <v>45566.0</v>
      </c>
      <c r="W8" s="76" t="s">
        <v>2076</v>
      </c>
      <c r="X8" s="244">
        <v>11900.0</v>
      </c>
      <c r="Y8" s="243" t="s">
        <v>2082</v>
      </c>
      <c r="Z8" s="243" t="s">
        <v>2079</v>
      </c>
    </row>
    <row r="9" ht="27.75" customHeight="1">
      <c r="A9" s="29"/>
      <c r="B9" s="30"/>
      <c r="C9" s="77">
        <f>C21</f>
        <v>1111450.062</v>
      </c>
      <c r="D9" s="30"/>
      <c r="E9" s="29"/>
      <c r="F9" s="30"/>
      <c r="G9" s="66">
        <v>3.0</v>
      </c>
      <c r="H9" s="130">
        <v>45567.0</v>
      </c>
      <c r="I9" s="154" t="s">
        <v>2080</v>
      </c>
      <c r="J9" s="17">
        <v>30000.0</v>
      </c>
      <c r="K9" s="92" t="s">
        <v>1966</v>
      </c>
      <c r="L9" s="155">
        <v>0.42083333333333334</v>
      </c>
      <c r="M9" s="147" t="s">
        <v>2076</v>
      </c>
      <c r="N9" s="19">
        <v>30744.0</v>
      </c>
      <c r="O9" s="126" t="s">
        <v>2083</v>
      </c>
      <c r="P9" s="245">
        <v>0.4444444444444444</v>
      </c>
      <c r="Q9" s="41"/>
      <c r="R9" s="39"/>
      <c r="V9" s="206">
        <v>45566.0</v>
      </c>
      <c r="W9" s="76" t="s">
        <v>2076</v>
      </c>
      <c r="X9" s="244">
        <v>11900.0</v>
      </c>
      <c r="Y9" s="243" t="s">
        <v>2078</v>
      </c>
      <c r="Z9" s="243" t="s">
        <v>2079</v>
      </c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30">
        <v>45567.0</v>
      </c>
      <c r="I10" s="154" t="s">
        <v>2080</v>
      </c>
      <c r="J10" s="17">
        <v>50000.0</v>
      </c>
      <c r="K10" s="92" t="s">
        <v>1966</v>
      </c>
      <c r="L10" s="155">
        <v>0.55625</v>
      </c>
      <c r="M10" s="147"/>
      <c r="N10" s="19"/>
      <c r="O10" s="126"/>
      <c r="P10" s="172"/>
      <c r="Q10" s="41"/>
      <c r="R10" s="39"/>
      <c r="V10" s="206">
        <v>45566.0</v>
      </c>
      <c r="W10" s="76" t="s">
        <v>2076</v>
      </c>
      <c r="X10" s="244">
        <v>11900.0</v>
      </c>
      <c r="Y10" s="243" t="s">
        <v>2082</v>
      </c>
      <c r="Z10" s="243" t="s">
        <v>2079</v>
      </c>
    </row>
    <row r="11" ht="27.75" customHeight="1">
      <c r="A11" s="29"/>
      <c r="B11" s="30"/>
      <c r="C11" s="79">
        <f>C23</f>
        <v>1015854.304</v>
      </c>
      <c r="D11" s="30"/>
      <c r="E11" s="29"/>
      <c r="F11" s="30"/>
      <c r="G11" s="66">
        <v>5.0</v>
      </c>
      <c r="H11" s="130">
        <v>45567.0</v>
      </c>
      <c r="I11" s="154" t="s">
        <v>2080</v>
      </c>
      <c r="J11" s="17">
        <v>38024.0</v>
      </c>
      <c r="K11" s="92" t="s">
        <v>1966</v>
      </c>
      <c r="L11" s="155">
        <v>0.7020833333333333</v>
      </c>
      <c r="M11" s="147" t="s">
        <v>2084</v>
      </c>
      <c r="N11" s="19">
        <v>38024.0</v>
      </c>
      <c r="O11" s="74" t="s">
        <v>2085</v>
      </c>
      <c r="P11" s="172">
        <v>0.7020833333333333</v>
      </c>
      <c r="Q11" s="41"/>
      <c r="R11" s="39"/>
      <c r="V11" s="206">
        <v>45567.0</v>
      </c>
      <c r="W11" s="76" t="s">
        <v>2076</v>
      </c>
      <c r="X11" s="41">
        <v>2240.0</v>
      </c>
      <c r="Y11" s="30" t="s">
        <v>2086</v>
      </c>
      <c r="Z11" s="243" t="s">
        <v>2079</v>
      </c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30">
        <v>45567.0</v>
      </c>
      <c r="I12" s="154" t="s">
        <v>2087</v>
      </c>
      <c r="J12" s="17">
        <v>23298.0</v>
      </c>
      <c r="K12" s="92" t="s">
        <v>1988</v>
      </c>
      <c r="L12" s="155">
        <v>0.7298611111111111</v>
      </c>
      <c r="M12" s="147" t="s">
        <v>2076</v>
      </c>
      <c r="N12" s="19">
        <v>40180.0</v>
      </c>
      <c r="O12" s="126" t="s">
        <v>2088</v>
      </c>
      <c r="P12" s="172">
        <v>0.7583333333333333</v>
      </c>
      <c r="Q12" s="41"/>
      <c r="R12" s="39"/>
      <c r="V12" s="206">
        <v>45567.0</v>
      </c>
      <c r="W12" s="76" t="s">
        <v>2076</v>
      </c>
      <c r="X12" s="41">
        <v>23800.0</v>
      </c>
      <c r="Y12" s="30" t="s">
        <v>2082</v>
      </c>
      <c r="Z12" s="243" t="s">
        <v>2079</v>
      </c>
    </row>
    <row r="13" ht="27.75" customHeight="1">
      <c r="A13" s="29"/>
      <c r="B13" s="30"/>
      <c r="C13" s="82">
        <f>C9-C11</f>
        <v>95595.75899</v>
      </c>
      <c r="D13" s="30"/>
      <c r="E13" s="29"/>
      <c r="F13" s="30"/>
      <c r="G13" s="66">
        <v>7.0</v>
      </c>
      <c r="H13" s="130">
        <v>45567.0</v>
      </c>
      <c r="I13" s="154"/>
      <c r="J13" s="17"/>
      <c r="K13" s="93"/>
      <c r="L13" s="155"/>
      <c r="M13" s="147" t="s">
        <v>1531</v>
      </c>
      <c r="N13" s="19">
        <v>40.0</v>
      </c>
      <c r="O13" s="126" t="s">
        <v>427</v>
      </c>
      <c r="P13" s="172">
        <v>0.7951388888888888</v>
      </c>
      <c r="Q13" s="41"/>
      <c r="R13" s="39"/>
      <c r="V13" s="206">
        <v>45567.0</v>
      </c>
      <c r="W13" s="76" t="s">
        <v>2076</v>
      </c>
      <c r="X13" s="244">
        <v>11900.0</v>
      </c>
      <c r="Y13" s="243" t="s">
        <v>2078</v>
      </c>
      <c r="Z13" s="243" t="s">
        <v>2079</v>
      </c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30">
        <v>45568.0</v>
      </c>
      <c r="I14" s="154"/>
      <c r="J14" s="17"/>
      <c r="K14" s="92"/>
      <c r="L14" s="155"/>
      <c r="M14" s="147" t="s">
        <v>1531</v>
      </c>
      <c r="N14" s="19">
        <v>2220.0</v>
      </c>
      <c r="O14" s="126" t="s">
        <v>2089</v>
      </c>
      <c r="P14" s="172">
        <v>0.5458333333333333</v>
      </c>
      <c r="Q14" s="41"/>
      <c r="R14" s="39"/>
      <c r="V14" s="76"/>
      <c r="W14" s="40"/>
      <c r="X14" s="41"/>
      <c r="Y14" s="30"/>
      <c r="Z14" s="30"/>
      <c r="AB14" s="236">
        <f>X8+X10+X12</f>
        <v>47600</v>
      </c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30">
        <v>45568.0</v>
      </c>
      <c r="I15" s="154"/>
      <c r="J15" s="17"/>
      <c r="K15" s="93"/>
      <c r="L15" s="155"/>
      <c r="M15" s="147" t="s">
        <v>827</v>
      </c>
      <c r="N15" s="19">
        <v>7261.81</v>
      </c>
      <c r="O15" s="126" t="s">
        <v>43</v>
      </c>
      <c r="P15" s="172">
        <v>0.9791666666666666</v>
      </c>
      <c r="Q15" s="41"/>
      <c r="R15" s="39"/>
      <c r="V15" s="40"/>
      <c r="W15" s="40"/>
      <c r="X15" s="41"/>
      <c r="Y15" s="30"/>
      <c r="Z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30">
        <v>45569.0</v>
      </c>
      <c r="I16" s="154"/>
      <c r="J16" s="17"/>
      <c r="K16" s="92"/>
      <c r="L16" s="173"/>
      <c r="M16" s="147" t="s">
        <v>2090</v>
      </c>
      <c r="N16" s="19">
        <v>160.0</v>
      </c>
      <c r="O16" s="126" t="s">
        <v>2091</v>
      </c>
      <c r="P16" s="172">
        <v>0.41041666666666665</v>
      </c>
      <c r="Q16" s="41"/>
      <c r="R16" s="39"/>
      <c r="V16" s="76">
        <f>SUM(V17:V23)</f>
        <v>47236.64</v>
      </c>
      <c r="W16" s="40"/>
      <c r="X16" s="41"/>
      <c r="Y16" s="30"/>
      <c r="Z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30">
        <v>45569.0</v>
      </c>
      <c r="I17" s="154"/>
      <c r="J17" s="17"/>
      <c r="K17" s="93"/>
      <c r="L17" s="155"/>
      <c r="M17" s="147" t="s">
        <v>2090</v>
      </c>
      <c r="N17" s="19">
        <v>4560.0</v>
      </c>
      <c r="O17" s="126" t="s">
        <v>2092</v>
      </c>
      <c r="P17" s="172">
        <v>0.46111111111111114</v>
      </c>
      <c r="Q17" s="41"/>
      <c r="R17" s="39"/>
      <c r="V17" s="109">
        <f>SUMIF(I:I,"斯特普思-泰华",J:J)</f>
        <v>802</v>
      </c>
      <c r="W17" s="26" t="s">
        <v>2093</v>
      </c>
      <c r="Y17" s="30"/>
      <c r="Z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30">
        <v>45569.0</v>
      </c>
      <c r="I18" s="154"/>
      <c r="J18" s="17"/>
      <c r="K18" s="93"/>
      <c r="L18" s="155"/>
      <c r="M18" s="147" t="s">
        <v>1968</v>
      </c>
      <c r="N18" s="19">
        <v>54700.0</v>
      </c>
      <c r="O18" s="126"/>
      <c r="P18" s="172">
        <v>0.7048611111111112</v>
      </c>
      <c r="Q18" s="41"/>
      <c r="R18" s="39"/>
      <c r="V18" s="109">
        <f>SUMIF(I:I,"邻点美国三不限户",J:J)</f>
        <v>300</v>
      </c>
      <c r="W18" s="26" t="s">
        <v>2094</v>
      </c>
      <c r="X18" s="41"/>
      <c r="Y18" s="30"/>
      <c r="Z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30">
        <v>45570.0</v>
      </c>
      <c r="I19" s="154" t="s">
        <v>2080</v>
      </c>
      <c r="J19" s="17">
        <v>30000.0</v>
      </c>
      <c r="K19" s="93" t="s">
        <v>1966</v>
      </c>
      <c r="L19" s="155">
        <v>0.3701388888888889</v>
      </c>
      <c r="M19" s="147"/>
      <c r="N19" s="19"/>
      <c r="O19" s="126"/>
      <c r="P19" s="172"/>
      <c r="Q19" s="41"/>
      <c r="R19" s="39"/>
      <c r="V19" s="109">
        <f>SUMIF(I:I,"FF139&amp;星辰-欧元户5%",J:J)</f>
        <v>1866</v>
      </c>
      <c r="W19" s="26" t="s">
        <v>2095</v>
      </c>
      <c r="X19" s="41"/>
      <c r="Y19" s="30"/>
      <c r="Z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30">
        <v>45570.0</v>
      </c>
      <c r="I20" s="154" t="s">
        <v>2096</v>
      </c>
      <c r="J20" s="17">
        <v>1990.76</v>
      </c>
      <c r="K20" s="93" t="s">
        <v>155</v>
      </c>
      <c r="L20" s="155">
        <v>0.58125</v>
      </c>
      <c r="M20" s="147"/>
      <c r="N20" s="19"/>
      <c r="O20" s="126"/>
      <c r="P20" s="172"/>
      <c r="Q20" s="41"/>
      <c r="R20" s="39"/>
      <c r="V20" s="109">
        <f>SUMIF(I:I,"印度测户-黑泽明",J:J)</f>
        <v>4988.35</v>
      </c>
      <c r="W20" s="26" t="s">
        <v>2097</v>
      </c>
      <c r="X20" s="41"/>
      <c r="Y20" s="30"/>
      <c r="Z20" s="30"/>
    </row>
    <row r="21" ht="27.75" customHeight="1">
      <c r="A21" s="29"/>
      <c r="B21" s="30"/>
      <c r="C21" s="77">
        <f>SUMIFS(J:J,H:H,"&gt;="&amp;$C$17,H:H,"&lt;="&amp;$C$19)</f>
        <v>1111450.062</v>
      </c>
      <c r="D21" s="30"/>
      <c r="E21" s="29"/>
      <c r="F21" s="30"/>
      <c r="G21" s="66">
        <v>15.0</v>
      </c>
      <c r="H21" s="130">
        <v>45570.0</v>
      </c>
      <c r="I21" s="154" t="s">
        <v>1968</v>
      </c>
      <c r="J21" s="17">
        <v>20660.0</v>
      </c>
      <c r="K21" s="93"/>
      <c r="L21" s="155">
        <v>0.58125</v>
      </c>
      <c r="M21" s="147" t="s">
        <v>1968</v>
      </c>
      <c r="N21" s="19">
        <v>52715.34</v>
      </c>
      <c r="O21" s="126" t="s">
        <v>2098</v>
      </c>
      <c r="P21" s="172"/>
      <c r="Q21" s="41"/>
      <c r="R21" s="39"/>
      <c r="V21" s="109">
        <f>SUMIF(I:I,"Shen wade&amp;BM户35+2+1江小南",J:J)</f>
        <v>3938.09</v>
      </c>
      <c r="W21" s="26" t="s">
        <v>2099</v>
      </c>
      <c r="X21" s="40"/>
      <c r="Y21" s="30"/>
      <c r="Z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30">
        <v>45572.0</v>
      </c>
      <c r="I22" s="154" t="s">
        <v>2080</v>
      </c>
      <c r="J22" s="17">
        <v>11502.0</v>
      </c>
      <c r="K22" s="92" t="s">
        <v>1966</v>
      </c>
      <c r="L22" s="155">
        <v>0.7527777777777778</v>
      </c>
      <c r="M22" s="147" t="s">
        <v>2100</v>
      </c>
      <c r="N22" s="19">
        <v>10290.0</v>
      </c>
      <c r="O22" s="126" t="s">
        <v>2101</v>
      </c>
      <c r="P22" s="172">
        <v>0.7972222222222223</v>
      </c>
      <c r="Q22" s="41"/>
      <c r="R22" s="39"/>
      <c r="V22" s="109">
        <f>SUMIF(I:I,"凤凰&amp;洛阳&amp;15+1（1200）&amp;8+1（60）",J:J)</f>
        <v>33351.44</v>
      </c>
      <c r="W22" s="26" t="s">
        <v>2102</v>
      </c>
      <c r="Y22" s="30"/>
      <c r="Z22" s="30"/>
    </row>
    <row r="23" ht="27.75" customHeight="1">
      <c r="A23" s="29"/>
      <c r="B23" s="30"/>
      <c r="C23" s="79">
        <f>SUMIFS(N:N,H:H,"&gt;="&amp;$C$17,H:H,"&lt;="&amp;$C$19)</f>
        <v>1015854.304</v>
      </c>
      <c r="D23" s="30"/>
      <c r="E23" s="29"/>
      <c r="F23" s="30"/>
      <c r="G23" s="66">
        <v>17.0</v>
      </c>
      <c r="H23" s="130">
        <v>45573.0</v>
      </c>
      <c r="I23" s="154"/>
      <c r="J23" s="17"/>
      <c r="K23" s="93"/>
      <c r="L23" s="155"/>
      <c r="M23" s="147" t="s">
        <v>2103</v>
      </c>
      <c r="N23" s="19">
        <v>140.0</v>
      </c>
      <c r="O23" s="126" t="s">
        <v>2104</v>
      </c>
      <c r="P23" s="172">
        <v>0.48194444444444445</v>
      </c>
      <c r="Q23" s="41"/>
      <c r="R23" s="39"/>
      <c r="V23" s="109">
        <f>SUMIF(I:I,"印度 金融，测户Old K",J:J)</f>
        <v>1990.76</v>
      </c>
      <c r="W23" s="26" t="s">
        <v>2105</v>
      </c>
      <c r="X23" s="76"/>
      <c r="Y23" s="30"/>
      <c r="Z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30">
        <v>45573.0</v>
      </c>
      <c r="I24" s="154" t="s">
        <v>2076</v>
      </c>
      <c r="J24" s="17">
        <v>30000.0</v>
      </c>
      <c r="K24" s="92" t="s">
        <v>155</v>
      </c>
      <c r="L24" s="155">
        <v>0.7513888888888889</v>
      </c>
      <c r="M24" s="147"/>
      <c r="N24" s="19"/>
      <c r="O24" s="126"/>
      <c r="P24" s="172"/>
      <c r="Q24" s="41"/>
      <c r="R24" s="39"/>
      <c r="V24" s="109">
        <f>SUMIF(I:I,"凯旋城三期印度",J:J)</f>
        <v>179526</v>
      </c>
      <c r="W24" s="26" t="s">
        <v>2080</v>
      </c>
      <c r="X24" s="40">
        <f>V24+'9月收支财务报表'!S32</f>
        <v>329526</v>
      </c>
      <c r="Y24" s="30"/>
      <c r="Z24" s="30"/>
    </row>
    <row r="25" ht="27.75" customHeight="1">
      <c r="A25" s="29"/>
      <c r="B25" s="30"/>
      <c r="C25" s="82">
        <f>C21-C23</f>
        <v>95595.75899</v>
      </c>
      <c r="D25" s="30"/>
      <c r="E25" s="29"/>
      <c r="F25" s="30"/>
      <c r="G25" s="66">
        <v>19.0</v>
      </c>
      <c r="H25" s="130">
        <v>45574.0</v>
      </c>
      <c r="I25" s="154"/>
      <c r="J25" s="17"/>
      <c r="K25" s="92"/>
      <c r="L25" s="155"/>
      <c r="M25" s="147" t="s">
        <v>2103</v>
      </c>
      <c r="N25" s="19">
        <v>175.0</v>
      </c>
      <c r="O25" s="126" t="s">
        <v>2106</v>
      </c>
      <c r="P25" s="172">
        <v>0.5486111111111112</v>
      </c>
      <c r="Q25" s="41"/>
      <c r="R25" s="39"/>
      <c r="V25" s="109">
        <f>SUMIF(I:I,"印度一期9/19",J:J)</f>
        <v>23298</v>
      </c>
      <c r="W25" s="26" t="s">
        <v>2087</v>
      </c>
      <c r="X25" s="40"/>
      <c r="Y25" s="30"/>
      <c r="Z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30">
        <v>45574.0</v>
      </c>
      <c r="I26" s="154"/>
      <c r="J26" s="17"/>
      <c r="K26" s="92"/>
      <c r="L26" s="155"/>
      <c r="M26" s="147" t="s">
        <v>1531</v>
      </c>
      <c r="N26" s="19">
        <v>555.0</v>
      </c>
      <c r="O26" s="126" t="s">
        <v>2107</v>
      </c>
      <c r="P26" s="172">
        <v>0.5708333333333333</v>
      </c>
      <c r="Q26" s="41"/>
      <c r="R26" s="39"/>
      <c r="V26" s="109">
        <f>SUMIF(I:I,"鼎盛专用广告费",J:J)</f>
        <v>150000</v>
      </c>
      <c r="W26" s="26" t="s">
        <v>2108</v>
      </c>
      <c r="X26" s="40"/>
      <c r="Y26" s="30"/>
      <c r="Z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30">
        <v>45574.0</v>
      </c>
      <c r="I27" s="154"/>
      <c r="J27" s="17"/>
      <c r="K27" s="92"/>
      <c r="L27" s="155"/>
      <c r="M27" s="147" t="s">
        <v>2103</v>
      </c>
      <c r="N27" s="19">
        <v>175.0</v>
      </c>
      <c r="O27" s="126" t="s">
        <v>2106</v>
      </c>
      <c r="P27" s="172">
        <v>15.27</v>
      </c>
      <c r="Q27" s="41"/>
      <c r="R27" s="39"/>
      <c r="V27" s="109">
        <f>SUMIF(I:I,"意大利蟑螂哥",J:J)</f>
        <v>16644</v>
      </c>
      <c r="W27" s="26" t="s">
        <v>1979</v>
      </c>
      <c r="X27" s="4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30">
        <v>45574.0</v>
      </c>
      <c r="I28" s="154"/>
      <c r="J28" s="17"/>
      <c r="K28" s="85"/>
      <c r="L28" s="86"/>
      <c r="M28" s="147" t="s">
        <v>827</v>
      </c>
      <c r="N28" s="19">
        <v>8174.09</v>
      </c>
      <c r="O28" s="126" t="s">
        <v>43</v>
      </c>
      <c r="P28" s="172">
        <v>0.7638888888888888</v>
      </c>
      <c r="Q28" s="41"/>
      <c r="R28" s="39"/>
      <c r="V28" s="109">
        <f>SUMIF(I:I,"德国股粉对接群",J:J)</f>
        <v>9045</v>
      </c>
      <c r="W28" s="26" t="s">
        <v>1642</v>
      </c>
      <c r="X28" s="41"/>
      <c r="Y28" s="30"/>
      <c r="Z28" s="30"/>
      <c r="AA28" s="30"/>
      <c r="AB28" s="30"/>
      <c r="AC28" s="4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30">
        <v>45574.0</v>
      </c>
      <c r="I29" s="154"/>
      <c r="J29" s="17"/>
      <c r="K29" s="92"/>
      <c r="L29" s="155"/>
      <c r="M29" s="147" t="s">
        <v>1829</v>
      </c>
      <c r="N29" s="19">
        <v>2000.72</v>
      </c>
      <c r="O29" s="126" t="s">
        <v>2109</v>
      </c>
      <c r="P29" s="172">
        <v>0.7673611111111112</v>
      </c>
      <c r="Q29" s="41"/>
      <c r="R29" s="39"/>
      <c r="V29" s="109">
        <f>SUMIF(I:I,"印度4期",J:J)</f>
        <v>300000</v>
      </c>
      <c r="W29" s="26" t="s">
        <v>2110</v>
      </c>
      <c r="X29" s="41"/>
      <c r="Y29" s="30"/>
      <c r="Z29" s="30"/>
      <c r="AA29" s="30"/>
      <c r="AB29" s="30"/>
      <c r="AC29" s="4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30">
        <v>45575.0</v>
      </c>
      <c r="I30" s="154"/>
      <c r="J30" s="17"/>
      <c r="K30" s="85"/>
      <c r="L30" s="86"/>
      <c r="M30" s="147" t="s">
        <v>2090</v>
      </c>
      <c r="N30" s="19">
        <v>160.0</v>
      </c>
      <c r="O30" s="126" t="s">
        <v>2091</v>
      </c>
      <c r="P30" s="172">
        <v>0.3416666666666667</v>
      </c>
      <c r="Q30" s="41"/>
      <c r="R30" s="39"/>
      <c r="S30" s="40" t="s">
        <v>2111</v>
      </c>
      <c r="U30" s="40"/>
      <c r="V30" s="109">
        <f>SUMIF(I:I,"土耳其/A李信",J:J)</f>
        <v>26000</v>
      </c>
      <c r="W30" s="26" t="s">
        <v>1960</v>
      </c>
      <c r="X30" s="41"/>
      <c r="Y30" s="30"/>
      <c r="Z30" s="30"/>
      <c r="AA30" s="30"/>
      <c r="AB30" s="30"/>
      <c r="AC30" s="4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30">
        <v>45575.0</v>
      </c>
      <c r="I31" s="154"/>
      <c r="J31" s="17"/>
      <c r="K31" s="92"/>
      <c r="L31" s="155"/>
      <c r="M31" s="147" t="s">
        <v>2090</v>
      </c>
      <c r="N31" s="19">
        <v>1140.0</v>
      </c>
      <c r="O31" s="126" t="s">
        <v>2112</v>
      </c>
      <c r="P31" s="172">
        <v>0.3416666666666667</v>
      </c>
      <c r="Q31" s="41"/>
      <c r="R31" s="39"/>
      <c r="S31" s="40" t="s">
        <v>2111</v>
      </c>
      <c r="T31" s="76"/>
      <c r="U31" s="40"/>
      <c r="V31" s="109">
        <f>SUMIF(I:I,"印度17期",J:J)</f>
        <v>66700</v>
      </c>
      <c r="W31" s="26" t="s">
        <v>695</v>
      </c>
      <c r="X31" s="41"/>
      <c r="Y31" s="30"/>
      <c r="Z31" s="30"/>
      <c r="AA31" s="30"/>
      <c r="AB31" s="30"/>
      <c r="AC31" s="4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30">
        <v>45575.0</v>
      </c>
      <c r="I32" s="84"/>
      <c r="J32" s="17"/>
      <c r="K32" s="93"/>
      <c r="L32" s="155"/>
      <c r="M32" s="147" t="s">
        <v>2090</v>
      </c>
      <c r="N32" s="19">
        <v>5700.0</v>
      </c>
      <c r="O32" s="126" t="s">
        <v>2113</v>
      </c>
      <c r="P32" s="172">
        <v>0.4284722222222222</v>
      </c>
      <c r="Q32" s="41"/>
      <c r="R32" s="39"/>
      <c r="S32" s="246"/>
      <c r="T32" s="40"/>
      <c r="U32" s="40"/>
      <c r="V32" s="109">
        <f>SUMIF(I:I,"印度18期",J:J)</f>
        <v>200000</v>
      </c>
      <c r="W32" s="26" t="s">
        <v>495</v>
      </c>
      <c r="X32" s="41">
        <f>V32+'11月收支财务报表'!S41</f>
        <v>233121</v>
      </c>
      <c r="Z32" s="30"/>
      <c r="AA32" s="30"/>
      <c r="AB32" s="30"/>
      <c r="AC32" s="4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30">
        <v>45575.0</v>
      </c>
      <c r="I33" s="154"/>
      <c r="J33" s="17"/>
      <c r="K33" s="92"/>
      <c r="L33" s="155"/>
      <c r="M33" s="147" t="s">
        <v>2114</v>
      </c>
      <c r="N33" s="19">
        <v>1170.0</v>
      </c>
      <c r="O33" s="126" t="s">
        <v>2115</v>
      </c>
      <c r="P33" s="172">
        <v>0.43472222222222223</v>
      </c>
      <c r="Q33" s="41"/>
      <c r="R33" s="39"/>
      <c r="S33" s="246"/>
      <c r="T33" s="40"/>
      <c r="U33" s="40"/>
      <c r="V33" s="103">
        <f>SUM(V24:V32)</f>
        <v>971213</v>
      </c>
      <c r="Z33" s="30"/>
      <c r="AA33" s="30"/>
      <c r="AB33" s="30"/>
      <c r="AC33" s="4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30">
        <v>45575.0</v>
      </c>
      <c r="I34" s="154"/>
      <c r="J34" s="17"/>
      <c r="K34" s="93"/>
      <c r="L34" s="155"/>
      <c r="M34" s="147" t="s">
        <v>20</v>
      </c>
      <c r="N34" s="19">
        <v>90.0</v>
      </c>
      <c r="O34" s="126" t="s">
        <v>2116</v>
      </c>
      <c r="P34" s="172">
        <v>0.4486111111111111</v>
      </c>
      <c r="Q34" s="41"/>
      <c r="R34" s="39"/>
      <c r="S34" s="40"/>
      <c r="T34" s="40"/>
      <c r="U34" s="40"/>
      <c r="Z34" s="30"/>
      <c r="AA34" s="30"/>
      <c r="AB34" s="30"/>
      <c r="AC34" s="4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30">
        <v>45575.0</v>
      </c>
      <c r="I35" s="154"/>
      <c r="J35" s="17"/>
      <c r="K35" s="85"/>
      <c r="L35" s="155"/>
      <c r="M35" s="147" t="s">
        <v>2114</v>
      </c>
      <c r="N35" s="19">
        <v>3300.0</v>
      </c>
      <c r="O35" s="126" t="s">
        <v>2117</v>
      </c>
      <c r="P35" s="172">
        <v>0.5083333333333333</v>
      </c>
      <c r="Q35" s="41"/>
      <c r="R35" s="39"/>
      <c r="S35" s="40" t="s">
        <v>2118</v>
      </c>
      <c r="T35" s="40"/>
      <c r="U35" s="40"/>
      <c r="Z35" s="30"/>
      <c r="AA35" s="30"/>
      <c r="AB35" s="30"/>
      <c r="AC35" s="4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30">
        <v>45575.0</v>
      </c>
      <c r="I36" s="84"/>
      <c r="J36" s="17"/>
      <c r="K36" s="85"/>
      <c r="L36" s="86"/>
      <c r="M36" s="147" t="s">
        <v>2090</v>
      </c>
      <c r="N36" s="19">
        <v>2280.0</v>
      </c>
      <c r="O36" s="126" t="s">
        <v>2119</v>
      </c>
      <c r="P36" s="172">
        <v>0.5104166666666666</v>
      </c>
      <c r="Q36" s="41"/>
      <c r="R36" s="39"/>
      <c r="S36" s="40"/>
      <c r="T36" s="40"/>
      <c r="U36" s="40"/>
      <c r="Z36" s="30"/>
      <c r="AA36" s="30"/>
      <c r="AB36" s="30"/>
      <c r="AC36" s="4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30">
        <v>45575.0</v>
      </c>
      <c r="I37" s="154"/>
      <c r="J37" s="17"/>
      <c r="K37" s="85"/>
      <c r="L37" s="86"/>
      <c r="M37" s="147" t="s">
        <v>20</v>
      </c>
      <c r="N37" s="19">
        <v>0.23</v>
      </c>
      <c r="O37" s="126" t="s">
        <v>2120</v>
      </c>
      <c r="P37" s="172">
        <v>0.5770833333333333</v>
      </c>
      <c r="Q37" s="41"/>
      <c r="R37" s="39"/>
      <c r="S37" s="247"/>
      <c r="T37" s="40"/>
      <c r="U37" s="40"/>
      <c r="Z37" s="30"/>
      <c r="AA37" s="30"/>
      <c r="AB37" s="30"/>
      <c r="AC37" s="4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30">
        <v>45575.0</v>
      </c>
      <c r="I38" s="154"/>
      <c r="J38" s="17"/>
      <c r="K38" s="85"/>
      <c r="L38" s="86"/>
      <c r="M38" s="147" t="s">
        <v>1653</v>
      </c>
      <c r="N38" s="19">
        <v>909.0</v>
      </c>
      <c r="O38" s="126" t="s">
        <v>2121</v>
      </c>
      <c r="P38" s="172">
        <v>0.5854166666666667</v>
      </c>
      <c r="Q38" s="41"/>
      <c r="R38" s="39"/>
      <c r="S38" s="246"/>
      <c r="T38" s="40"/>
      <c r="U38" s="40"/>
      <c r="V38" s="248">
        <f>SUMIF(M:M,"凤凰&amp;洛阳&amp;15+1（1200）&amp;8+1（60）",N:N)</f>
        <v>106624</v>
      </c>
      <c r="W38" s="101" t="s">
        <v>2076</v>
      </c>
      <c r="X38" s="249">
        <f>V38+V39</f>
        <v>147767.8</v>
      </c>
      <c r="Y38" s="30"/>
      <c r="Z38" s="30"/>
      <c r="AA38" s="30"/>
      <c r="AB38" s="30"/>
      <c r="AC38" s="4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30">
        <v>45575.0</v>
      </c>
      <c r="I39" s="154"/>
      <c r="J39" s="17"/>
      <c r="K39" s="92"/>
      <c r="L39" s="173"/>
      <c r="M39" s="147" t="s">
        <v>1531</v>
      </c>
      <c r="N39" s="19">
        <v>1130.0</v>
      </c>
      <c r="O39" s="126" t="s">
        <v>2122</v>
      </c>
      <c r="P39" s="172">
        <v>0.5986111111111111</v>
      </c>
      <c r="Q39" s="41"/>
      <c r="R39" s="39"/>
      <c r="S39" s="246"/>
      <c r="T39" s="40"/>
      <c r="U39" s="40"/>
      <c r="V39" s="248">
        <f>SUMIF(M:M,"凤凰&amp;洛阳&amp;10月",N:N)</f>
        <v>41143.8</v>
      </c>
      <c r="W39" s="26" t="s">
        <v>2123</v>
      </c>
      <c r="Z39" s="30"/>
      <c r="AA39" s="30"/>
      <c r="AB39" s="30"/>
      <c r="AC39" s="4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30">
        <v>45575.0</v>
      </c>
      <c r="I40" s="154" t="s">
        <v>2108</v>
      </c>
      <c r="J40" s="17">
        <v>100000.0</v>
      </c>
      <c r="K40" s="92"/>
      <c r="L40" s="155">
        <v>0.6090277777777777</v>
      </c>
      <c r="M40" s="147" t="s">
        <v>1653</v>
      </c>
      <c r="N40" s="19">
        <v>1527.0</v>
      </c>
      <c r="O40" s="126" t="s">
        <v>2124</v>
      </c>
      <c r="P40" s="172">
        <v>0.7097222222222223</v>
      </c>
      <c r="Q40" s="41"/>
      <c r="R40" s="39"/>
      <c r="S40" s="40" t="s">
        <v>2125</v>
      </c>
      <c r="T40" s="40"/>
      <c r="U40" s="40"/>
      <c r="V40" s="248">
        <f>SUMIF(M:M,"GT2&amp;SHEN 欧 4%+u1",N:N)</f>
        <v>20111.5375</v>
      </c>
      <c r="W40" s="26" t="s">
        <v>2126</v>
      </c>
      <c r="X40" s="76"/>
      <c r="Y40" s="30"/>
      <c r="Z40" s="30"/>
      <c r="AA40" s="30"/>
      <c r="AB40" s="30"/>
      <c r="AC40" s="4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30">
        <v>45576.0</v>
      </c>
      <c r="I41" s="154"/>
      <c r="J41" s="17"/>
      <c r="K41" s="93"/>
      <c r="L41" s="155"/>
      <c r="M41" s="147" t="s">
        <v>1531</v>
      </c>
      <c r="N41" s="19">
        <v>1110.0</v>
      </c>
      <c r="O41" s="126" t="s">
        <v>2127</v>
      </c>
      <c r="P41" s="172">
        <v>0.4798611111111111</v>
      </c>
      <c r="Q41" s="41"/>
      <c r="R41" s="39"/>
      <c r="S41" s="40"/>
      <c r="T41" s="40"/>
      <c r="U41" s="40"/>
      <c r="V41" s="248">
        <f>SUMIF(M:M,"GF&amp;SHEN美国户 开10u 10%+u1",N:N)</f>
        <v>35254.09</v>
      </c>
      <c r="W41" s="26" t="s">
        <v>1531</v>
      </c>
      <c r="X41" s="76"/>
      <c r="Y41" s="30"/>
      <c r="Z41" s="30"/>
      <c r="AA41" s="30"/>
      <c r="AB41" s="30"/>
      <c r="AC41" s="4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30">
        <v>45576.0</v>
      </c>
      <c r="I42" s="154"/>
      <c r="J42" s="17"/>
      <c r="K42" s="92"/>
      <c r="L42" s="155"/>
      <c r="M42" s="147" t="s">
        <v>2090</v>
      </c>
      <c r="N42" s="19">
        <v>5700.0</v>
      </c>
      <c r="O42" s="126" t="s">
        <v>2128</v>
      </c>
      <c r="P42" s="172">
        <v>0.48333333333333334</v>
      </c>
      <c r="Q42" s="41"/>
      <c r="R42" s="39"/>
      <c r="S42" s="247"/>
      <c r="T42" s="40"/>
      <c r="U42" s="40"/>
      <c r="V42" s="248">
        <f>SUMIF(M:M,"GT&amp;SHEN 台湾户 开 20 10%u1",N:N)</f>
        <v>16992.9</v>
      </c>
      <c r="W42" s="26" t="s">
        <v>2129</v>
      </c>
      <c r="Y42" s="30"/>
      <c r="Z42" s="30"/>
      <c r="AA42" s="30"/>
      <c r="AB42" s="30"/>
      <c r="AC42" s="4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30">
        <v>45576.0</v>
      </c>
      <c r="I43" s="154"/>
      <c r="J43" s="17"/>
      <c r="K43" s="93"/>
      <c r="L43" s="155"/>
      <c r="M43" s="147" t="s">
        <v>2090</v>
      </c>
      <c r="N43" s="19">
        <v>1140.0</v>
      </c>
      <c r="O43" s="126" t="s">
        <v>2130</v>
      </c>
      <c r="P43" s="172">
        <v>0.5861111111111111</v>
      </c>
      <c r="Q43" s="41"/>
      <c r="R43" s="39"/>
      <c r="S43" s="40"/>
      <c r="T43" s="40"/>
      <c r="U43" s="40"/>
      <c r="V43" s="109">
        <f>SUMIF(M:M,"启航广告费",N:N)</f>
        <v>286627.73</v>
      </c>
      <c r="W43" s="26" t="s">
        <v>827</v>
      </c>
      <c r="X43" s="76" t="s">
        <v>2131</v>
      </c>
      <c r="Y43" s="30"/>
      <c r="Z43" s="30"/>
      <c r="AA43" s="30"/>
      <c r="AB43" s="30"/>
      <c r="AC43" s="4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30">
        <v>45576.0</v>
      </c>
      <c r="I44" s="84"/>
      <c r="J44" s="17"/>
      <c r="K44" s="85"/>
      <c r="L44" s="86"/>
      <c r="M44" s="147" t="s">
        <v>827</v>
      </c>
      <c r="N44" s="19">
        <v>10000.0</v>
      </c>
      <c r="O44" s="126" t="s">
        <v>43</v>
      </c>
      <c r="P44" s="172">
        <v>0.63125</v>
      </c>
      <c r="Q44" s="41"/>
      <c r="R44" s="39"/>
      <c r="S44" s="40"/>
      <c r="T44" s="40"/>
      <c r="U44" s="40"/>
      <c r="V44" s="109">
        <f>SUMIF(M:M,"BM户测试大白&amp;",N:N)</f>
        <v>31344.74</v>
      </c>
      <c r="W44" s="26" t="s">
        <v>2090</v>
      </c>
      <c r="X44" s="40">
        <f>V44+'9月收支财务报表'!S19</f>
        <v>31794.74</v>
      </c>
      <c r="Y44" s="30"/>
      <c r="Z44" s="30"/>
      <c r="AA44" s="30"/>
      <c r="AB44" s="30"/>
      <c r="AC44" s="4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30">
        <v>45576.0</v>
      </c>
      <c r="I45" s="154"/>
      <c r="J45" s="17"/>
      <c r="K45" s="85"/>
      <c r="L45" s="155"/>
      <c r="M45" s="147" t="s">
        <v>1531</v>
      </c>
      <c r="N45" s="19">
        <v>20.2</v>
      </c>
      <c r="O45" s="126" t="s">
        <v>2132</v>
      </c>
      <c r="P45" s="172">
        <v>0.7597222222222222</v>
      </c>
      <c r="Q45" s="41"/>
      <c r="R45" s="39"/>
      <c r="S45" s="40"/>
      <c r="T45" s="40"/>
      <c r="U45" s="40"/>
      <c r="V45" s="109">
        <f>SUMIF(M:M,"印度粉测试",N:N)</f>
        <v>10290</v>
      </c>
      <c r="W45" s="26" t="s">
        <v>2133</v>
      </c>
      <c r="X45" s="76">
        <f>V45+'9月收支财务报表'!S18</f>
        <v>15540</v>
      </c>
      <c r="Y45" s="30"/>
      <c r="Z45" s="30"/>
      <c r="AA45" s="30"/>
      <c r="AB45" s="30"/>
      <c r="AC45" s="4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30">
        <v>45576.0</v>
      </c>
      <c r="I46" s="84"/>
      <c r="J46" s="17"/>
      <c r="K46" s="93"/>
      <c r="L46" s="155"/>
      <c r="M46" s="147" t="s">
        <v>1653</v>
      </c>
      <c r="N46" s="19">
        <v>1419.0</v>
      </c>
      <c r="O46" s="126" t="s">
        <v>432</v>
      </c>
      <c r="P46" s="172">
        <v>0.7770833333333333</v>
      </c>
      <c r="Q46" s="41"/>
      <c r="R46" s="39"/>
      <c r="T46" s="40"/>
      <c r="U46" s="40"/>
      <c r="V46" s="109">
        <f>SUMIF(M:M,"bm5-mingzihaha",N:N)</f>
        <v>490</v>
      </c>
      <c r="W46" s="26" t="s">
        <v>2103</v>
      </c>
      <c r="X46" s="40"/>
      <c r="Y46" s="30"/>
      <c r="Z46" s="30"/>
      <c r="AA46" s="30"/>
      <c r="AB46" s="30"/>
      <c r="AC46" s="4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30">
        <v>45577.0</v>
      </c>
      <c r="I47" s="154" t="s">
        <v>1979</v>
      </c>
      <c r="J47" s="17">
        <v>4301.0</v>
      </c>
      <c r="K47" s="92"/>
      <c r="L47" s="155" t="s">
        <v>2134</v>
      </c>
      <c r="M47" s="147" t="s">
        <v>1653</v>
      </c>
      <c r="N47" s="19">
        <v>1111.0</v>
      </c>
      <c r="O47" s="126"/>
      <c r="P47" s="172">
        <v>0.45625</v>
      </c>
      <c r="Q47" s="41"/>
      <c r="R47" s="39"/>
      <c r="S47" s="40"/>
      <c r="T47" s="40"/>
      <c r="U47" s="40"/>
      <c r="V47" s="109">
        <f>SUMIF(M:M,"账单户广告费",N:N)</f>
        <v>22006.16</v>
      </c>
      <c r="W47" s="26" t="s">
        <v>1829</v>
      </c>
      <c r="X47" s="40"/>
      <c r="Y47" s="30"/>
      <c r="Z47" s="30"/>
      <c r="AA47" s="30"/>
      <c r="AB47" s="30"/>
      <c r="AC47" s="4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30">
        <v>45577.0</v>
      </c>
      <c r="I48" s="154"/>
      <c r="J48" s="17"/>
      <c r="K48" s="93"/>
      <c r="L48" s="155"/>
      <c r="M48" s="147" t="s">
        <v>1829</v>
      </c>
      <c r="N48" s="19">
        <v>1000.37</v>
      </c>
      <c r="O48" s="126"/>
      <c r="P48" s="172">
        <v>0.5583333333333333</v>
      </c>
      <c r="Q48" s="41"/>
      <c r="R48" s="39"/>
      <c r="S48" s="40"/>
      <c r="T48" s="40"/>
      <c r="U48" s="40"/>
      <c r="V48" s="109">
        <f>SUMIF(M:M,"Shen wade&amp;BM户35+2+1江小南",N:N)</f>
        <v>4470</v>
      </c>
      <c r="W48" s="26" t="s">
        <v>2114</v>
      </c>
      <c r="X48" s="40"/>
      <c r="Y48" s="30"/>
      <c r="Z48" s="30"/>
      <c r="AA48" s="30"/>
      <c r="AB48" s="30"/>
      <c r="AC48" s="4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30">
        <v>45577.0</v>
      </c>
      <c r="I49" s="154"/>
      <c r="J49" s="17"/>
      <c r="K49" s="93"/>
      <c r="L49" s="155"/>
      <c r="M49" s="147" t="s">
        <v>2135</v>
      </c>
      <c r="N49" s="19">
        <v>120.0</v>
      </c>
      <c r="O49" s="126" t="s">
        <v>427</v>
      </c>
      <c r="P49" s="172">
        <v>0.6923611111111111</v>
      </c>
      <c r="Q49" s="41"/>
      <c r="R49" s="39"/>
      <c r="S49" s="40"/>
      <c r="T49" s="40"/>
      <c r="U49" s="40"/>
      <c r="V49" s="109">
        <f>SUMIF(M:M,"广告配套",N:N)</f>
        <v>2594.69</v>
      </c>
      <c r="W49" s="26" t="s">
        <v>20</v>
      </c>
      <c r="Y49" s="30"/>
      <c r="Z49" s="30"/>
      <c r="AA49" s="30"/>
      <c r="AB49" s="30"/>
      <c r="AC49" s="4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45577.0</v>
      </c>
      <c r="I50" s="154"/>
      <c r="J50" s="69"/>
      <c r="K50" s="93"/>
      <c r="L50" s="88"/>
      <c r="M50" s="147" t="s">
        <v>1653</v>
      </c>
      <c r="N50" s="90">
        <v>3168.0</v>
      </c>
      <c r="O50" s="126"/>
      <c r="P50" s="94" t="s">
        <v>2136</v>
      </c>
      <c r="Q50" s="41"/>
      <c r="R50" s="39"/>
      <c r="T50" s="40"/>
      <c r="U50" s="40"/>
      <c r="V50" s="109">
        <f>SUMIF(M:M,"十月二不限-泰华",N:N)</f>
        <v>88387.9</v>
      </c>
      <c r="W50" s="26" t="s">
        <v>1653</v>
      </c>
      <c r="Y50" s="30"/>
      <c r="Z50" s="30"/>
      <c r="AA50" s="30"/>
      <c r="AB50" s="30"/>
      <c r="AC50" s="4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30">
        <v>45578.0</v>
      </c>
      <c r="I51" s="154" t="s">
        <v>1979</v>
      </c>
      <c r="J51" s="69">
        <v>5598.0</v>
      </c>
      <c r="K51" s="93"/>
      <c r="L51" s="88" t="s">
        <v>2137</v>
      </c>
      <c r="M51" s="147" t="s">
        <v>1829</v>
      </c>
      <c r="N51" s="19">
        <v>1500.04</v>
      </c>
      <c r="O51" s="126"/>
      <c r="P51" s="172">
        <v>0.5125</v>
      </c>
      <c r="Q51" s="41"/>
      <c r="R51" s="39"/>
      <c r="S51" s="40"/>
      <c r="T51" s="40"/>
      <c r="U51" s="40"/>
      <c r="V51" s="109">
        <f>SUMIF(M:M,"三不限-泰华709-Sherry",N:N)</f>
        <v>1905</v>
      </c>
      <c r="W51" s="26" t="s">
        <v>2135</v>
      </c>
      <c r="X51" s="95" t="s">
        <v>2138</v>
      </c>
      <c r="Y51" s="30"/>
      <c r="Z51" s="30"/>
      <c r="AA51" s="30"/>
      <c r="AB51" s="30"/>
      <c r="AC51" s="4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45578.0</v>
      </c>
      <c r="I52" s="68"/>
      <c r="J52" s="69"/>
      <c r="K52" s="87"/>
      <c r="L52" s="71"/>
      <c r="M52" s="72" t="s">
        <v>2090</v>
      </c>
      <c r="N52" s="90">
        <v>2524.74</v>
      </c>
      <c r="O52" s="74" t="s">
        <v>2139</v>
      </c>
      <c r="P52" s="75">
        <v>0.9354166666666667</v>
      </c>
      <c r="Q52" s="41"/>
      <c r="R52" s="39"/>
      <c r="S52" s="40"/>
      <c r="T52" s="40"/>
      <c r="U52" s="40"/>
      <c r="V52" s="109">
        <f>SUMIF(M:M,"狗头账单户",N:N)</f>
        <v>254</v>
      </c>
      <c r="W52" s="26" t="s">
        <v>2140</v>
      </c>
      <c r="Y52" s="30"/>
      <c r="Z52" s="30"/>
      <c r="AA52" s="30"/>
      <c r="AB52" s="30"/>
      <c r="AC52" s="4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45578.0</v>
      </c>
      <c r="I53" s="68"/>
      <c r="J53" s="69"/>
      <c r="K53" s="70"/>
      <c r="L53" s="88"/>
      <c r="M53" s="72" t="s">
        <v>1829</v>
      </c>
      <c r="N53" s="90">
        <v>1000.95</v>
      </c>
      <c r="O53" s="74"/>
      <c r="P53" s="75">
        <v>0.9840277777777777</v>
      </c>
      <c r="Q53" s="41"/>
      <c r="R53" s="39"/>
      <c r="S53" s="40"/>
      <c r="T53" s="40"/>
      <c r="U53" s="40"/>
      <c r="V53" s="109">
        <f>SUMIF(M:M,"印度测户-黑泽明",N:N)</f>
        <v>5492.25</v>
      </c>
      <c r="W53" s="26" t="s">
        <v>2141</v>
      </c>
      <c r="X53" s="95" t="s">
        <v>2142</v>
      </c>
      <c r="Y53" s="30"/>
      <c r="Z53" s="30"/>
      <c r="AA53" s="30"/>
      <c r="AB53" s="30"/>
      <c r="AC53" s="4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45579.0</v>
      </c>
      <c r="I54" s="84"/>
      <c r="J54" s="17"/>
      <c r="K54" s="85"/>
      <c r="L54" s="86"/>
      <c r="M54" s="72" t="s">
        <v>1531</v>
      </c>
      <c r="N54" s="90">
        <v>1681.07</v>
      </c>
      <c r="O54" s="74" t="s">
        <v>2143</v>
      </c>
      <c r="P54" s="75">
        <v>0.42430555555555555</v>
      </c>
      <c r="Q54" s="41"/>
      <c r="R54" s="39"/>
      <c r="S54" s="40"/>
      <c r="T54" s="40"/>
      <c r="U54" s="40"/>
      <c r="V54" s="109">
        <f>SUMIF(M:M,"越南户测试-船奇",N:N)</f>
        <v>25875</v>
      </c>
      <c r="W54" s="26" t="s">
        <v>2144</v>
      </c>
      <c r="X54" s="95" t="s">
        <v>2145</v>
      </c>
      <c r="Y54" s="30"/>
      <c r="Z54" s="30"/>
      <c r="AA54" s="30"/>
      <c r="AB54" s="30"/>
      <c r="AC54" s="4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45579.0</v>
      </c>
      <c r="I55" s="68"/>
      <c r="J55" s="69"/>
      <c r="K55" s="87"/>
      <c r="L55" s="71"/>
      <c r="M55" s="72" t="s">
        <v>1531</v>
      </c>
      <c r="N55" s="90">
        <v>1110.0</v>
      </c>
      <c r="O55" s="74" t="s">
        <v>2146</v>
      </c>
      <c r="P55" s="75">
        <v>0.42777777777777776</v>
      </c>
      <c r="Q55" s="41"/>
      <c r="R55" s="39"/>
      <c r="S55" s="76"/>
      <c r="T55" s="40"/>
      <c r="U55" s="40"/>
      <c r="V55" s="109">
        <f>SUMIF(M:M,"博程-欧洲美金户-泰华",N:N)</f>
        <v>7150</v>
      </c>
      <c r="W55" s="26" t="s">
        <v>2147</v>
      </c>
      <c r="X55" s="95" t="s">
        <v>2145</v>
      </c>
      <c r="Y55" s="30"/>
      <c r="Z55" s="30"/>
      <c r="AA55" s="30"/>
      <c r="AB55" s="30"/>
      <c r="AC55" s="4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45579.0</v>
      </c>
      <c r="I56" s="154"/>
      <c r="J56" s="69"/>
      <c r="K56" s="87"/>
      <c r="L56" s="71"/>
      <c r="M56" s="72" t="s">
        <v>2090</v>
      </c>
      <c r="N56" s="90">
        <v>5700.0</v>
      </c>
      <c r="O56" s="74" t="s">
        <v>2148</v>
      </c>
      <c r="P56" s="75">
        <v>0.4951388888888889</v>
      </c>
      <c r="Q56" s="41"/>
      <c r="R56" s="39"/>
      <c r="S56" s="76"/>
      <c r="T56" s="40"/>
      <c r="U56" s="40"/>
      <c r="V56" s="109">
        <f>SUMIF(M:M,"FA-泰华印度1016",N:N)</f>
        <v>20260</v>
      </c>
      <c r="W56" s="26" t="s">
        <v>2149</v>
      </c>
      <c r="Y56" s="30"/>
      <c r="Z56" s="30"/>
      <c r="AA56" s="30"/>
      <c r="AB56" s="30"/>
      <c r="AC56" s="4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45579.0</v>
      </c>
      <c r="I57" s="68"/>
      <c r="J57" s="69"/>
      <c r="K57" s="70"/>
      <c r="L57" s="71"/>
      <c r="M57" s="72" t="s">
        <v>1531</v>
      </c>
      <c r="N57" s="90">
        <v>3330.0</v>
      </c>
      <c r="O57" s="74" t="s">
        <v>2150</v>
      </c>
      <c r="P57" s="75">
        <v>0.5854166666666667</v>
      </c>
      <c r="Q57" s="41"/>
      <c r="R57" s="39"/>
      <c r="S57" s="40"/>
      <c r="T57" s="40"/>
      <c r="U57" s="40"/>
      <c r="V57" s="109">
        <f>SUMIF(M:M,"斯特普思-泰华",N:N)</f>
        <v>4200</v>
      </c>
      <c r="W57" s="26" t="s">
        <v>2151</v>
      </c>
      <c r="X57" s="250"/>
      <c r="Y57" s="30"/>
      <c r="Z57" s="30"/>
      <c r="AA57" s="30"/>
      <c r="AB57" s="30"/>
      <c r="AC57" s="4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45579.0</v>
      </c>
      <c r="I58" s="68"/>
      <c r="J58" s="69"/>
      <c r="K58" s="87"/>
      <c r="L58" s="71"/>
      <c r="M58" s="72" t="s">
        <v>2090</v>
      </c>
      <c r="N58" s="90">
        <v>2280.0</v>
      </c>
      <c r="O58" s="74" t="s">
        <v>2152</v>
      </c>
      <c r="P58" s="75">
        <v>0.5986111111111111</v>
      </c>
      <c r="Q58" s="41"/>
      <c r="R58" s="39"/>
      <c r="S58" s="76"/>
      <c r="T58" s="40"/>
      <c r="U58" s="40"/>
      <c r="V58" s="109">
        <f>SUMIF(M:M,"深圳芳林子@SHEN 户",N:N)</f>
        <v>110069.8</v>
      </c>
      <c r="W58" s="26" t="s">
        <v>1345</v>
      </c>
      <c r="Y58" s="30"/>
      <c r="Z58" s="30"/>
      <c r="AA58" s="30"/>
      <c r="AB58" s="30"/>
      <c r="AC58" s="4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45579.0</v>
      </c>
      <c r="I59" s="68"/>
      <c r="J59" s="69"/>
      <c r="K59" s="85"/>
      <c r="L59" s="71"/>
      <c r="M59" s="72" t="s">
        <v>1531</v>
      </c>
      <c r="N59" s="90">
        <v>1111.23</v>
      </c>
      <c r="O59" s="74" t="s">
        <v>2153</v>
      </c>
      <c r="P59" s="75">
        <v>0.5944444444444444</v>
      </c>
      <c r="Q59" s="41"/>
      <c r="R59" s="39"/>
      <c r="S59" s="40"/>
      <c r="T59" s="40"/>
      <c r="U59" s="40"/>
      <c r="V59" s="109">
        <f>SUMIF(M:M,"BH欧洲户-泰华-欧洲企业户-6+1",N:N)</f>
        <v>1070.6</v>
      </c>
      <c r="W59" s="26" t="s">
        <v>2008</v>
      </c>
      <c r="X59" s="250" t="s">
        <v>2154</v>
      </c>
      <c r="Y59" s="30"/>
      <c r="Z59" s="30"/>
      <c r="AA59" s="30"/>
      <c r="AB59" s="30"/>
      <c r="AC59" s="4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45579.0</v>
      </c>
      <c r="I60" s="68"/>
      <c r="J60" s="69"/>
      <c r="K60" s="85"/>
      <c r="L60" s="71"/>
      <c r="M60" s="72" t="s">
        <v>20</v>
      </c>
      <c r="N60" s="90">
        <v>90.0</v>
      </c>
      <c r="O60" s="74" t="s">
        <v>2155</v>
      </c>
      <c r="P60" s="75">
        <v>0.6444444444444445</v>
      </c>
      <c r="Q60" s="41"/>
      <c r="R60" s="39"/>
      <c r="S60" s="40"/>
      <c r="T60" s="40"/>
      <c r="U60" s="40"/>
      <c r="V60" s="25">
        <f>SUMIF(M:M,"Fb966半限户-啊噗",N:N)</f>
        <v>1051.26</v>
      </c>
      <c r="W60" s="101" t="s">
        <v>1950</v>
      </c>
      <c r="Y60" s="30"/>
      <c r="Z60" s="30"/>
      <c r="AA60" s="30"/>
      <c r="AB60" s="30"/>
      <c r="AC60" s="4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45579.0</v>
      </c>
      <c r="I61" s="68"/>
      <c r="J61" s="69"/>
      <c r="K61" s="85"/>
      <c r="L61" s="71"/>
      <c r="M61" s="72" t="s">
        <v>20</v>
      </c>
      <c r="N61" s="90">
        <v>423.77</v>
      </c>
      <c r="O61" s="74" t="s">
        <v>2156</v>
      </c>
      <c r="P61" s="75">
        <v>0.6604166666666667</v>
      </c>
      <c r="Q61" s="41"/>
      <c r="R61" s="39"/>
      <c r="S61" s="40"/>
      <c r="T61" s="40"/>
      <c r="U61" s="40"/>
      <c r="V61" s="25">
        <f>SUMIF(M:M,"邻点美国三不限户",N:N)</f>
        <v>3660</v>
      </c>
      <c r="W61" s="101" t="s">
        <v>2157</v>
      </c>
      <c r="X61" s="95" t="s">
        <v>2158</v>
      </c>
      <c r="Y61" s="30"/>
      <c r="Z61" s="30"/>
      <c r="AA61" s="30"/>
      <c r="AB61" s="30"/>
      <c r="AC61" s="4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45579.0</v>
      </c>
      <c r="I62" s="68"/>
      <c r="J62" s="69"/>
      <c r="K62" s="87"/>
      <c r="L62" s="71"/>
      <c r="M62" s="72" t="s">
        <v>2135</v>
      </c>
      <c r="N62" s="90">
        <v>1785.0</v>
      </c>
      <c r="O62" s="74" t="s">
        <v>2159</v>
      </c>
      <c r="P62" s="75">
        <v>0.66875</v>
      </c>
      <c r="Q62" s="41"/>
      <c r="R62" s="39"/>
      <c r="T62" s="40"/>
      <c r="U62" s="40"/>
      <c r="V62" s="25">
        <f>SUMIF(M:M,"Chris Ryan&amp;二不限 麦芽互动 下户-西柚",N:N)</f>
        <v>1832.52</v>
      </c>
      <c r="W62" s="101" t="s">
        <v>2037</v>
      </c>
      <c r="X62" s="251"/>
      <c r="Y62" s="30"/>
      <c r="Z62" s="30"/>
      <c r="AA62" s="30"/>
      <c r="AB62" s="30"/>
      <c r="AC62" s="4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45579.0</v>
      </c>
      <c r="I63" s="68" t="s">
        <v>2114</v>
      </c>
      <c r="J63" s="69">
        <v>3938.09</v>
      </c>
      <c r="K63" s="70" t="s">
        <v>155</v>
      </c>
      <c r="L63" s="88" t="s">
        <v>2160</v>
      </c>
      <c r="M63" s="72" t="s">
        <v>2140</v>
      </c>
      <c r="N63" s="90">
        <v>254.0</v>
      </c>
      <c r="O63" s="74" t="s">
        <v>2161</v>
      </c>
      <c r="P63" s="75">
        <v>0.7131944444444445</v>
      </c>
      <c r="Q63" s="41"/>
      <c r="R63" s="39"/>
      <c r="S63" s="76"/>
      <c r="T63" s="40"/>
      <c r="U63" s="40"/>
      <c r="V63" s="25">
        <f>SUMIF(M:M,"印度企业户100u➕14%扎克伯克",N:N)</f>
        <v>1256.986</v>
      </c>
      <c r="W63" s="101" t="s">
        <v>1952</v>
      </c>
      <c r="X63" s="41"/>
      <c r="Y63" s="30"/>
      <c r="Z63" s="30"/>
      <c r="AA63" s="30"/>
      <c r="AB63" s="30"/>
      <c r="AC63" s="4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45580.0</v>
      </c>
      <c r="I64" s="154" t="s">
        <v>1979</v>
      </c>
      <c r="J64" s="69">
        <v>3325.0</v>
      </c>
      <c r="K64" s="87"/>
      <c r="L64" s="71">
        <v>0.11597222222222223</v>
      </c>
      <c r="M64" s="72" t="s">
        <v>2141</v>
      </c>
      <c r="N64" s="90">
        <v>2701.75</v>
      </c>
      <c r="O64" s="74" t="s">
        <v>2162</v>
      </c>
      <c r="P64" s="75">
        <v>0.5972222222222222</v>
      </c>
      <c r="Q64" s="41"/>
      <c r="R64" s="39"/>
      <c r="S64" s="76"/>
      <c r="T64" s="40"/>
      <c r="U64" s="40"/>
      <c r="V64" s="252">
        <f>SUM(V38:V63)</f>
        <v>850414.9635</v>
      </c>
      <c r="W64" s="76"/>
      <c r="X64" s="41"/>
      <c r="Y64" s="30"/>
      <c r="Z64" s="30"/>
      <c r="AA64" s="30"/>
      <c r="AB64" s="30"/>
      <c r="AC64" s="4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45580.0</v>
      </c>
      <c r="I65" s="68"/>
      <c r="J65" s="69"/>
      <c r="K65" s="70"/>
      <c r="L65" s="71"/>
      <c r="M65" s="72" t="s">
        <v>1531</v>
      </c>
      <c r="N65" s="90">
        <v>5550.0</v>
      </c>
      <c r="O65" s="74" t="s">
        <v>2163</v>
      </c>
      <c r="P65" s="75">
        <v>0.6465277777777778</v>
      </c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  <c r="AC65" s="4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45580.0</v>
      </c>
      <c r="I66" s="68" t="s">
        <v>1642</v>
      </c>
      <c r="J66" s="69">
        <v>3375.0</v>
      </c>
      <c r="K66" s="70" t="s">
        <v>2164</v>
      </c>
      <c r="L66" s="71">
        <v>0.6361111111111111</v>
      </c>
      <c r="M66" s="147" t="s">
        <v>1829</v>
      </c>
      <c r="N66" s="90">
        <v>2000.99</v>
      </c>
      <c r="O66" s="74"/>
      <c r="P66" s="75">
        <v>0.6930555555555555</v>
      </c>
      <c r="Q66" s="41"/>
      <c r="R66" s="39"/>
      <c r="S66" s="40"/>
      <c r="T66" s="40"/>
      <c r="U66" s="40"/>
      <c r="V66" s="40"/>
      <c r="W66" s="40"/>
      <c r="X66" s="41"/>
      <c r="Y66" s="30"/>
      <c r="Z66" s="30"/>
      <c r="AA66" s="30"/>
      <c r="AB66" s="30"/>
      <c r="AC66" s="4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45580.0</v>
      </c>
      <c r="I67" s="68"/>
      <c r="J67" s="69"/>
      <c r="K67" s="70"/>
      <c r="L67" s="88"/>
      <c r="M67" s="72" t="s">
        <v>2144</v>
      </c>
      <c r="N67" s="90">
        <v>2875.0</v>
      </c>
      <c r="O67" s="74" t="s">
        <v>2165</v>
      </c>
      <c r="P67" s="75">
        <v>0.7791666666666667</v>
      </c>
      <c r="Q67" s="41"/>
      <c r="R67" s="39"/>
      <c r="T67" s="40"/>
      <c r="U67" s="40"/>
      <c r="V67" s="40"/>
      <c r="W67" s="40"/>
      <c r="X67" s="41"/>
      <c r="Y67" s="30"/>
      <c r="Z67" s="30"/>
      <c r="AA67" s="30"/>
      <c r="AB67" s="30"/>
      <c r="AC67" s="4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45581.0</v>
      </c>
      <c r="I68" s="68"/>
      <c r="J68" s="69"/>
      <c r="K68" s="87"/>
      <c r="L68" s="71"/>
      <c r="M68" s="72" t="s">
        <v>20</v>
      </c>
      <c r="N68" s="90">
        <v>762.0</v>
      </c>
      <c r="O68" s="74" t="s">
        <v>2166</v>
      </c>
      <c r="P68" s="75">
        <v>0.4756944444444444</v>
      </c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  <c r="AC68" s="4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45581.0</v>
      </c>
      <c r="I69" s="84"/>
      <c r="J69" s="17"/>
      <c r="K69" s="85"/>
      <c r="L69" s="86"/>
      <c r="M69" s="147" t="s">
        <v>1829</v>
      </c>
      <c r="N69" s="90">
        <v>2000.02</v>
      </c>
      <c r="O69" s="126"/>
      <c r="P69" s="75">
        <v>0.5638888888888889</v>
      </c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  <c r="AC69" s="4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45581.0</v>
      </c>
      <c r="I70" s="68"/>
      <c r="J70" s="69"/>
      <c r="K70" s="85"/>
      <c r="L70" s="71"/>
      <c r="M70" s="72" t="s">
        <v>20</v>
      </c>
      <c r="N70" s="90">
        <v>210.69</v>
      </c>
      <c r="O70" s="74" t="s">
        <v>275</v>
      </c>
      <c r="P70" s="75">
        <v>0.5909722222222222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  <c r="AC70" s="4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45581.0</v>
      </c>
      <c r="I71" s="68"/>
      <c r="J71" s="69"/>
      <c r="K71" s="70"/>
      <c r="L71" s="71"/>
      <c r="M71" s="72" t="s">
        <v>20</v>
      </c>
      <c r="N71" s="90">
        <v>45.0</v>
      </c>
      <c r="O71" s="74" t="s">
        <v>1986</v>
      </c>
      <c r="P71" s="75">
        <v>0.5923611111111111</v>
      </c>
      <c r="Q71" s="41"/>
      <c r="R71" s="39"/>
      <c r="S71" s="40"/>
      <c r="T71" s="40"/>
      <c r="U71" s="40"/>
      <c r="V71" s="40"/>
      <c r="W71" s="40"/>
      <c r="X71" s="41"/>
      <c r="Y71" s="30"/>
      <c r="Z71" s="30"/>
      <c r="AA71" s="30"/>
      <c r="AB71" s="30"/>
      <c r="AC71" s="4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45581.0</v>
      </c>
      <c r="I72" s="68"/>
      <c r="J72" s="69"/>
      <c r="K72" s="87"/>
      <c r="L72" s="71"/>
      <c r="M72" s="72" t="s">
        <v>20</v>
      </c>
      <c r="N72" s="90">
        <v>90.0</v>
      </c>
      <c r="O72" s="74" t="s">
        <v>2167</v>
      </c>
      <c r="P72" s="75">
        <v>0.6027777777777777</v>
      </c>
      <c r="Q72" s="41"/>
      <c r="R72" s="39"/>
      <c r="S72" s="76"/>
      <c r="T72" s="40"/>
      <c r="U72" s="40"/>
      <c r="V72" s="40"/>
      <c r="W72" s="40"/>
      <c r="X72" s="41"/>
      <c r="Y72" s="30"/>
      <c r="Z72" s="30"/>
      <c r="AA72" s="30"/>
      <c r="AB72" s="30"/>
      <c r="AC72" s="4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45581.0</v>
      </c>
      <c r="I73" s="68" t="s">
        <v>2141</v>
      </c>
      <c r="J73" s="69">
        <v>2540.35</v>
      </c>
      <c r="K73" s="70" t="s">
        <v>2168</v>
      </c>
      <c r="L73" s="71">
        <v>0.7097222222222223</v>
      </c>
      <c r="M73" s="72"/>
      <c r="N73" s="90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  <c r="AC73" s="4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45582.0</v>
      </c>
      <c r="I74" s="68"/>
      <c r="J74" s="69"/>
      <c r="K74" s="87"/>
      <c r="L74" s="71"/>
      <c r="M74" s="72" t="s">
        <v>2147</v>
      </c>
      <c r="N74" s="90">
        <v>10.0</v>
      </c>
      <c r="O74" s="74"/>
      <c r="P74" s="75">
        <v>0.475</v>
      </c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  <c r="AC74" s="4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45582.0</v>
      </c>
      <c r="I75" s="154"/>
      <c r="J75" s="69"/>
      <c r="K75" s="87"/>
      <c r="L75" s="71"/>
      <c r="M75" s="72" t="s">
        <v>2147</v>
      </c>
      <c r="N75" s="90">
        <f>6000-N74</f>
        <v>5990</v>
      </c>
      <c r="O75" s="74" t="s">
        <v>2169</v>
      </c>
      <c r="P75" s="75">
        <v>0.47847222222222224</v>
      </c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  <c r="AC75" s="4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45582.0</v>
      </c>
      <c r="I76" s="68"/>
      <c r="J76" s="69"/>
      <c r="K76" s="85"/>
      <c r="L76" s="71"/>
      <c r="M76" s="72" t="s">
        <v>1531</v>
      </c>
      <c r="N76" s="90">
        <v>5650.0</v>
      </c>
      <c r="O76" s="74" t="s">
        <v>2170</v>
      </c>
      <c r="P76" s="75">
        <v>0.4979166666666667</v>
      </c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  <c r="AC76" s="4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45582.0</v>
      </c>
      <c r="I77" s="68"/>
      <c r="J77" s="69"/>
      <c r="K77" s="87"/>
      <c r="L77" s="71"/>
      <c r="M77" s="72" t="s">
        <v>2129</v>
      </c>
      <c r="N77" s="90">
        <v>1150.0</v>
      </c>
      <c r="O77" s="74" t="s">
        <v>2171</v>
      </c>
      <c r="P77" s="75">
        <v>0.5520833333333334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  <c r="AC77" s="4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45582.0</v>
      </c>
      <c r="I78" s="68"/>
      <c r="J78" s="69"/>
      <c r="K78" s="87"/>
      <c r="L78" s="71"/>
      <c r="M78" s="72" t="s">
        <v>2141</v>
      </c>
      <c r="N78" s="90">
        <v>2790.5</v>
      </c>
      <c r="O78" s="74" t="s">
        <v>2172</v>
      </c>
      <c r="P78" s="75">
        <v>0.5770833333333333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  <c r="AC78" s="4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45582.0</v>
      </c>
      <c r="I79" s="68"/>
      <c r="J79" s="69"/>
      <c r="K79" s="70"/>
      <c r="L79" s="71"/>
      <c r="M79" s="147" t="s">
        <v>1653</v>
      </c>
      <c r="N79" s="90">
        <v>588.0</v>
      </c>
      <c r="O79" s="126"/>
      <c r="P79" s="75">
        <v>0.5944444444444444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  <c r="AC79" s="4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45582.0</v>
      </c>
      <c r="I80" s="154"/>
      <c r="J80" s="17"/>
      <c r="K80" s="92"/>
      <c r="L80" s="173"/>
      <c r="M80" s="147" t="s">
        <v>1653</v>
      </c>
      <c r="N80" s="90">
        <v>1159.0</v>
      </c>
      <c r="O80" s="74"/>
      <c r="P80" s="75">
        <v>0.7784722222222222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  <c r="AC80" s="4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45582.0</v>
      </c>
      <c r="I81" s="68"/>
      <c r="J81" s="69"/>
      <c r="K81" s="87"/>
      <c r="L81" s="71"/>
      <c r="M81" s="72" t="s">
        <v>2173</v>
      </c>
      <c r="N81" s="90">
        <v>2800.0</v>
      </c>
      <c r="O81" s="74" t="s">
        <v>1912</v>
      </c>
      <c r="P81" s="75">
        <v>0.8020833333333334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  <c r="AC81" s="4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253">
        <v>45582.0</v>
      </c>
      <c r="I82" s="254"/>
      <c r="J82" s="69"/>
      <c r="K82" s="87"/>
      <c r="L82" s="71"/>
      <c r="M82" s="147" t="s">
        <v>827</v>
      </c>
      <c r="N82" s="19">
        <v>10000.0</v>
      </c>
      <c r="O82" s="126" t="s">
        <v>43</v>
      </c>
      <c r="P82" s="75">
        <v>0.9534722222222223</v>
      </c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  <c r="AC82" s="4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253">
        <v>45583.0</v>
      </c>
      <c r="I83" s="68"/>
      <c r="J83" s="69"/>
      <c r="K83" s="87"/>
      <c r="L83" s="71"/>
      <c r="M83" s="72" t="s">
        <v>2129</v>
      </c>
      <c r="N83" s="90">
        <v>1100.0</v>
      </c>
      <c r="O83" s="74" t="s">
        <v>2174</v>
      </c>
      <c r="P83" s="75">
        <v>0.6055555555555555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  <c r="AC83" s="4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253">
        <v>45583.0</v>
      </c>
      <c r="I84" s="68"/>
      <c r="J84" s="69"/>
      <c r="K84" s="70"/>
      <c r="L84" s="88"/>
      <c r="M84" s="147" t="s">
        <v>1653</v>
      </c>
      <c r="N84" s="90">
        <v>1291.0</v>
      </c>
      <c r="O84" s="74"/>
      <c r="P84" s="94" t="s">
        <v>2175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  <c r="AC84" s="4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45583.0</v>
      </c>
      <c r="I85" s="68"/>
      <c r="J85" s="69"/>
      <c r="K85" s="70"/>
      <c r="L85" s="71"/>
      <c r="M85" s="72" t="s">
        <v>2151</v>
      </c>
      <c r="N85" s="90">
        <v>420.0</v>
      </c>
      <c r="O85" s="74" t="s">
        <v>2176</v>
      </c>
      <c r="P85" s="94" t="s">
        <v>2177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  <c r="AC85" s="4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45583.0</v>
      </c>
      <c r="I86" s="68"/>
      <c r="J86" s="69"/>
      <c r="K86" s="85"/>
      <c r="L86" s="71"/>
      <c r="M86" s="147" t="s">
        <v>1653</v>
      </c>
      <c r="N86" s="90">
        <v>614.0</v>
      </c>
      <c r="O86" s="126"/>
      <c r="P86" s="94" t="s">
        <v>2178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  <c r="AC86" s="4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45584.0</v>
      </c>
      <c r="I87" s="68"/>
      <c r="J87" s="69"/>
      <c r="K87" s="85"/>
      <c r="L87" s="71"/>
      <c r="M87" s="72" t="s">
        <v>2129</v>
      </c>
      <c r="N87" s="90">
        <v>987.9</v>
      </c>
      <c r="O87" s="74" t="s">
        <v>2179</v>
      </c>
      <c r="P87" s="75">
        <v>0.5590277777777778</v>
      </c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  <c r="AC87" s="4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45584.0</v>
      </c>
      <c r="I88" s="68"/>
      <c r="J88" s="69"/>
      <c r="K88" s="85"/>
      <c r="L88" s="71"/>
      <c r="M88" s="147" t="s">
        <v>1653</v>
      </c>
      <c r="N88" s="90">
        <v>1573.0</v>
      </c>
      <c r="O88" s="126"/>
      <c r="P88" s="94" t="s">
        <v>604</v>
      </c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  <c r="AC88" s="4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45584.0</v>
      </c>
      <c r="I89" s="68"/>
      <c r="J89" s="69"/>
      <c r="K89" s="70"/>
      <c r="L89" s="88"/>
      <c r="M89" s="147" t="s">
        <v>827</v>
      </c>
      <c r="N89" s="19">
        <v>10000.0</v>
      </c>
      <c r="O89" s="126" t="s">
        <v>43</v>
      </c>
      <c r="P89" s="75">
        <v>0.9659722222222222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  <c r="AC89" s="4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45585.0</v>
      </c>
      <c r="I90" s="84"/>
      <c r="J90" s="17"/>
      <c r="K90" s="85"/>
      <c r="L90" s="86"/>
      <c r="M90" s="72" t="s">
        <v>1345</v>
      </c>
      <c r="N90" s="90">
        <v>1111.0</v>
      </c>
      <c r="O90" s="74" t="s">
        <v>1437</v>
      </c>
      <c r="P90" s="75">
        <v>0.3770833333333333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  <c r="AC90" s="4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45585.0</v>
      </c>
      <c r="I91" s="68"/>
      <c r="J91" s="69"/>
      <c r="K91" s="87"/>
      <c r="L91" s="71"/>
      <c r="M91" s="72" t="s">
        <v>2129</v>
      </c>
      <c r="N91" s="90">
        <v>1111.0</v>
      </c>
      <c r="O91" s="74" t="s">
        <v>1437</v>
      </c>
      <c r="P91" s="75">
        <v>0.4013888888888889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  <c r="AC91" s="4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45585.0</v>
      </c>
      <c r="I92" s="84"/>
      <c r="J92" s="17"/>
      <c r="K92" s="85"/>
      <c r="L92" s="86"/>
      <c r="M92" s="147" t="s">
        <v>1653</v>
      </c>
      <c r="N92" s="90">
        <v>1445.0</v>
      </c>
      <c r="O92" s="74"/>
      <c r="P92" s="75">
        <v>0.5229166666666667</v>
      </c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  <c r="AC92" s="4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45585.0</v>
      </c>
      <c r="I93" s="68"/>
      <c r="J93" s="69"/>
      <c r="K93" s="70"/>
      <c r="L93" s="88"/>
      <c r="M93" s="72" t="s">
        <v>2180</v>
      </c>
      <c r="N93" s="90">
        <v>999.0</v>
      </c>
      <c r="O93" s="74" t="s">
        <v>2181</v>
      </c>
      <c r="P93" s="75">
        <v>0.5777777777777777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  <c r="AC93" s="4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45585.0</v>
      </c>
      <c r="I94" s="68"/>
      <c r="J94" s="69"/>
      <c r="K94" s="70"/>
      <c r="L94" s="71"/>
      <c r="M94" s="72" t="s">
        <v>20</v>
      </c>
      <c r="N94" s="90">
        <v>228.0</v>
      </c>
      <c r="O94" s="74" t="s">
        <v>2182</v>
      </c>
      <c r="P94" s="75">
        <v>0.6402777777777777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  <c r="AC94" s="4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45585.0</v>
      </c>
      <c r="I95" s="68"/>
      <c r="J95" s="69"/>
      <c r="K95" s="87"/>
      <c r="L95" s="71"/>
      <c r="M95" s="72" t="s">
        <v>2151</v>
      </c>
      <c r="N95" s="90">
        <v>2700.0</v>
      </c>
      <c r="O95" s="74" t="s">
        <v>2183</v>
      </c>
      <c r="P95" s="75">
        <v>0.6680555555555555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  <c r="AC95" s="4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45585.0</v>
      </c>
      <c r="I96" s="68"/>
      <c r="J96" s="69"/>
      <c r="K96" s="87"/>
      <c r="L96" s="71"/>
      <c r="M96" s="72" t="s">
        <v>2129</v>
      </c>
      <c r="N96" s="90">
        <v>1332.0</v>
      </c>
      <c r="O96" s="74" t="s">
        <v>2184</v>
      </c>
      <c r="P96" s="94" t="s">
        <v>2185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  <c r="AC96" s="4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45585.0</v>
      </c>
      <c r="I97" s="68" t="s">
        <v>2108</v>
      </c>
      <c r="J97" s="69">
        <v>50000.0</v>
      </c>
      <c r="K97" s="85"/>
      <c r="L97" s="71">
        <v>0.8506944444444444</v>
      </c>
      <c r="M97" s="72" t="s">
        <v>2129</v>
      </c>
      <c r="N97" s="90">
        <v>4440.0</v>
      </c>
      <c r="O97" s="74" t="s">
        <v>2186</v>
      </c>
      <c r="P97" s="75">
        <v>0.91875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  <c r="AC97" s="4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45586.0</v>
      </c>
      <c r="I98" s="84"/>
      <c r="J98" s="17"/>
      <c r="K98" s="85"/>
      <c r="L98" s="86"/>
      <c r="M98" s="147" t="s">
        <v>1653</v>
      </c>
      <c r="N98" s="90">
        <v>1133.0</v>
      </c>
      <c r="O98" s="126"/>
      <c r="P98" s="75">
        <v>0.4041666666666667</v>
      </c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  <c r="AC98" s="4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45586.0</v>
      </c>
      <c r="I99" s="154"/>
      <c r="J99" s="17"/>
      <c r="K99" s="92"/>
      <c r="L99" s="173"/>
      <c r="M99" s="72" t="s">
        <v>2147</v>
      </c>
      <c r="N99" s="90">
        <v>1150.0</v>
      </c>
      <c r="O99" s="74" t="s">
        <v>2187</v>
      </c>
      <c r="P99" s="75">
        <v>0.5659722222222222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  <c r="AC99" s="4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45586.0</v>
      </c>
      <c r="I100" s="84"/>
      <c r="J100" s="17"/>
      <c r="K100" s="85"/>
      <c r="L100" s="86"/>
      <c r="M100" s="72" t="s">
        <v>1531</v>
      </c>
      <c r="N100" s="90">
        <v>1650.0</v>
      </c>
      <c r="O100" s="74" t="s">
        <v>2188</v>
      </c>
      <c r="P100" s="75">
        <v>0.5770833333333333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  <c r="AC100" s="4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45586.0</v>
      </c>
      <c r="I101" s="84"/>
      <c r="J101" s="17"/>
      <c r="K101" s="87"/>
      <c r="L101" s="71"/>
      <c r="M101" s="72" t="s">
        <v>2008</v>
      </c>
      <c r="N101" s="90">
        <v>1070.6</v>
      </c>
      <c r="O101" s="74" t="s">
        <v>2189</v>
      </c>
      <c r="P101" s="75">
        <v>0.7180555555555556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  <c r="AC101" s="4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45586.0</v>
      </c>
      <c r="I102" s="68"/>
      <c r="J102" s="69"/>
      <c r="K102" s="87"/>
      <c r="L102" s="71"/>
      <c r="M102" s="72" t="s">
        <v>2151</v>
      </c>
      <c r="N102" s="90">
        <v>1080.0</v>
      </c>
      <c r="O102" s="74"/>
      <c r="P102" s="75">
        <v>0.7618055555555555</v>
      </c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  <c r="AC102" s="4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45586.0</v>
      </c>
      <c r="I103" s="68"/>
      <c r="J103" s="69"/>
      <c r="K103" s="87"/>
      <c r="L103" s="71"/>
      <c r="M103" s="72" t="s">
        <v>1950</v>
      </c>
      <c r="N103" s="90">
        <v>211.26</v>
      </c>
      <c r="O103" s="74" t="s">
        <v>2190</v>
      </c>
      <c r="P103" s="75">
        <v>0.7868055555555555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  <c r="AC103" s="4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45586.0</v>
      </c>
      <c r="I104" s="84"/>
      <c r="J104" s="17"/>
      <c r="K104" s="93"/>
      <c r="L104" s="155"/>
      <c r="M104" s="72" t="s">
        <v>827</v>
      </c>
      <c r="N104" s="90">
        <v>15000.0</v>
      </c>
      <c r="O104" s="74"/>
      <c r="P104" s="75">
        <v>0.8472222222222222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  <c r="AC104" s="4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45586.0</v>
      </c>
      <c r="I105" s="68" t="s">
        <v>2076</v>
      </c>
      <c r="J105" s="69">
        <v>3351.44</v>
      </c>
      <c r="K105" s="70" t="s">
        <v>155</v>
      </c>
      <c r="L105" s="88" t="s">
        <v>2191</v>
      </c>
      <c r="M105" s="147" t="s">
        <v>1653</v>
      </c>
      <c r="N105" s="90">
        <v>1521.0</v>
      </c>
      <c r="O105" s="74"/>
      <c r="P105" s="94" t="s">
        <v>2192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  <c r="AC105" s="4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45587.0</v>
      </c>
      <c r="I106" s="154"/>
      <c r="J106" s="17"/>
      <c r="K106" s="93"/>
      <c r="L106" s="155"/>
      <c r="M106" s="147" t="s">
        <v>1653</v>
      </c>
      <c r="N106" s="90">
        <v>1617.0</v>
      </c>
      <c r="O106" s="74"/>
      <c r="P106" s="75">
        <v>0.34652777777777777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  <c r="AC106" s="4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45587.0</v>
      </c>
      <c r="I107" s="84"/>
      <c r="J107" s="17"/>
      <c r="K107" s="93"/>
      <c r="L107" s="155"/>
      <c r="M107" s="72" t="s">
        <v>20</v>
      </c>
      <c r="N107" s="90">
        <v>450.0</v>
      </c>
      <c r="O107" s="74" t="s">
        <v>2193</v>
      </c>
      <c r="P107" s="75">
        <v>0.6027777777777777</v>
      </c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  <c r="AC107" s="4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45587.0</v>
      </c>
      <c r="I108" s="84"/>
      <c r="J108" s="17"/>
      <c r="K108" s="85"/>
      <c r="L108" s="86"/>
      <c r="M108" s="147" t="s">
        <v>1653</v>
      </c>
      <c r="N108" s="90">
        <v>1353.0</v>
      </c>
      <c r="O108" s="74"/>
      <c r="P108" s="94" t="s">
        <v>2194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  <c r="AC108" s="4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45587.0</v>
      </c>
      <c r="I109" s="68" t="s">
        <v>2195</v>
      </c>
      <c r="J109" s="69">
        <v>1866.0</v>
      </c>
      <c r="K109" s="70" t="s">
        <v>155</v>
      </c>
      <c r="L109" s="71">
        <v>0.6340277777777777</v>
      </c>
      <c r="M109" s="72" t="s">
        <v>2173</v>
      </c>
      <c r="N109" s="90">
        <v>3360.0</v>
      </c>
      <c r="O109" s="74" t="s">
        <v>2196</v>
      </c>
      <c r="P109" s="75">
        <v>0.6680555555555555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  <c r="AC109" s="4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45587.0</v>
      </c>
      <c r="I110" s="68"/>
      <c r="J110" s="69"/>
      <c r="K110" s="70"/>
      <c r="L110" s="71"/>
      <c r="M110" s="72" t="s">
        <v>827</v>
      </c>
      <c r="N110" s="90">
        <v>15000.0</v>
      </c>
      <c r="O110" s="74"/>
      <c r="P110" s="75">
        <v>0.6708333333333333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  <c r="AC110" s="4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45587.0</v>
      </c>
      <c r="I111" s="154"/>
      <c r="J111" s="17"/>
      <c r="K111" s="92"/>
      <c r="L111" s="173"/>
      <c r="M111" s="147" t="s">
        <v>1829</v>
      </c>
      <c r="N111" s="90">
        <v>2000.6</v>
      </c>
      <c r="O111" s="126"/>
      <c r="P111" s="75">
        <v>0.7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  <c r="AC111" s="4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45587.0</v>
      </c>
      <c r="I112" s="84"/>
      <c r="J112" s="17"/>
      <c r="K112" s="85"/>
      <c r="L112" s="86"/>
      <c r="M112" s="72" t="s">
        <v>20</v>
      </c>
      <c r="N112" s="90">
        <v>5.0</v>
      </c>
      <c r="O112" s="74" t="s">
        <v>2197</v>
      </c>
      <c r="P112" s="75">
        <v>0.8041666666666667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  <c r="AC112" s="4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45587.0</v>
      </c>
      <c r="I113" s="68" t="s">
        <v>2198</v>
      </c>
      <c r="J113" s="69">
        <v>50000.0</v>
      </c>
      <c r="K113" s="70" t="s">
        <v>2199</v>
      </c>
      <c r="L113" s="88" t="s">
        <v>2200</v>
      </c>
      <c r="M113" s="72" t="s">
        <v>827</v>
      </c>
      <c r="N113" s="90">
        <v>10000.0</v>
      </c>
      <c r="O113" s="126"/>
      <c r="P113" s="75">
        <v>0.8270833333333333</v>
      </c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  <c r="AC113" s="4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45587.0</v>
      </c>
      <c r="I114" s="154"/>
      <c r="J114" s="17"/>
      <c r="K114" s="93"/>
      <c r="L114" s="155"/>
      <c r="M114" s="147" t="s">
        <v>1653</v>
      </c>
      <c r="N114" s="90">
        <v>3557.0</v>
      </c>
      <c r="O114" s="126"/>
      <c r="P114" s="75">
        <v>0.8583333333333333</v>
      </c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  <c r="AC114" s="4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45587.0</v>
      </c>
      <c r="I115" s="84"/>
      <c r="J115" s="17"/>
      <c r="K115" s="85"/>
      <c r="L115" s="86"/>
      <c r="M115" s="72" t="s">
        <v>1345</v>
      </c>
      <c r="N115" s="90">
        <v>1111.0</v>
      </c>
      <c r="O115" s="126"/>
      <c r="P115" s="75">
        <v>0.8979166666666667</v>
      </c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  <c r="AC115" s="4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45587.0</v>
      </c>
      <c r="I116" s="154"/>
      <c r="J116" s="17"/>
      <c r="K116" s="92"/>
      <c r="L116" s="155"/>
      <c r="M116" s="72" t="s">
        <v>2123</v>
      </c>
      <c r="N116" s="90">
        <v>4960.0</v>
      </c>
      <c r="O116" s="126"/>
      <c r="P116" s="94" t="s">
        <v>2201</v>
      </c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  <c r="AC116" s="4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45587.0</v>
      </c>
      <c r="I117" s="154"/>
      <c r="J117" s="17"/>
      <c r="K117" s="85"/>
      <c r="L117" s="155"/>
      <c r="M117" s="147" t="s">
        <v>1653</v>
      </c>
      <c r="N117" s="90">
        <v>3376.0</v>
      </c>
      <c r="O117" s="126"/>
      <c r="P117" s="94" t="s">
        <v>2202</v>
      </c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  <c r="AC117" s="4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45588.0</v>
      </c>
      <c r="I118" s="84"/>
      <c r="J118" s="17"/>
      <c r="K118" s="93"/>
      <c r="L118" s="155"/>
      <c r="M118" s="72" t="s">
        <v>20</v>
      </c>
      <c r="N118" s="90">
        <v>200.0</v>
      </c>
      <c r="O118" s="74" t="s">
        <v>211</v>
      </c>
      <c r="P118" s="75">
        <v>0.36319444444444443</v>
      </c>
      <c r="Q118" s="41"/>
      <c r="R118" s="39"/>
      <c r="S118" s="76"/>
      <c r="T118" s="40"/>
      <c r="U118" s="40"/>
      <c r="V118" s="40"/>
      <c r="W118" s="40"/>
      <c r="X118" s="41"/>
      <c r="Y118" s="30"/>
      <c r="Z118" s="30"/>
      <c r="AA118" s="30"/>
      <c r="AB118" s="30"/>
      <c r="AC118" s="4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45588.0</v>
      </c>
      <c r="I119" s="154"/>
      <c r="J119" s="17"/>
      <c r="K119" s="93"/>
      <c r="L119" s="155"/>
      <c r="M119" s="72" t="s">
        <v>2157</v>
      </c>
      <c r="N119" s="90">
        <v>10.0</v>
      </c>
      <c r="O119" s="74" t="s">
        <v>2203</v>
      </c>
      <c r="P119" s="75">
        <v>0.3875</v>
      </c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  <c r="AC119" s="4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45588.0</v>
      </c>
      <c r="I120" s="68"/>
      <c r="J120" s="69"/>
      <c r="K120" s="87"/>
      <c r="L120" s="71"/>
      <c r="M120" s="72" t="s">
        <v>2157</v>
      </c>
      <c r="N120" s="90">
        <v>290.0</v>
      </c>
      <c r="O120" s="74" t="s">
        <v>2203</v>
      </c>
      <c r="P120" s="75">
        <v>0.39166666666666666</v>
      </c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  <c r="AC120" s="4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45588.0</v>
      </c>
      <c r="I121" s="84"/>
      <c r="J121" s="17"/>
      <c r="K121" s="70"/>
      <c r="L121" s="88"/>
      <c r="M121" s="72" t="s">
        <v>827</v>
      </c>
      <c r="N121" s="90">
        <v>15000.0</v>
      </c>
      <c r="O121" s="74"/>
      <c r="P121" s="75">
        <v>0.4131944444444444</v>
      </c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  <c r="AC121" s="4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45588.0</v>
      </c>
      <c r="I122" s="68"/>
      <c r="J122" s="69"/>
      <c r="K122" s="70"/>
      <c r="L122" s="88"/>
      <c r="M122" s="72" t="s">
        <v>2173</v>
      </c>
      <c r="N122" s="90">
        <v>2900.0</v>
      </c>
      <c r="O122" s="126"/>
      <c r="P122" s="75">
        <v>0.45069444444444445</v>
      </c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  <c r="AC122" s="4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45588.0</v>
      </c>
      <c r="I123" s="68"/>
      <c r="J123" s="69"/>
      <c r="K123" s="70"/>
      <c r="L123" s="71"/>
      <c r="M123" s="72" t="s">
        <v>2129</v>
      </c>
      <c r="N123" s="90">
        <v>1111.0</v>
      </c>
      <c r="O123" s="74"/>
      <c r="P123" s="75">
        <v>0.4513888888888889</v>
      </c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  <c r="AC123" s="4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45588.0</v>
      </c>
      <c r="I124" s="68"/>
      <c r="J124" s="69"/>
      <c r="K124" s="70"/>
      <c r="L124" s="88"/>
      <c r="M124" s="147" t="s">
        <v>1653</v>
      </c>
      <c r="N124" s="90">
        <v>2265.0</v>
      </c>
      <c r="O124" s="74"/>
      <c r="P124" s="75">
        <v>0.47152777777777777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  <c r="AC124" s="4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45588.0</v>
      </c>
      <c r="I125" s="84"/>
      <c r="J125" s="17"/>
      <c r="K125" s="85"/>
      <c r="L125" s="86"/>
      <c r="M125" s="72" t="s">
        <v>2157</v>
      </c>
      <c r="N125" s="90">
        <v>1575.0</v>
      </c>
      <c r="O125" s="74"/>
      <c r="P125" s="75">
        <v>0.6652777777777777</v>
      </c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  <c r="AC125" s="4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45588.0</v>
      </c>
      <c r="I126" s="84"/>
      <c r="J126" s="17"/>
      <c r="K126" s="85"/>
      <c r="L126" s="86"/>
      <c r="M126" s="72" t="s">
        <v>2157</v>
      </c>
      <c r="N126" s="90">
        <v>1575.0</v>
      </c>
      <c r="O126" s="74"/>
      <c r="P126" s="94" t="s">
        <v>963</v>
      </c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  <c r="AC126" s="4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45588.0</v>
      </c>
      <c r="I127" s="68"/>
      <c r="J127" s="69"/>
      <c r="K127" s="87"/>
      <c r="L127" s="88"/>
      <c r="M127" s="72" t="s">
        <v>1345</v>
      </c>
      <c r="N127" s="90">
        <v>2222.0</v>
      </c>
      <c r="O127" s="74"/>
      <c r="P127" s="75">
        <v>0.7715277777777778</v>
      </c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  <c r="AC127" s="4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45588.0</v>
      </c>
      <c r="I128" s="68"/>
      <c r="J128" s="69"/>
      <c r="K128" s="70"/>
      <c r="L128" s="71"/>
      <c r="M128" s="147" t="s">
        <v>1653</v>
      </c>
      <c r="N128" s="90">
        <v>4999.0</v>
      </c>
      <c r="O128" s="126"/>
      <c r="P128" s="94" t="s">
        <v>2204</v>
      </c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  <c r="AC128" s="4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45588.0</v>
      </c>
      <c r="I129" s="68" t="s">
        <v>2198</v>
      </c>
      <c r="J129" s="69">
        <v>50000.0</v>
      </c>
      <c r="K129" s="70" t="s">
        <v>2199</v>
      </c>
      <c r="L129" s="88" t="s">
        <v>2205</v>
      </c>
      <c r="M129" s="72" t="s">
        <v>2144</v>
      </c>
      <c r="N129" s="90">
        <v>23000.0</v>
      </c>
      <c r="O129" s="74" t="s">
        <v>2206</v>
      </c>
      <c r="P129" s="75">
        <v>0.8826388888888889</v>
      </c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  <c r="AC129" s="4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45588.0</v>
      </c>
      <c r="I130" s="84"/>
      <c r="J130" s="17"/>
      <c r="K130" s="85"/>
      <c r="L130" s="86"/>
      <c r="M130" s="72" t="s">
        <v>2126</v>
      </c>
      <c r="N130" s="90">
        <v>2100.0</v>
      </c>
      <c r="O130" s="74"/>
      <c r="P130" s="94" t="s">
        <v>2207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  <c r="AC130" s="4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45588.0</v>
      </c>
      <c r="I131" s="68"/>
      <c r="J131" s="69"/>
      <c r="K131" s="87"/>
      <c r="L131" s="71"/>
      <c r="M131" s="72" t="s">
        <v>827</v>
      </c>
      <c r="N131" s="90">
        <v>15000.0</v>
      </c>
      <c r="O131" s="74"/>
      <c r="P131" s="94" t="s">
        <v>2205</v>
      </c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  <c r="AC131" s="4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45588.0</v>
      </c>
      <c r="I132" s="84"/>
      <c r="J132" s="17"/>
      <c r="K132" s="85"/>
      <c r="L132" s="86"/>
      <c r="M132" s="147" t="s">
        <v>1653</v>
      </c>
      <c r="N132" s="90">
        <v>1367.0</v>
      </c>
      <c r="O132" s="74"/>
      <c r="P132" s="94" t="s">
        <v>573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  <c r="AC132" s="4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45588.0</v>
      </c>
      <c r="I133" s="68"/>
      <c r="J133" s="69"/>
      <c r="K133" s="70"/>
      <c r="L133" s="88"/>
      <c r="M133" s="72" t="s">
        <v>2157</v>
      </c>
      <c r="N133" s="90">
        <v>210.0</v>
      </c>
      <c r="O133" s="74"/>
      <c r="P133" s="94" t="s">
        <v>2208</v>
      </c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  <c r="AC133" s="4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45589.0</v>
      </c>
      <c r="I134" s="68"/>
      <c r="J134" s="69"/>
      <c r="K134" s="70"/>
      <c r="L134" s="88"/>
      <c r="M134" s="147" t="s">
        <v>1653</v>
      </c>
      <c r="N134" s="90">
        <v>3182.0</v>
      </c>
      <c r="O134" s="74"/>
      <c r="P134" s="75">
        <v>0.37916666666666665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  <c r="AC134" s="4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45589.0</v>
      </c>
      <c r="I135" s="68"/>
      <c r="J135" s="69"/>
      <c r="K135" s="85"/>
      <c r="L135" s="71"/>
      <c r="M135" s="72" t="s">
        <v>1345</v>
      </c>
      <c r="N135" s="90">
        <v>3333.0</v>
      </c>
      <c r="O135" s="74" t="s">
        <v>1178</v>
      </c>
      <c r="P135" s="94" t="s">
        <v>2209</v>
      </c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  <c r="AC135" s="4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45589.0</v>
      </c>
      <c r="I136" s="68"/>
      <c r="J136" s="69"/>
      <c r="K136" s="70"/>
      <c r="L136" s="71"/>
      <c r="M136" s="147" t="s">
        <v>1653</v>
      </c>
      <c r="N136" s="90">
        <v>4190.0</v>
      </c>
      <c r="O136" s="74"/>
      <c r="P136" s="94" t="s">
        <v>680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  <c r="AC136" s="4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45589.0</v>
      </c>
      <c r="I137" s="84"/>
      <c r="J137" s="17"/>
      <c r="K137" s="85"/>
      <c r="L137" s="86"/>
      <c r="M137" s="72" t="s">
        <v>1345</v>
      </c>
      <c r="N137" s="90">
        <v>3333.0</v>
      </c>
      <c r="O137" s="74" t="s">
        <v>1178</v>
      </c>
      <c r="P137" s="94" t="s">
        <v>713</v>
      </c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  <c r="AC137" s="4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45589.0</v>
      </c>
      <c r="I138" s="68" t="s">
        <v>2198</v>
      </c>
      <c r="J138" s="69">
        <v>50000.0</v>
      </c>
      <c r="K138" s="70" t="s">
        <v>2199</v>
      </c>
      <c r="L138" s="88" t="s">
        <v>2210</v>
      </c>
      <c r="M138" s="72" t="s">
        <v>827</v>
      </c>
      <c r="N138" s="90">
        <v>40000.0</v>
      </c>
      <c r="O138" s="74"/>
      <c r="P138" s="94" t="s">
        <v>2211</v>
      </c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  <c r="AC138" s="4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45589.0</v>
      </c>
      <c r="I139" s="68"/>
      <c r="J139" s="69"/>
      <c r="K139" s="70"/>
      <c r="L139" s="71"/>
      <c r="M139" s="72" t="s">
        <v>2129</v>
      </c>
      <c r="N139" s="90">
        <v>1210.0</v>
      </c>
      <c r="O139" s="74" t="s">
        <v>2212</v>
      </c>
      <c r="P139" s="75">
        <v>0.925</v>
      </c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  <c r="AC139" s="4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45589.0</v>
      </c>
      <c r="I140" s="68"/>
      <c r="J140" s="69"/>
      <c r="K140" s="70"/>
      <c r="L140" s="88"/>
      <c r="M140" s="72" t="s">
        <v>2126</v>
      </c>
      <c r="N140" s="90">
        <v>3150.0</v>
      </c>
      <c r="O140" s="74" t="s">
        <v>1721</v>
      </c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  <c r="AC140" s="4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>
        <v>45589.0</v>
      </c>
      <c r="I141" s="84"/>
      <c r="J141" s="17"/>
      <c r="K141" s="85"/>
      <c r="L141" s="86"/>
      <c r="M141" s="147" t="s">
        <v>1653</v>
      </c>
      <c r="N141" s="90">
        <v>1672.0</v>
      </c>
      <c r="O141" s="126"/>
      <c r="P141" s="94" t="s">
        <v>2213</v>
      </c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  <c r="AC141" s="4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>
        <v>45589.0</v>
      </c>
      <c r="I142" s="68"/>
      <c r="J142" s="69"/>
      <c r="K142" s="85"/>
      <c r="L142" s="71"/>
      <c r="M142" s="72" t="s">
        <v>1829</v>
      </c>
      <c r="N142" s="90">
        <v>1500.11</v>
      </c>
      <c r="O142" s="74"/>
      <c r="P142" s="94" t="s">
        <v>2214</v>
      </c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  <c r="AC142" s="4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>
        <v>45590.0</v>
      </c>
      <c r="I143" s="68"/>
      <c r="J143" s="69"/>
      <c r="K143" s="85"/>
      <c r="L143" s="71"/>
      <c r="M143" s="147" t="s">
        <v>1653</v>
      </c>
      <c r="N143" s="90">
        <v>495.0</v>
      </c>
      <c r="O143" s="126"/>
      <c r="P143" s="75">
        <v>0.5833333333333334</v>
      </c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  <c r="AC143" s="4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>
        <v>45590.0</v>
      </c>
      <c r="I144" s="68" t="s">
        <v>2141</v>
      </c>
      <c r="J144" s="69">
        <v>2448.0</v>
      </c>
      <c r="K144" s="70" t="s">
        <v>155</v>
      </c>
      <c r="L144" s="71">
        <v>0.5888888888888889</v>
      </c>
      <c r="M144" s="72"/>
      <c r="N144" s="90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  <c r="AC144" s="4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>
        <v>45590.0</v>
      </c>
      <c r="I145" s="68" t="s">
        <v>2198</v>
      </c>
      <c r="J145" s="69">
        <v>50000.0</v>
      </c>
      <c r="K145" s="70" t="s">
        <v>2199</v>
      </c>
      <c r="L145" s="71">
        <v>0.6083333333333333</v>
      </c>
      <c r="M145" s="72" t="s">
        <v>1345</v>
      </c>
      <c r="N145" s="90">
        <v>5555.0</v>
      </c>
      <c r="O145" s="74" t="s">
        <v>1316</v>
      </c>
      <c r="P145" s="75">
        <v>0.6118055555555556</v>
      </c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  <c r="AC145" s="4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>
        <v>45590.0</v>
      </c>
      <c r="I146" s="68"/>
      <c r="J146" s="69"/>
      <c r="K146" s="87"/>
      <c r="L146" s="71"/>
      <c r="M146" s="72" t="s">
        <v>2173</v>
      </c>
      <c r="N146" s="90">
        <v>6720.0</v>
      </c>
      <c r="O146" s="126"/>
      <c r="P146" s="75">
        <v>0.6125</v>
      </c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  <c r="AC146" s="4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>
        <v>45590.0</v>
      </c>
      <c r="I147" s="84"/>
      <c r="J147" s="17"/>
      <c r="K147" s="85"/>
      <c r="L147" s="86"/>
      <c r="M147" s="72" t="s">
        <v>2126</v>
      </c>
      <c r="N147" s="90">
        <v>7511.5375</v>
      </c>
      <c r="O147" s="74" t="s">
        <v>2215</v>
      </c>
      <c r="P147" s="75">
        <v>0.6138888888888889</v>
      </c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  <c r="AC147" s="4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>
        <v>45590.0</v>
      </c>
      <c r="I148" s="84"/>
      <c r="J148" s="17"/>
      <c r="K148" s="85"/>
      <c r="L148" s="86"/>
      <c r="M148" s="72" t="s">
        <v>827</v>
      </c>
      <c r="N148" s="90">
        <v>30000.0</v>
      </c>
      <c r="O148" s="74"/>
      <c r="P148" s="75">
        <v>0.6145833333333334</v>
      </c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  <c r="AC148" s="4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>
        <v>45590.0</v>
      </c>
      <c r="I149" s="84"/>
      <c r="J149" s="17"/>
      <c r="K149" s="85"/>
      <c r="L149" s="86"/>
      <c r="M149" s="72" t="s">
        <v>1345</v>
      </c>
      <c r="N149" s="90">
        <v>1111.0</v>
      </c>
      <c r="O149" s="74" t="s">
        <v>2216</v>
      </c>
      <c r="P149" s="75">
        <v>0.6222222222222222</v>
      </c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  <c r="AC149" s="4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>
        <v>45590.0</v>
      </c>
      <c r="I150" s="84"/>
      <c r="J150" s="17"/>
      <c r="K150" s="85"/>
      <c r="L150" s="86"/>
      <c r="M150" s="72" t="s">
        <v>1345</v>
      </c>
      <c r="N150" s="90">
        <v>1111.0</v>
      </c>
      <c r="O150" s="74" t="s">
        <v>2217</v>
      </c>
      <c r="P150" s="75">
        <v>0.6479166666666667</v>
      </c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  <c r="AC150" s="4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>
        <v>45590.0</v>
      </c>
      <c r="I151" s="68" t="s">
        <v>2198</v>
      </c>
      <c r="J151" s="69">
        <v>100000.0</v>
      </c>
      <c r="K151" s="70" t="s">
        <v>2199</v>
      </c>
      <c r="L151" s="71">
        <v>0.6555555555555556</v>
      </c>
      <c r="M151" s="72" t="s">
        <v>2173</v>
      </c>
      <c r="N151" s="90">
        <v>4480.0</v>
      </c>
      <c r="O151" s="74" t="s">
        <v>2218</v>
      </c>
      <c r="P151" s="75">
        <v>0.66875</v>
      </c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  <c r="AC151" s="4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>
        <v>45590.0</v>
      </c>
      <c r="I152" s="68"/>
      <c r="J152" s="69"/>
      <c r="K152" s="87"/>
      <c r="L152" s="71"/>
      <c r="M152" s="72" t="s">
        <v>2126</v>
      </c>
      <c r="N152" s="90">
        <v>3150.0</v>
      </c>
      <c r="O152" s="74" t="s">
        <v>1721</v>
      </c>
      <c r="P152" s="75">
        <v>0.6694444444444444</v>
      </c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  <c r="AC152" s="4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>
        <v>45590.0</v>
      </c>
      <c r="I153" s="68"/>
      <c r="J153" s="69"/>
      <c r="K153" s="85"/>
      <c r="L153" s="71"/>
      <c r="M153" s="72" t="s">
        <v>827</v>
      </c>
      <c r="N153" s="90">
        <v>20000.0</v>
      </c>
      <c r="O153" s="74"/>
      <c r="P153" s="75">
        <v>0.6708333333333333</v>
      </c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  <c r="AC153" s="4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>
        <v>45590.0</v>
      </c>
      <c r="I154" s="84"/>
      <c r="J154" s="17"/>
      <c r="K154" s="85"/>
      <c r="L154" s="86"/>
      <c r="M154" s="72" t="s">
        <v>1950</v>
      </c>
      <c r="N154" s="90">
        <v>210.0</v>
      </c>
      <c r="O154" s="209"/>
      <c r="P154" s="75">
        <v>0.7479166666666667</v>
      </c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  <c r="AC154" s="4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>
        <v>45590.0</v>
      </c>
      <c r="I155" s="68"/>
      <c r="J155" s="69"/>
      <c r="K155" s="85"/>
      <c r="L155" s="71"/>
      <c r="M155" s="147" t="s">
        <v>1653</v>
      </c>
      <c r="N155" s="90">
        <v>3411.0</v>
      </c>
      <c r="O155" s="74"/>
      <c r="P155" s="75">
        <v>0.7611111111111111</v>
      </c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  <c r="AC155" s="4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>
        <v>45590.0</v>
      </c>
      <c r="I156" s="84"/>
      <c r="J156" s="17"/>
      <c r="K156" s="85"/>
      <c r="L156" s="86"/>
      <c r="M156" s="72" t="s">
        <v>827</v>
      </c>
      <c r="N156" s="90">
        <v>31539.84</v>
      </c>
      <c r="O156" s="209"/>
      <c r="P156" s="94" t="s">
        <v>2219</v>
      </c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  <c r="AC156" s="4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>
        <v>45590.0</v>
      </c>
      <c r="I157" s="68"/>
      <c r="J157" s="69"/>
      <c r="K157" s="87"/>
      <c r="L157" s="71"/>
      <c r="M157" s="72" t="s">
        <v>1345</v>
      </c>
      <c r="N157" s="90">
        <v>5555.0</v>
      </c>
      <c r="O157" s="74" t="s">
        <v>1316</v>
      </c>
      <c r="P157" s="75">
        <v>0.9375</v>
      </c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  <c r="AC157" s="4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>
        <v>45590.0</v>
      </c>
      <c r="I158" s="68"/>
      <c r="J158" s="69"/>
      <c r="K158" s="87"/>
      <c r="L158" s="71"/>
      <c r="M158" s="147" t="s">
        <v>1653</v>
      </c>
      <c r="N158" s="90">
        <v>3442.5</v>
      </c>
      <c r="O158" s="74"/>
      <c r="P158" s="75">
        <v>0.9659722222222222</v>
      </c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  <c r="AC158" s="4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>
        <v>45591.0</v>
      </c>
      <c r="I159" s="68"/>
      <c r="J159" s="69"/>
      <c r="K159" s="85"/>
      <c r="L159" s="71"/>
      <c r="M159" s="147" t="s">
        <v>1653</v>
      </c>
      <c r="N159" s="90">
        <v>2775.4</v>
      </c>
      <c r="O159" s="126"/>
      <c r="P159" s="75">
        <v>0.42083333333333334</v>
      </c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  <c r="AC159" s="4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>
        <v>45591.0</v>
      </c>
      <c r="I160" s="154"/>
      <c r="J160" s="17"/>
      <c r="K160" s="93"/>
      <c r="L160" s="155"/>
      <c r="M160" s="72" t="s">
        <v>1345</v>
      </c>
      <c r="N160" s="90">
        <v>5555.0</v>
      </c>
      <c r="O160" s="74" t="s">
        <v>1316</v>
      </c>
      <c r="P160" s="75">
        <v>0.5965277777777778</v>
      </c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  <c r="AC160" s="4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>
        <v>45591.0</v>
      </c>
      <c r="I161" s="84"/>
      <c r="J161" s="17"/>
      <c r="K161" s="93"/>
      <c r="L161" s="155"/>
      <c r="M161" s="147" t="s">
        <v>1653</v>
      </c>
      <c r="N161" s="90">
        <v>2315.0</v>
      </c>
      <c r="O161" s="239"/>
      <c r="P161" s="94" t="s">
        <v>2220</v>
      </c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  <c r="AC161" s="4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>
        <v>45591.0</v>
      </c>
      <c r="I162" s="84"/>
      <c r="J162" s="69"/>
      <c r="K162" s="87"/>
      <c r="L162" s="71"/>
      <c r="M162" s="72" t="s">
        <v>1345</v>
      </c>
      <c r="N162" s="90">
        <v>5555.0</v>
      </c>
      <c r="O162" s="74" t="s">
        <v>1316</v>
      </c>
      <c r="P162" s="94" t="s">
        <v>119</v>
      </c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  <c r="AC162" s="4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>
        <v>45591.0</v>
      </c>
      <c r="I163" s="68"/>
      <c r="J163" s="69"/>
      <c r="K163" s="87"/>
      <c r="L163" s="71"/>
      <c r="M163" s="147" t="s">
        <v>1829</v>
      </c>
      <c r="N163" s="90">
        <v>2000.84</v>
      </c>
      <c r="O163" s="74"/>
      <c r="P163" s="94" t="s">
        <v>2221</v>
      </c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  <c r="AC163" s="4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>
        <v>45591.0</v>
      </c>
      <c r="I164" s="68" t="s">
        <v>1960</v>
      </c>
      <c r="J164" s="69">
        <v>3250.0</v>
      </c>
      <c r="K164" s="70"/>
      <c r="L164" s="71">
        <v>0.98125</v>
      </c>
      <c r="M164" s="147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  <c r="AC164" s="4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>
        <v>45592.0</v>
      </c>
      <c r="I165" s="68"/>
      <c r="J165" s="69"/>
      <c r="K165" s="87"/>
      <c r="L165" s="71"/>
      <c r="M165" s="147" t="s">
        <v>1653</v>
      </c>
      <c r="N165" s="90">
        <v>1231.0</v>
      </c>
      <c r="O165" s="74"/>
      <c r="P165" s="75">
        <v>0.4125</v>
      </c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  <c r="AC165" s="4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>
        <v>45592.0</v>
      </c>
      <c r="I166" s="68"/>
      <c r="J166" s="69"/>
      <c r="K166" s="87"/>
      <c r="L166" s="71"/>
      <c r="M166" s="147" t="s">
        <v>1829</v>
      </c>
      <c r="N166" s="90">
        <v>2000.48</v>
      </c>
      <c r="O166" s="126"/>
      <c r="P166" s="75">
        <v>0.4152777777777778</v>
      </c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  <c r="AC166" s="4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>
        <v>45592.0</v>
      </c>
      <c r="I167" s="84"/>
      <c r="J167" s="17"/>
      <c r="K167" s="85"/>
      <c r="L167" s="86"/>
      <c r="M167" s="72" t="s">
        <v>1345</v>
      </c>
      <c r="N167" s="90">
        <v>5555.0</v>
      </c>
      <c r="O167" s="74" t="s">
        <v>1316</v>
      </c>
      <c r="P167" s="75">
        <v>0.4284722222222222</v>
      </c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  <c r="AC167" s="4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>
        <v>45592.0</v>
      </c>
      <c r="I168" s="68" t="s">
        <v>2157</v>
      </c>
      <c r="J168" s="69">
        <v>300.0</v>
      </c>
      <c r="K168" s="70" t="s">
        <v>155</v>
      </c>
      <c r="L168" s="71">
        <v>0.80625</v>
      </c>
      <c r="M168" s="72" t="s">
        <v>1653</v>
      </c>
      <c r="N168" s="90">
        <v>2591.0</v>
      </c>
      <c r="O168" s="74"/>
      <c r="P168" s="75">
        <v>0.80625</v>
      </c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  <c r="AC168" s="4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>
        <v>45592.0</v>
      </c>
      <c r="I169" s="68" t="s">
        <v>495</v>
      </c>
      <c r="J169" s="69">
        <v>100000.0</v>
      </c>
      <c r="K169" s="85"/>
      <c r="L169" s="71">
        <v>0.8319444444444445</v>
      </c>
      <c r="M169" s="72" t="s">
        <v>2123</v>
      </c>
      <c r="N169" s="90">
        <v>12030.0</v>
      </c>
      <c r="O169" s="74"/>
      <c r="P169" s="75">
        <v>0.9854166666666667</v>
      </c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  <c r="AC169" s="4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>
        <v>45593.0</v>
      </c>
      <c r="I170" s="84"/>
      <c r="J170" s="17"/>
      <c r="K170" s="85"/>
      <c r="L170" s="86"/>
      <c r="M170" s="72" t="s">
        <v>2126</v>
      </c>
      <c r="N170" s="90">
        <v>4200.0</v>
      </c>
      <c r="O170" s="74"/>
      <c r="P170" s="75">
        <v>0.3854166666666667</v>
      </c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  <c r="AC170" s="4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>
        <v>45593.0</v>
      </c>
      <c r="I171" s="84"/>
      <c r="J171" s="17"/>
      <c r="K171" s="85"/>
      <c r="L171" s="86"/>
      <c r="M171" s="72" t="s">
        <v>1653</v>
      </c>
      <c r="N171" s="90">
        <v>1352.0</v>
      </c>
      <c r="O171" s="126"/>
      <c r="P171" s="75">
        <v>0.3923611111111111</v>
      </c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  <c r="AC171" s="4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>
        <v>45593.0</v>
      </c>
      <c r="I172" s="68"/>
      <c r="J172" s="69"/>
      <c r="K172" s="87"/>
      <c r="L172" s="71"/>
      <c r="M172" s="72" t="s">
        <v>1345</v>
      </c>
      <c r="N172" s="90">
        <v>4444.0</v>
      </c>
      <c r="O172" s="74"/>
      <c r="P172" s="75">
        <v>0.5375</v>
      </c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  <c r="AC172" s="4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>
        <v>45593.0</v>
      </c>
      <c r="I173" s="154"/>
      <c r="J173" s="17"/>
      <c r="K173" s="87"/>
      <c r="L173" s="71"/>
      <c r="M173" s="72" t="s">
        <v>1653</v>
      </c>
      <c r="N173" s="90">
        <v>3820.0</v>
      </c>
      <c r="O173" s="74"/>
      <c r="P173" s="75">
        <v>0.6826388888888889</v>
      </c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  <c r="AC173" s="4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>
        <v>45593.0</v>
      </c>
      <c r="I174" s="84"/>
      <c r="J174" s="69"/>
      <c r="K174" s="87"/>
      <c r="L174" s="71"/>
      <c r="M174" s="72" t="s">
        <v>827</v>
      </c>
      <c r="N174" s="90">
        <v>20000.0</v>
      </c>
      <c r="O174" s="126"/>
      <c r="P174" s="75">
        <v>0.7479166666666667</v>
      </c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  <c r="AC174" s="4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>
        <v>45593.0</v>
      </c>
      <c r="I175" s="68"/>
      <c r="J175" s="69"/>
      <c r="K175" s="85"/>
      <c r="L175" s="71"/>
      <c r="M175" s="72" t="s">
        <v>2123</v>
      </c>
      <c r="N175" s="90">
        <v>24153.8</v>
      </c>
      <c r="O175" s="74"/>
      <c r="P175" s="75">
        <v>0.7958333333333333</v>
      </c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  <c r="AC175" s="4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>
        <v>45593.0</v>
      </c>
      <c r="I176" s="84"/>
      <c r="J176" s="69"/>
      <c r="K176" s="70"/>
      <c r="L176" s="71"/>
      <c r="M176" s="72" t="s">
        <v>1531</v>
      </c>
      <c r="N176" s="90">
        <v>3436.59</v>
      </c>
      <c r="O176" s="74"/>
      <c r="P176" s="75">
        <v>0.8118055555555556</v>
      </c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  <c r="AC176" s="4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>
        <v>45593.0</v>
      </c>
      <c r="I177" s="84"/>
      <c r="J177" s="17"/>
      <c r="K177" s="85"/>
      <c r="L177" s="86"/>
      <c r="M177" s="72" t="s">
        <v>1345</v>
      </c>
      <c r="N177" s="90">
        <v>2222.0</v>
      </c>
      <c r="O177" s="74"/>
      <c r="P177" s="75">
        <v>0.9173611111111111</v>
      </c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  <c r="AC177" s="4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>
        <v>45594.0</v>
      </c>
      <c r="I178" s="68"/>
      <c r="J178" s="69"/>
      <c r="K178" s="87"/>
      <c r="L178" s="71"/>
      <c r="M178" s="72" t="s">
        <v>1653</v>
      </c>
      <c r="N178" s="90">
        <v>6464.0</v>
      </c>
      <c r="O178" s="74"/>
      <c r="P178" s="75">
        <v>0.3923611111111111</v>
      </c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  <c r="AC178" s="4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>
        <v>45594.0</v>
      </c>
      <c r="I179" s="68"/>
      <c r="J179" s="69"/>
      <c r="K179" s="87"/>
      <c r="L179" s="71"/>
      <c r="M179" s="72" t="s">
        <v>1345</v>
      </c>
      <c r="N179" s="90">
        <v>3333.0</v>
      </c>
      <c r="O179" s="74"/>
      <c r="P179" s="75">
        <v>0.44027777777777777</v>
      </c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  <c r="AC179" s="4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>
        <v>45594.0</v>
      </c>
      <c r="I180" s="84"/>
      <c r="J180" s="17"/>
      <c r="K180" s="85"/>
      <c r="L180" s="86"/>
      <c r="M180" s="72" t="s">
        <v>1345</v>
      </c>
      <c r="N180" s="90">
        <v>3333.0</v>
      </c>
      <c r="O180" s="74"/>
      <c r="P180" s="75">
        <v>0.44166666666666665</v>
      </c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  <c r="AC180" s="4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>
        <v>45594.0</v>
      </c>
      <c r="I181" s="84"/>
      <c r="J181" s="17"/>
      <c r="K181" s="85"/>
      <c r="L181" s="86"/>
      <c r="M181" s="72" t="s">
        <v>2129</v>
      </c>
      <c r="N181" s="90">
        <v>1776.0</v>
      </c>
      <c r="O181" s="74" t="s">
        <v>2222</v>
      </c>
      <c r="P181" s="75">
        <v>0.47638888888888886</v>
      </c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  <c r="AC181" s="4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>
        <v>45594.0</v>
      </c>
      <c r="I182" s="68" t="s">
        <v>695</v>
      </c>
      <c r="J182" s="69">
        <v>66700.0</v>
      </c>
      <c r="K182" s="70" t="s">
        <v>1988</v>
      </c>
      <c r="L182" s="71">
        <v>0.5777777777777777</v>
      </c>
      <c r="M182" s="147" t="s">
        <v>1829</v>
      </c>
      <c r="N182" s="90">
        <v>1000.12</v>
      </c>
      <c r="O182" s="74"/>
      <c r="P182" s="75">
        <v>0.5319444444444444</v>
      </c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  <c r="AC182" s="4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>
        <v>45594.0</v>
      </c>
      <c r="I183" s="68" t="s">
        <v>495</v>
      </c>
      <c r="J183" s="69">
        <v>100000.0</v>
      </c>
      <c r="K183" s="70" t="s">
        <v>1988</v>
      </c>
      <c r="L183" s="71">
        <v>0.5784722222222223</v>
      </c>
      <c r="M183" s="127"/>
      <c r="N183" s="19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  <c r="AC183" s="4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>
        <v>45594.0</v>
      </c>
      <c r="I184" s="68" t="s">
        <v>2151</v>
      </c>
      <c r="J184" s="69">
        <v>802.0</v>
      </c>
      <c r="K184" s="70" t="s">
        <v>155</v>
      </c>
      <c r="L184" s="71">
        <v>0.5798611111111112</v>
      </c>
      <c r="M184" s="72" t="s">
        <v>827</v>
      </c>
      <c r="N184" s="90">
        <v>10000.0</v>
      </c>
      <c r="O184" s="128"/>
      <c r="P184" s="75">
        <v>0.5847222222222223</v>
      </c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  <c r="AC184" s="4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>
        <v>45594.0</v>
      </c>
      <c r="I185" s="68"/>
      <c r="J185" s="69"/>
      <c r="K185" s="87"/>
      <c r="L185" s="71"/>
      <c r="M185" s="72" t="s">
        <v>2129</v>
      </c>
      <c r="N185" s="90">
        <v>555.0</v>
      </c>
      <c r="O185" s="74"/>
      <c r="P185" s="75">
        <v>0.6631944444444444</v>
      </c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  <c r="AC185" s="4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>
        <v>45594.0</v>
      </c>
      <c r="I186" s="84"/>
      <c r="J186" s="17"/>
      <c r="K186" s="85"/>
      <c r="L186" s="86"/>
      <c r="M186" s="72" t="s">
        <v>1345</v>
      </c>
      <c r="N186" s="90">
        <v>1111.0</v>
      </c>
      <c r="O186" s="74"/>
      <c r="P186" s="75">
        <v>0.6902777777777778</v>
      </c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  <c r="AC186" s="4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>
        <v>45594.0</v>
      </c>
      <c r="I187" s="68" t="s">
        <v>1960</v>
      </c>
      <c r="J187" s="69">
        <v>6500.0</v>
      </c>
      <c r="K187" s="70" t="s">
        <v>2223</v>
      </c>
      <c r="L187" s="71">
        <v>0.7451388888888889</v>
      </c>
      <c r="M187" s="72" t="s">
        <v>1950</v>
      </c>
      <c r="N187" s="90">
        <v>210.0</v>
      </c>
      <c r="O187" s="74"/>
      <c r="P187" s="75">
        <v>0.7451388888888889</v>
      </c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  <c r="AC187" s="4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>
        <v>45594.0</v>
      </c>
      <c r="I188" s="84"/>
      <c r="J188" s="17"/>
      <c r="K188" s="85"/>
      <c r="L188" s="86"/>
      <c r="M188" s="72" t="s">
        <v>1345</v>
      </c>
      <c r="N188" s="90">
        <v>2222.0</v>
      </c>
      <c r="O188" s="74"/>
      <c r="P188" s="75">
        <v>0.7805555555555556</v>
      </c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  <c r="AC188" s="4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>
        <v>45594.0</v>
      </c>
      <c r="I189" s="68"/>
      <c r="J189" s="17"/>
      <c r="K189" s="85"/>
      <c r="L189" s="86"/>
      <c r="M189" s="72" t="s">
        <v>1653</v>
      </c>
      <c r="N189" s="90">
        <v>1794.0</v>
      </c>
      <c r="O189" s="74"/>
      <c r="P189" s="75">
        <v>0.7847222222222222</v>
      </c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  <c r="AC189" s="4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>
        <v>45594.0</v>
      </c>
      <c r="I190" s="84"/>
      <c r="J190" s="17"/>
      <c r="K190" s="85"/>
      <c r="L190" s="86"/>
      <c r="M190" s="72" t="s">
        <v>827</v>
      </c>
      <c r="N190" s="90">
        <v>19651.99</v>
      </c>
      <c r="O190" s="74"/>
      <c r="P190" s="75">
        <v>0.8673611111111111</v>
      </c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  <c r="AC190" s="4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>
        <v>45594.0</v>
      </c>
      <c r="I191" s="68"/>
      <c r="J191" s="69"/>
      <c r="K191" s="87"/>
      <c r="L191" s="71"/>
      <c r="M191" s="72" t="s">
        <v>1345</v>
      </c>
      <c r="N191" s="90">
        <v>3333.0</v>
      </c>
      <c r="O191" s="74" t="s">
        <v>1281</v>
      </c>
      <c r="P191" s="75">
        <v>0.8722222222222222</v>
      </c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  <c r="AC191" s="4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53">
        <v>45594.0</v>
      </c>
      <c r="I192" s="84"/>
      <c r="J192" s="17"/>
      <c r="K192" s="85"/>
      <c r="L192" s="86"/>
      <c r="M192" s="72" t="s">
        <v>1345</v>
      </c>
      <c r="N192" s="90">
        <v>2222.0</v>
      </c>
      <c r="O192" s="74" t="s">
        <v>1738</v>
      </c>
      <c r="P192" s="75">
        <v>0.8819444444444444</v>
      </c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  <c r="AC192" s="4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53">
        <v>45594.0</v>
      </c>
      <c r="I193" s="84"/>
      <c r="J193" s="17"/>
      <c r="K193" s="85"/>
      <c r="L193" s="86"/>
      <c r="M193" s="147" t="s">
        <v>1829</v>
      </c>
      <c r="N193" s="90">
        <v>2000.3</v>
      </c>
      <c r="O193" s="128"/>
      <c r="P193" s="75">
        <v>0.8979166666666667</v>
      </c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  <c r="AC193" s="4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53">
        <v>45595.0</v>
      </c>
      <c r="I194" s="68" t="s">
        <v>1979</v>
      </c>
      <c r="J194" s="69">
        <v>3420.0</v>
      </c>
      <c r="K194" s="70"/>
      <c r="L194" s="71">
        <v>0.53125</v>
      </c>
      <c r="M194" s="72" t="s">
        <v>1345</v>
      </c>
      <c r="N194" s="90">
        <v>3333.0</v>
      </c>
      <c r="O194" s="74" t="s">
        <v>1281</v>
      </c>
      <c r="P194" s="75">
        <v>0.5659722222222222</v>
      </c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  <c r="AC194" s="4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53">
        <v>45595.0</v>
      </c>
      <c r="I195" s="68"/>
      <c r="J195" s="69"/>
      <c r="K195" s="70"/>
      <c r="L195" s="71"/>
      <c r="M195" s="72" t="s">
        <v>1531</v>
      </c>
      <c r="N195" s="90">
        <v>3330.0</v>
      </c>
      <c r="O195" s="74" t="s">
        <v>2224</v>
      </c>
      <c r="P195" s="75">
        <v>0.6006944444444444</v>
      </c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  <c r="AC195" s="4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53">
        <v>45595.0</v>
      </c>
      <c r="I196" s="84"/>
      <c r="J196" s="17"/>
      <c r="K196" s="85"/>
      <c r="L196" s="86"/>
      <c r="M196" s="72" t="s">
        <v>1653</v>
      </c>
      <c r="N196" s="90">
        <v>1077.0</v>
      </c>
      <c r="O196" s="128"/>
      <c r="P196" s="75">
        <v>0.6097222222222223</v>
      </c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  <c r="AC196" s="4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53">
        <v>45595.0</v>
      </c>
      <c r="I197" s="84"/>
      <c r="J197" s="17"/>
      <c r="K197" s="85"/>
      <c r="L197" s="86"/>
      <c r="M197" s="72" t="s">
        <v>1345</v>
      </c>
      <c r="N197" s="90">
        <v>3333.0</v>
      </c>
      <c r="O197" s="74" t="s">
        <v>1281</v>
      </c>
      <c r="P197" s="75">
        <v>0.6854166666666667</v>
      </c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  <c r="AC197" s="4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53">
        <v>45595.0</v>
      </c>
      <c r="I198" s="68" t="s">
        <v>1642</v>
      </c>
      <c r="J198" s="69">
        <v>5670.0</v>
      </c>
      <c r="K198" s="70" t="s">
        <v>2164</v>
      </c>
      <c r="L198" s="71">
        <v>0.6673611111111111</v>
      </c>
      <c r="M198" s="72" t="s">
        <v>1531</v>
      </c>
      <c r="N198" s="90">
        <v>1110.0</v>
      </c>
      <c r="O198" s="74" t="s">
        <v>546</v>
      </c>
      <c r="P198" s="75">
        <v>0.7479166666666667</v>
      </c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  <c r="AC198" s="4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53">
        <v>45595.0</v>
      </c>
      <c r="I199" s="68" t="s">
        <v>1960</v>
      </c>
      <c r="J199" s="69">
        <v>3250.0</v>
      </c>
      <c r="K199" s="70" t="s">
        <v>2225</v>
      </c>
      <c r="L199" s="71">
        <v>0.7611111111111111</v>
      </c>
      <c r="M199" s="72" t="s">
        <v>1531</v>
      </c>
      <c r="N199" s="90">
        <v>1110.0</v>
      </c>
      <c r="O199" s="74" t="s">
        <v>546</v>
      </c>
      <c r="P199" s="75">
        <v>0.8131944444444444</v>
      </c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  <c r="AC199" s="4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53">
        <v>45595.0</v>
      </c>
      <c r="I200" s="84"/>
      <c r="J200" s="17"/>
      <c r="K200" s="85"/>
      <c r="L200" s="86"/>
      <c r="M200" s="72" t="s">
        <v>1345</v>
      </c>
      <c r="N200" s="90">
        <v>11110.0</v>
      </c>
      <c r="O200" s="74" t="s">
        <v>1026</v>
      </c>
      <c r="P200" s="75">
        <v>0.8486111111111111</v>
      </c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  <c r="AC200" s="4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53">
        <v>45595.0</v>
      </c>
      <c r="I201" s="84"/>
      <c r="J201" s="17"/>
      <c r="K201" s="85"/>
      <c r="L201" s="86"/>
      <c r="M201" s="72" t="s">
        <v>1531</v>
      </c>
      <c r="N201" s="90">
        <v>1110.0</v>
      </c>
      <c r="O201" s="74" t="s">
        <v>546</v>
      </c>
      <c r="P201" s="75">
        <v>0.8708333333333333</v>
      </c>
      <c r="Q201" s="41"/>
      <c r="R201" s="39"/>
      <c r="T201" s="40"/>
      <c r="U201" s="40"/>
      <c r="V201" s="40"/>
      <c r="W201" s="40"/>
      <c r="X201" s="41"/>
      <c r="Y201" s="30"/>
      <c r="Z201" s="30"/>
      <c r="AA201" s="30"/>
      <c r="AB201" s="30"/>
      <c r="AC201" s="4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53">
        <v>45595.0</v>
      </c>
      <c r="I202" s="84"/>
      <c r="J202" s="17"/>
      <c r="K202" s="85"/>
      <c r="L202" s="86"/>
      <c r="M202" s="255" t="s">
        <v>2129</v>
      </c>
      <c r="N202" s="90">
        <v>1110.0</v>
      </c>
      <c r="O202" s="74" t="s">
        <v>546</v>
      </c>
      <c r="P202" s="75">
        <v>0.875</v>
      </c>
      <c r="Q202" s="41"/>
      <c r="R202" s="39"/>
      <c r="S202" s="256"/>
      <c r="T202" s="40"/>
      <c r="U202" s="40"/>
      <c r="V202" s="40"/>
      <c r="W202" s="40"/>
      <c r="X202" s="41"/>
      <c r="Y202" s="30"/>
      <c r="Z202" s="30"/>
      <c r="AA202" s="30"/>
      <c r="AB202" s="30"/>
      <c r="AC202" s="4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53">
        <v>45595.0</v>
      </c>
      <c r="I203" s="84"/>
      <c r="J203" s="17"/>
      <c r="K203" s="85"/>
      <c r="L203" s="86"/>
      <c r="M203" s="255" t="s">
        <v>2129</v>
      </c>
      <c r="N203" s="90">
        <v>1110.0</v>
      </c>
      <c r="O203" s="74" t="s">
        <v>546</v>
      </c>
      <c r="P203" s="75">
        <v>0.9631944444444445</v>
      </c>
      <c r="Q203" s="41"/>
      <c r="R203" s="39"/>
      <c r="S203" s="256"/>
      <c r="T203" s="40"/>
      <c r="U203" s="40"/>
      <c r="V203" s="40"/>
      <c r="W203" s="40"/>
      <c r="X203" s="41"/>
      <c r="Y203" s="30"/>
      <c r="Z203" s="30"/>
      <c r="AA203" s="30"/>
      <c r="AB203" s="30"/>
      <c r="AC203" s="4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53">
        <v>45595.0</v>
      </c>
      <c r="I204" s="84"/>
      <c r="J204" s="17"/>
      <c r="K204" s="85"/>
      <c r="L204" s="86"/>
      <c r="M204" s="72" t="s">
        <v>1653</v>
      </c>
      <c r="N204" s="90">
        <v>5798.0</v>
      </c>
      <c r="O204" s="74"/>
      <c r="P204" s="75">
        <v>0.9652777777777778</v>
      </c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  <c r="AC204" s="4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53">
        <v>45596.0</v>
      </c>
      <c r="I205" s="84"/>
      <c r="J205" s="17"/>
      <c r="K205" s="85"/>
      <c r="L205" s="86"/>
      <c r="M205" s="72" t="s">
        <v>2180</v>
      </c>
      <c r="N205" s="90">
        <v>833.52</v>
      </c>
      <c r="O205" s="74" t="s">
        <v>2226</v>
      </c>
      <c r="P205" s="75">
        <v>0.9930555555555556</v>
      </c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  <c r="AC205" s="4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53">
        <v>45596.0</v>
      </c>
      <c r="I206" s="68"/>
      <c r="J206" s="69"/>
      <c r="K206" s="70"/>
      <c r="L206" s="71"/>
      <c r="M206" s="72" t="s">
        <v>1345</v>
      </c>
      <c r="N206" s="90">
        <v>8888.0</v>
      </c>
      <c r="O206" s="74" t="s">
        <v>2227</v>
      </c>
      <c r="P206" s="75">
        <v>0.5368055555555555</v>
      </c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  <c r="AC206" s="4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53">
        <v>45596.0</v>
      </c>
      <c r="I207" s="68" t="s">
        <v>1960</v>
      </c>
      <c r="J207" s="69">
        <v>6500.0</v>
      </c>
      <c r="K207" s="70" t="s">
        <v>2228</v>
      </c>
      <c r="L207" s="71">
        <v>0.5416666666666666</v>
      </c>
      <c r="M207" s="72" t="s">
        <v>1345</v>
      </c>
      <c r="N207" s="90">
        <v>1151.4</v>
      </c>
      <c r="O207" s="74" t="s">
        <v>1507</v>
      </c>
      <c r="P207" s="75">
        <v>0.5548611111111111</v>
      </c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  <c r="AC207" s="4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53">
        <v>45596.0</v>
      </c>
      <c r="I208" s="84"/>
      <c r="J208" s="17"/>
      <c r="K208" s="85"/>
      <c r="L208" s="86"/>
      <c r="M208" s="72" t="s">
        <v>1829</v>
      </c>
      <c r="N208" s="90">
        <v>2000.62</v>
      </c>
      <c r="O208" s="128"/>
      <c r="P208" s="75">
        <v>0.5763888888888888</v>
      </c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  <c r="AC208" s="4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53">
        <v>45596.0</v>
      </c>
      <c r="I209" s="84"/>
      <c r="J209" s="17"/>
      <c r="K209" s="85"/>
      <c r="L209" s="86"/>
      <c r="M209" s="72" t="s">
        <v>1345</v>
      </c>
      <c r="N209" s="90">
        <v>1151.4</v>
      </c>
      <c r="O209" s="74" t="s">
        <v>1507</v>
      </c>
      <c r="P209" s="75">
        <v>0.58125</v>
      </c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  <c r="AC209" s="4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53">
        <v>45596.0</v>
      </c>
      <c r="I210" s="84"/>
      <c r="J210" s="17"/>
      <c r="K210" s="85"/>
      <c r="L210" s="86"/>
      <c r="M210" s="72" t="s">
        <v>1950</v>
      </c>
      <c r="N210" s="90">
        <v>210.0</v>
      </c>
      <c r="O210" s="128"/>
      <c r="P210" s="75">
        <v>0.5840277777777778</v>
      </c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  <c r="AC210" s="4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53">
        <v>45596.0</v>
      </c>
      <c r="I211" s="84"/>
      <c r="J211" s="17"/>
      <c r="K211" s="85"/>
      <c r="L211" s="86"/>
      <c r="M211" s="72" t="s">
        <v>1952</v>
      </c>
      <c r="N211" s="90">
        <v>1256.986</v>
      </c>
      <c r="O211" s="74" t="s">
        <v>2229</v>
      </c>
      <c r="P211" s="75">
        <v>0.5958333333333333</v>
      </c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  <c r="AC211" s="4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53">
        <v>45596.0</v>
      </c>
      <c r="I212" s="84"/>
      <c r="J212" s="17"/>
      <c r="K212" s="85"/>
      <c r="L212" s="86"/>
      <c r="M212" s="72" t="s">
        <v>1950</v>
      </c>
      <c r="N212" s="90">
        <v>210.0</v>
      </c>
      <c r="O212" s="128"/>
      <c r="P212" s="75">
        <v>0.6756944444444445</v>
      </c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  <c r="AC212" s="4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53">
        <v>45596.0</v>
      </c>
      <c r="I213" s="84"/>
      <c r="J213" s="17"/>
      <c r="K213" s="85"/>
      <c r="L213" s="86"/>
      <c r="M213" s="72" t="s">
        <v>1345</v>
      </c>
      <c r="N213" s="90">
        <v>17776.0</v>
      </c>
      <c r="O213" s="74" t="s">
        <v>2230</v>
      </c>
      <c r="P213" s="75">
        <v>0.6784722222222223</v>
      </c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  <c r="AC213" s="4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53">
        <v>45596.0</v>
      </c>
      <c r="I214" s="84"/>
      <c r="J214" s="17"/>
      <c r="K214" s="85"/>
      <c r="L214" s="86"/>
      <c r="M214" s="72" t="s">
        <v>1653</v>
      </c>
      <c r="N214" s="90">
        <v>6786.0</v>
      </c>
      <c r="O214" s="128"/>
      <c r="P214" s="75">
        <v>0.8</v>
      </c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  <c r="AC214" s="4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53">
        <v>45596.0</v>
      </c>
      <c r="I215" s="68" t="s">
        <v>1960</v>
      </c>
      <c r="J215" s="69">
        <v>6500.0</v>
      </c>
      <c r="K215" s="70" t="s">
        <v>2228</v>
      </c>
      <c r="L215" s="71">
        <v>0.8965277777777778</v>
      </c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  <c r="AC215" s="4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53"/>
      <c r="I216" s="84"/>
      <c r="J216" s="17"/>
      <c r="K216" s="85"/>
      <c r="L216" s="86"/>
      <c r="M216" s="72"/>
      <c r="N216" s="90"/>
      <c r="O216" s="128"/>
      <c r="P216" s="75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  <c r="AC216" s="4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  <c r="AC217" s="4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  <c r="AC218" s="4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  <c r="AC219" s="4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  <c r="AC220" s="4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  <c r="AC221" s="4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  <c r="AC222" s="4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  <c r="AC223" s="4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  <c r="AC224" s="4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  <c r="AC225" s="4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  <c r="AC226" s="4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  <c r="AC227" s="4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  <c r="AC228" s="4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  <c r="AC229" s="4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  <c r="AC230" s="4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  <c r="AC231" s="4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  <c r="AC232" s="4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  <c r="AC233" s="4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  <c r="AC234" s="4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  <c r="AC235" s="4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  <c r="AC236" s="4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  <c r="AC237" s="4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  <c r="AC238" s="4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  <c r="AC239" s="4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  <c r="AC240" s="4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  <c r="AC241" s="4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  <c r="AC242" s="4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  <c r="AC243" s="4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  <c r="AC244" s="4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  <c r="AC245" s="4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  <c r="AC246" s="4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  <c r="AC247" s="4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  <c r="AC248" s="4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  <c r="AC249" s="4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  <c r="AC250" s="4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  <c r="AC251" s="4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  <c r="AC252" s="4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  <c r="AC253" s="4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  <c r="AC254" s="4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  <c r="AC255" s="4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  <c r="AC256" s="4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  <c r="AC257" s="4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  <c r="AC258" s="4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  <c r="AC259" s="4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  <c r="AC260" s="4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  <c r="AC261" s="4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  <c r="AC262" s="4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  <c r="AC263" s="4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  <c r="AC264" s="4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  <c r="AC265" s="4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  <c r="AC266" s="4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  <c r="AC267" s="4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  <c r="AC268" s="4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  <c r="AC269" s="4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  <c r="AC270" s="4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  <c r="AC271" s="4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  <c r="AC272" s="4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  <c r="AC273" s="4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  <c r="AC274" s="4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  <c r="AC275" s="4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  <c r="AC276" s="4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  <c r="AC277" s="4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  <c r="AC278" s="4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  <c r="AC279" s="4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  <c r="AC280" s="4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  <c r="AC281" s="4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  <c r="AC282" s="4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  <c r="AC283" s="4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  <c r="AC284" s="4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  <c r="AC285" s="4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  <c r="AC286" s="4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  <c r="AC287" s="4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  <c r="AC288" s="4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  <c r="AC289" s="4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  <c r="AC290" s="4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  <c r="AC291" s="4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  <c r="AC292" s="4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  <c r="AC293" s="4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  <c r="AC294" s="4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  <c r="AC295" s="4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  <c r="AC296" s="4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  <c r="AC297" s="4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  <c r="AC298" s="4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  <c r="AC299" s="4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  <c r="AC300" s="4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  <c r="AC301" s="4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  <c r="AC302" s="4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  <c r="AC303" s="4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  <c r="AC304" s="4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  <c r="AC305" s="4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  <c r="AC306" s="4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  <c r="AC307" s="4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  <c r="AC308" s="4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  <c r="AC309" s="4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  <c r="AC310" s="4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  <c r="AC311" s="4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  <c r="AC312" s="4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  <c r="AC313" s="4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  <c r="AC314" s="4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  <c r="AC315" s="4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  <c r="AC316" s="4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  <c r="AC317" s="4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  <c r="AC318" s="4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  <c r="AC319" s="4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  <c r="AC320" s="4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  <c r="AC321" s="4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  <c r="AC322" s="4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  <c r="AC323" s="4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  <c r="AC324" s="4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  <c r="AC325" s="4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  <c r="AC326" s="4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  <c r="AC327" s="4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  <c r="AC328" s="4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  <c r="AC329" s="4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  <c r="AC330" s="4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  <c r="AC331" s="4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  <c r="AC332" s="4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  <c r="AC333" s="4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  <c r="AC334" s="4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  <c r="AC335" s="4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  <c r="AC336" s="4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  <c r="AC337" s="4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  <c r="AC338" s="4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  <c r="AC339" s="4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  <c r="AC340" s="4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  <c r="AC341" s="4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  <c r="AC342" s="4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  <c r="AC343" s="4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  <c r="AC344" s="4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  <c r="AC345" s="4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  <c r="AC346" s="4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  <c r="AC347" s="4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  <c r="AC348" s="4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  <c r="AC349" s="4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  <c r="AC350" s="4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  <c r="AC351" s="4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  <c r="AC352" s="4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  <c r="AC353" s="4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  <c r="AC354" s="4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  <c r="AC355" s="4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  <c r="AC356" s="4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  <c r="AC357" s="4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  <c r="AC358" s="4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  <c r="AC359" s="4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  <c r="AC360" s="4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  <c r="AC361" s="4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  <c r="AC362" s="4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  <c r="AC363" s="4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  <c r="AC364" s="4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  <c r="AC365" s="4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  <c r="AC366" s="4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  <c r="AC367" s="4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  <c r="AC368" s="4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  <c r="AC369" s="4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  <c r="AC370" s="4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  <c r="AC371" s="4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  <c r="AC372" s="4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  <c r="AC373" s="4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  <c r="AC374" s="4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  <c r="AC375" s="4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  <c r="AC376" s="4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  <c r="AC377" s="4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  <c r="AC378" s="4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  <c r="AC379" s="4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  <c r="AC380" s="4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  <c r="AC381" s="4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  <c r="AC382" s="4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  <c r="AC383" s="4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  <c r="AC384" s="4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  <c r="AC385" s="4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  <c r="AC386" s="4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  <c r="AC387" s="4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  <c r="AC388" s="4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  <c r="AC389" s="4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  <c r="AC390" s="4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  <c r="AC391" s="4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  <c r="AC392" s="4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  <c r="AC393" s="4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  <c r="AC394" s="4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  <c r="AC395" s="4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  <c r="AC396" s="4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  <c r="AC397" s="4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  <c r="AC398" s="4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  <c r="AC399" s="4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  <c r="AC400" s="4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  <c r="AC401" s="4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  <c r="AC402" s="4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  <c r="AC403" s="4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  <c r="AC404" s="4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  <c r="AC405" s="4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  <c r="AC406" s="4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  <c r="AC407" s="4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  <c r="AC408" s="4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  <c r="AC409" s="4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  <c r="AC410" s="4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  <c r="AC411" s="4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  <c r="AC412" s="4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  <c r="AC413" s="4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  <c r="AC414" s="4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  <c r="AC415" s="4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  <c r="AC416" s="4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  <c r="AC417" s="4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  <c r="AC418" s="4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  <c r="AC419" s="4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  <c r="AC420" s="4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  <c r="AC421" s="4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  <c r="AC422" s="4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  <c r="AC423" s="4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  <c r="AC424" s="4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  <c r="AC425" s="4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  <c r="AC426" s="4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  <c r="AC427" s="4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  <c r="AC428" s="4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  <c r="AC429" s="4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  <c r="AC430" s="4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  <c r="AC431" s="4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  <c r="AC432" s="4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  <c r="AC433" s="4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  <c r="AC434" s="4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  <c r="AC435" s="4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  <c r="AC436" s="4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  <c r="AC437" s="4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  <c r="AC438" s="4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  <c r="AC439" s="4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  <c r="AC440" s="4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  <c r="AC441" s="4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  <c r="AC442" s="4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  <c r="AC443" s="4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  <c r="AC444" s="4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  <c r="AC445" s="4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  <c r="AC446" s="4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  <c r="AC447" s="4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  <c r="AC448" s="4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  <c r="AC449" s="4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  <c r="AC450" s="4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  <c r="AC451" s="4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  <c r="AC452" s="4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  <c r="AC453" s="4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  <c r="AC454" s="4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  <c r="AC455" s="4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  <c r="AC456" s="4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  <c r="AC457" s="4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  <c r="AC458" s="4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  <c r="AC459" s="4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  <c r="AC460" s="4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  <c r="AC461" s="4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  <c r="AC462" s="4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  <c r="AC463" s="4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  <c r="AC464" s="4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  <c r="AC465" s="4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  <c r="AC466" s="4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  <c r="AC467" s="4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  <c r="AC468" s="4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  <c r="AC469" s="4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  <c r="AC470" s="4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  <c r="AC471" s="4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  <c r="AC472" s="4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  <c r="AC473" s="4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  <c r="AC474" s="4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  <c r="AC475" s="4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  <c r="AC476" s="4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  <c r="AC477" s="4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  <c r="AC478" s="4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  <c r="AC479" s="4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  <c r="AC480" s="4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  <c r="AC481" s="4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  <c r="AC482" s="4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  <c r="AC483" s="4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  <c r="AC484" s="4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  <c r="AC485" s="4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  <c r="AC486" s="4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  <c r="AC487" s="4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  <c r="AC488" s="4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  <c r="AC489" s="4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  <c r="AC490" s="4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  <c r="AC491" s="4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  <c r="AC492" s="4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  <c r="AC493" s="4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  <c r="AC494" s="4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  <c r="AC495" s="4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  <c r="AC496" s="4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  <c r="AC497" s="4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  <c r="AC498" s="4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  <c r="AC499" s="4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  <c r="AC500" s="4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  <c r="AC501" s="4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  <c r="AC502" s="4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  <c r="AC503" s="4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  <c r="AC504" s="4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  <c r="AC505" s="4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  <c r="AC506" s="4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  <c r="AC507" s="4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  <c r="AC508" s="4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  <c r="AC509" s="4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  <c r="AC510" s="4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  <c r="AC511" s="4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  <c r="AC512" s="4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  <c r="AC513" s="4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  <c r="AC514" s="4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  <c r="AC515" s="4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  <c r="AC516" s="4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  <c r="AC517" s="4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  <c r="AC518" s="4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  <c r="AC519" s="4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  <c r="AC520" s="4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  <c r="AC521" s="4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  <c r="AC522" s="4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  <c r="AC523" s="4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  <c r="AC524" s="4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  <c r="AC525" s="4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  <c r="AC526" s="4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  <c r="AC527" s="4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  <c r="AC528" s="4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  <c r="AC529" s="4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  <c r="AC530" s="4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  <c r="AC531" s="4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  <c r="AC532" s="4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  <c r="AC533" s="4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  <c r="AC534" s="4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  <c r="AC535" s="4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  <c r="AC536" s="4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  <c r="AC537" s="4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  <c r="AC538" s="4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  <c r="AC539" s="4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  <c r="AC540" s="4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  <c r="AC541" s="4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  <c r="AC542" s="4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  <c r="AC543" s="4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  <c r="AC544" s="4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  <c r="AC545" s="4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  <c r="AC546" s="4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  <c r="AC547" s="4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  <c r="AC548" s="4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  <c r="AC549" s="4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  <c r="AC550" s="4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  <c r="AC551" s="4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  <c r="AC552" s="4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  <c r="AC553" s="4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  <c r="AC554" s="4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  <c r="AC555" s="4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  <c r="AC556" s="4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  <c r="AC557" s="4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  <c r="AC558" s="4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  <c r="AC559" s="4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  <c r="AC560" s="4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  <c r="AC561" s="4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  <c r="AC562" s="4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  <c r="AC563" s="4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  <c r="AC564" s="4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  <c r="AC565" s="4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  <c r="AC566" s="4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  <c r="AC567" s="4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  <c r="AC568" s="4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  <c r="AC569" s="4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  <c r="AC570" s="4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  <c r="AC571" s="4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  <c r="AC572" s="4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  <c r="AC573" s="4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  <c r="AC574" s="4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  <c r="AC575" s="4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  <c r="AC576" s="4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  <c r="AC577" s="4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  <c r="AC578" s="4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  <c r="AC579" s="4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  <c r="AC580" s="4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  <c r="AC581" s="4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  <c r="AC582" s="4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  <c r="AC583" s="4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  <c r="AC584" s="4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  <c r="AC585" s="4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  <c r="AC586" s="4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  <c r="AC587" s="4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  <c r="AC588" s="4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  <c r="AC589" s="4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  <c r="AC590" s="4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  <c r="AC591" s="4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  <c r="AC592" s="4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  <c r="AC593" s="4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  <c r="AC594" s="4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  <c r="AC595" s="4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  <c r="AC596" s="4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  <c r="AC597" s="4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  <c r="AC598" s="4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  <c r="AC599" s="4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  <c r="AC600" s="4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  <c r="AC601" s="4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  <c r="AC602" s="4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  <c r="AC603" s="4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  <c r="AC604" s="4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  <c r="AC605" s="4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  <c r="AC606" s="4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  <c r="AC607" s="4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  <c r="AC608" s="4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  <c r="AC609" s="4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  <c r="AC610" s="4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  <c r="AC611" s="4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  <c r="AC612" s="4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  <c r="AC613" s="4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  <c r="AC614" s="4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  <c r="AC615" s="4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  <c r="AC616" s="4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  <c r="AC617" s="4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  <c r="AC618" s="4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  <c r="AC619" s="4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  <c r="AC620" s="4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  <c r="AC621" s="4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  <c r="AC622" s="4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  <c r="AC623" s="4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  <c r="AC624" s="4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  <c r="AC625" s="4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  <c r="AC626" s="4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  <c r="AC627" s="4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  <c r="AC628" s="4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  <c r="AC629" s="4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  <c r="AC630" s="4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  <c r="AC631" s="4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  <c r="AC632" s="4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  <c r="AC633" s="4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  <c r="AC634" s="4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  <c r="AC635" s="4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  <c r="AC636" s="4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  <c r="AC637" s="4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  <c r="AC638" s="4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  <c r="AC639" s="4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  <c r="AC640" s="4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  <c r="AC641" s="4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  <c r="AC642" s="4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  <c r="AC643" s="4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  <c r="AC644" s="4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  <c r="AC645" s="4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  <c r="AC646" s="4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  <c r="AC647" s="4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  <c r="AC648" s="4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  <c r="AC649" s="4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  <c r="AC650" s="4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  <c r="AC651" s="4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  <c r="AC652" s="4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  <c r="AC653" s="4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  <c r="AC654" s="4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  <c r="AC655" s="4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  <c r="AC656" s="4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  <c r="AC657" s="4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  <c r="AC658" s="4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  <c r="AC659" s="4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  <c r="AC660" s="4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  <c r="AC661" s="4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  <c r="AC662" s="4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  <c r="AC663" s="4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  <c r="AC664" s="4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  <c r="AC665" s="4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  <c r="AC666" s="4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  <c r="AC667" s="4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  <c r="AC668" s="4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  <c r="AC669" s="4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  <c r="AC670" s="4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  <c r="AC671" s="4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  <c r="AC672" s="4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  <c r="AC673" s="4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  <c r="AC674" s="4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  <c r="AC675" s="4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  <c r="AC676" s="4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  <c r="AC677" s="4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  <c r="AC678" s="4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  <c r="AC679" s="4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  <c r="AC680" s="4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  <c r="AC681" s="4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  <c r="AC682" s="4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  <c r="AC683" s="4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  <c r="AC684" s="4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  <c r="AC685" s="4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  <c r="AC686" s="4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  <c r="AC687" s="4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  <c r="AC688" s="4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  <c r="AC689" s="4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  <c r="AC690" s="4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  <c r="AC691" s="4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  <c r="AC692" s="4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  <c r="AC693" s="4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  <c r="AC694" s="4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  <c r="AC695" s="4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  <c r="AC696" s="4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  <c r="AC697" s="4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  <c r="AC698" s="4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  <c r="AC699" s="4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  <c r="AC700" s="4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  <c r="AC701" s="4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  <c r="AC702" s="4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  <c r="AC703" s="4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  <c r="AC704" s="4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  <c r="AC705" s="4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  <c r="AC706" s="4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  <c r="AC707" s="4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  <c r="AC708" s="4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  <c r="AC709" s="4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  <c r="AC710" s="4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  <c r="AC711" s="4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  <c r="AC712" s="4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  <c r="AC713" s="4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  <c r="AC714" s="4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  <c r="AC715" s="4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  <c r="AC716" s="4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  <c r="AC717" s="4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  <c r="AC718" s="4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  <c r="AC719" s="4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  <c r="AC720" s="4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  <c r="AC721" s="4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  <c r="AC722" s="4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  <c r="AC723" s="4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  <c r="AC724" s="4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  <c r="AC725" s="4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  <c r="AC726" s="4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  <c r="AC727" s="4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  <c r="AC728" s="4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  <c r="AC729" s="4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  <c r="AC730" s="4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  <c r="AC731" s="4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  <c r="AC732" s="4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  <c r="AC733" s="4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  <c r="AC734" s="4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  <c r="AC735" s="4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  <c r="AC736" s="4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  <c r="AC737" s="4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  <c r="AC738" s="4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  <c r="AC739" s="4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  <c r="AC740" s="4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  <c r="AC741" s="4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  <c r="AC742" s="4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  <c r="AC743" s="4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  <c r="AC744" s="4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  <c r="AC745" s="4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  <c r="AC746" s="4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  <c r="AC747" s="4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  <c r="AC748" s="4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  <c r="AC749" s="4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  <c r="AC750" s="4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  <c r="AC751" s="4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  <c r="AC752" s="4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  <c r="AC753" s="4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  <c r="AC754" s="4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  <c r="AC755" s="4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  <c r="AC756" s="4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  <c r="AC757" s="4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  <c r="AC758" s="4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  <c r="AC759" s="4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  <c r="AC760" s="4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  <c r="AC761" s="4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  <c r="AC762" s="4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  <c r="AC763" s="4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  <c r="AC764" s="4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  <c r="AC765" s="4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  <c r="AC766" s="4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  <c r="AC767" s="4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  <c r="AC768" s="4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  <c r="AC769" s="4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  <c r="AC770" s="4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  <c r="AC771" s="4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  <c r="AC772" s="4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  <c r="AC773" s="4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  <c r="AC774" s="4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  <c r="AC775" s="4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  <c r="AC776" s="4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  <c r="AC777" s="4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  <c r="AC778" s="4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  <c r="AC779" s="4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  <c r="AC780" s="4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  <c r="AC781" s="4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  <c r="AC782" s="4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  <c r="AC783" s="4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  <c r="AC784" s="4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  <c r="AC785" s="4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  <c r="AC786" s="4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  <c r="AC787" s="4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  <c r="AC788" s="4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  <c r="AC789" s="4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  <c r="AC790" s="4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  <c r="AC791" s="4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  <c r="AC792" s="4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  <c r="AC793" s="4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  <c r="AC794" s="4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  <c r="AC795" s="4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  <c r="AC796" s="4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  <c r="AC797" s="4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  <c r="AC798" s="4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  <c r="AC799" s="4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  <c r="AC800" s="4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  <c r="AC801" s="4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  <c r="AC802" s="4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  <c r="AC803" s="4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  <c r="AC804" s="4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  <c r="AC805" s="4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  <c r="AC806" s="4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  <c r="AC807" s="4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  <c r="AC808" s="4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  <c r="AC809" s="4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  <c r="AC810" s="4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  <c r="AC811" s="4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  <c r="AC812" s="4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  <c r="AC813" s="4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  <c r="AC814" s="4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  <c r="AC815" s="4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  <c r="AC816" s="4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  <c r="AC817" s="4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  <c r="AC818" s="4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  <c r="AC819" s="4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  <c r="AC820" s="4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  <c r="AC821" s="4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  <c r="AC822" s="4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  <c r="AC823" s="4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  <c r="AC824" s="4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  <c r="AC825" s="4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  <c r="AC826" s="4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  <c r="AC827" s="4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  <c r="AC828" s="4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  <c r="AC829" s="4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  <c r="AC830" s="4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  <c r="AC831" s="4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  <c r="AC832" s="4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  <c r="AC833" s="4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  <c r="AC834" s="4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  <c r="AC835" s="4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  <c r="AC836" s="4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  <c r="AC837" s="4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  <c r="AC838" s="4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  <c r="AC839" s="4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  <c r="AC840" s="4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  <c r="AC841" s="4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  <c r="AC842" s="4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  <c r="AC843" s="4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  <c r="AC844" s="4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  <c r="AC845" s="4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  <c r="AC846" s="4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  <c r="AC847" s="4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  <c r="AC848" s="4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  <c r="AC849" s="4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  <c r="AC850" s="4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  <c r="AC851" s="4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  <c r="AC852" s="4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  <c r="AC853" s="4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  <c r="AC854" s="4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  <c r="AC855" s="4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  <c r="AC856" s="4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  <c r="AC857" s="4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  <c r="AC858" s="4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  <c r="AC859" s="4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  <c r="AC860" s="4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  <c r="AC861" s="4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  <c r="AC862" s="4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  <c r="AC863" s="4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  <c r="AC864" s="4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  <c r="AC865" s="4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  <c r="AC866" s="4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  <c r="AC867" s="4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  <c r="AC868" s="4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  <c r="AC869" s="4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  <c r="AC870" s="4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  <c r="AC871" s="4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  <c r="AC872" s="4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  <c r="AC873" s="4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  <c r="AC874" s="4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  <c r="AC875" s="4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  <c r="AC876" s="4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  <c r="AC877" s="4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  <c r="AC878" s="4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  <c r="AC879" s="4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  <c r="AC880" s="4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  <c r="AC881" s="4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  <c r="AC882" s="4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  <c r="AC883" s="4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  <c r="AC884" s="4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  <c r="AC885" s="4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  <c r="AC886" s="4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  <c r="AC887" s="4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  <c r="AC888" s="4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  <c r="AC889" s="4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  <c r="AC890" s="4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  <c r="AC891" s="4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  <c r="AC892" s="4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  <c r="AC893" s="4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  <c r="AC894" s="4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  <c r="AC895" s="4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  <c r="AC896" s="4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  <c r="AC897" s="4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  <c r="AC898" s="4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  <c r="AC899" s="4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  <c r="AC900" s="4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  <c r="AC901" s="4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  <c r="AC902" s="4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  <c r="AC903" s="4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  <c r="AC904" s="4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  <c r="AC905" s="4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  <c r="AC906" s="4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  <c r="AC907" s="4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  <c r="AC908" s="4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  <c r="AC909" s="4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  <c r="AC910" s="4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  <c r="AC911" s="4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  <c r="AC912" s="4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  <c r="AC913" s="4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  <c r="AC914" s="4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  <c r="AC915" s="4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  <c r="AC916" s="4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  <c r="AC917" s="4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  <c r="AC918" s="4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  <c r="AC919" s="4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  <c r="AC920" s="4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  <c r="AC921" s="4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  <c r="AC922" s="4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  <c r="AC923" s="4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  <c r="AC924" s="4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  <c r="AC925" s="4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  <c r="AC926" s="4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  <c r="AC927" s="4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  <c r="AC928" s="4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  <c r="AC929" s="4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  <c r="AC930" s="4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  <c r="AC931" s="4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  <c r="AC932" s="4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  <c r="AC933" s="4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  <c r="AC934" s="4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  <c r="AC935" s="4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  <c r="AC936" s="4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  <c r="AC937" s="4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  <c r="AC938" s="4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  <c r="AC939" s="4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  <c r="AC940" s="4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  <c r="AC941" s="4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  <c r="AC942" s="4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  <c r="AC943" s="4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  <c r="AC944" s="4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  <c r="AC945" s="4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  <c r="AC946" s="4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  <c r="AC947" s="4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  <c r="AC948" s="4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  <c r="AC949" s="4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  <c r="AC950" s="4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  <c r="AC951" s="4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  <c r="AC952" s="4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  <c r="AC953" s="4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  <c r="AC954" s="4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  <c r="AC955" s="4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  <c r="AC956" s="4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  <c r="AC957" s="4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  <c r="AC958" s="4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  <c r="AC959" s="4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  <c r="AC960" s="4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  <c r="AC961" s="4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  <c r="AC962" s="4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  <c r="AC963" s="4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  <c r="AC964" s="4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  <c r="AC965" s="4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  <c r="AC966" s="4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  <c r="AC967" s="4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  <c r="AC968" s="4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  <c r="AC969" s="4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  <c r="AC970" s="4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  <c r="AC971" s="4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  <c r="AC972" s="4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  <c r="AC973" s="4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  <c r="AC974" s="4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  <c r="AC975" s="4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  <c r="AC976" s="4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  <c r="AC977" s="4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  <c r="AC978" s="4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  <c r="AC979" s="4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  <c r="AC980" s="4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  <c r="AC981" s="4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  <c r="AC982" s="4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  <c r="AC983" s="4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  <c r="AC984" s="4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  <c r="AC985" s="4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  <c r="AC986" s="4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  <c r="AC987" s="4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  <c r="AC988" s="4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  <c r="AC989" s="4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  <c r="AC990" s="4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  <c r="AC991" s="4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  <c r="AC992" s="4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  <c r="AC993" s="4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  <c r="AC994" s="4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  <c r="AC995" s="4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  <c r="AC996" s="4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  <c r="AC997" s="4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  <c r="AC998" s="4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  <c r="AC999" s="4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  <c r="AC1000" s="4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14.5"/>
    <col customWidth="1" min="20" max="20" width="15.13"/>
    <col customWidth="1" min="21" max="28" width="6.88"/>
  </cols>
  <sheetData>
    <row r="1" ht="48.75" customHeight="1">
      <c r="A1" s="1" t="s">
        <v>0</v>
      </c>
      <c r="B1" s="2"/>
      <c r="C1" s="3" t="s">
        <v>2072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257"/>
      <c r="K2" s="11"/>
      <c r="L2" s="11"/>
      <c r="M2" s="13"/>
      <c r="N2" s="258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259"/>
      <c r="K3" s="16"/>
      <c r="L3" s="16"/>
      <c r="M3" s="18"/>
      <c r="N3" s="260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2231</v>
      </c>
      <c r="D4" s="21"/>
      <c r="E4" s="20"/>
      <c r="F4" s="21"/>
      <c r="G4" s="23" t="s">
        <v>2232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6"/>
      <c r="T5" s="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261" t="s">
        <v>2233</v>
      </c>
      <c r="K6" s="47" t="s">
        <v>12</v>
      </c>
      <c r="L6" s="48" t="s">
        <v>13</v>
      </c>
      <c r="M6" s="49" t="s">
        <v>10</v>
      </c>
      <c r="N6" s="262" t="s">
        <v>2233</v>
      </c>
      <c r="O6" s="51" t="s">
        <v>12</v>
      </c>
      <c r="P6" s="51" t="s">
        <v>13</v>
      </c>
      <c r="Q6" s="30"/>
      <c r="R6" s="39"/>
      <c r="S6" s="6"/>
      <c r="T6" s="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261</v>
      </c>
      <c r="D7" s="54" t="s">
        <v>16</v>
      </c>
      <c r="E7" s="29"/>
      <c r="F7" s="30"/>
      <c r="G7" s="55">
        <v>1.0</v>
      </c>
      <c r="H7" s="241">
        <v>45566.0</v>
      </c>
      <c r="I7" s="57" t="s">
        <v>2075</v>
      </c>
      <c r="J7" s="263">
        <f>'9月支付宝备用金'!C25</f>
        <v>7715.56</v>
      </c>
      <c r="K7" s="59"/>
      <c r="L7" s="60"/>
      <c r="M7" s="61"/>
      <c r="N7" s="264"/>
      <c r="O7" s="63"/>
      <c r="P7" s="64"/>
      <c r="Q7" s="41"/>
      <c r="R7" s="39"/>
      <c r="S7" s="6"/>
      <c r="T7" s="27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45572.0</v>
      </c>
      <c r="I8" s="68"/>
      <c r="J8" s="265"/>
      <c r="K8" s="70"/>
      <c r="L8" s="88"/>
      <c r="M8" s="80" t="s">
        <v>20</v>
      </c>
      <c r="N8" s="266">
        <v>100.0</v>
      </c>
      <c r="O8" s="72" t="s">
        <v>98</v>
      </c>
      <c r="P8" s="75">
        <v>0.6805555555555556</v>
      </c>
      <c r="Q8" s="41"/>
      <c r="R8" s="39"/>
      <c r="S8" s="27"/>
      <c r="T8" s="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7715.56</v>
      </c>
      <c r="D9" s="30"/>
      <c r="E9" s="29"/>
      <c r="F9" s="30"/>
      <c r="G9" s="66">
        <v>3.0</v>
      </c>
      <c r="H9" s="153">
        <v>45573.0</v>
      </c>
      <c r="I9" s="68"/>
      <c r="J9" s="265"/>
      <c r="K9" s="70"/>
      <c r="L9" s="88"/>
      <c r="M9" s="80" t="s">
        <v>20</v>
      </c>
      <c r="N9" s="266">
        <v>100.0</v>
      </c>
      <c r="O9" s="72" t="s">
        <v>98</v>
      </c>
      <c r="P9" s="75">
        <v>0.9409722222222222</v>
      </c>
      <c r="Q9" s="41"/>
      <c r="R9" s="39"/>
      <c r="S9" s="6"/>
      <c r="T9" s="6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45575.0</v>
      </c>
      <c r="I10" s="68"/>
      <c r="J10" s="265"/>
      <c r="K10" s="85"/>
      <c r="L10" s="88"/>
      <c r="M10" s="80" t="s">
        <v>20</v>
      </c>
      <c r="N10" s="266">
        <v>350.0</v>
      </c>
      <c r="O10" s="72" t="s">
        <v>266</v>
      </c>
      <c r="P10" s="75">
        <v>0.5159722222222223</v>
      </c>
      <c r="Q10" s="41"/>
      <c r="R10" s="39"/>
      <c r="S10" s="27"/>
      <c r="T10" s="27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7715.56</v>
      </c>
      <c r="D11" s="30"/>
      <c r="E11" s="29"/>
      <c r="F11" s="30"/>
      <c r="G11" s="66">
        <v>5.0</v>
      </c>
      <c r="H11" s="153">
        <v>45579.0</v>
      </c>
      <c r="I11" s="68"/>
      <c r="J11" s="265"/>
      <c r="K11" s="87"/>
      <c r="L11" s="71"/>
      <c r="M11" s="80" t="s">
        <v>2234</v>
      </c>
      <c r="N11" s="266">
        <v>7165.56</v>
      </c>
      <c r="O11" s="72"/>
      <c r="P11" s="75"/>
      <c r="Q11" s="41"/>
      <c r="R11" s="39"/>
      <c r="S11" s="6"/>
      <c r="T11" s="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/>
      <c r="I12" s="68"/>
      <c r="J12" s="265"/>
      <c r="K12" s="87"/>
      <c r="L12" s="71"/>
      <c r="M12" s="80"/>
      <c r="N12" s="266"/>
      <c r="O12" s="72"/>
      <c r="P12" s="75"/>
      <c r="Q12" s="41"/>
      <c r="R12" s="39"/>
      <c r="S12" s="6"/>
      <c r="T12" s="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0</v>
      </c>
      <c r="D13" s="30"/>
      <c r="E13" s="29"/>
      <c r="F13" s="30"/>
      <c r="G13" s="66">
        <v>7.0</v>
      </c>
      <c r="H13" s="153"/>
      <c r="I13" s="68"/>
      <c r="J13" s="265"/>
      <c r="K13" s="87"/>
      <c r="L13" s="71"/>
      <c r="M13" s="80"/>
      <c r="N13" s="266"/>
      <c r="O13" s="72"/>
      <c r="P13" s="75"/>
      <c r="Q13" s="41"/>
      <c r="R13" s="39"/>
      <c r="S13" s="27"/>
      <c r="T13" s="27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/>
      <c r="I14" s="84"/>
      <c r="J14" s="259"/>
      <c r="K14" s="85"/>
      <c r="L14" s="86"/>
      <c r="M14" s="80"/>
      <c r="N14" s="266"/>
      <c r="O14" s="72"/>
      <c r="P14" s="75"/>
      <c r="Q14" s="41"/>
      <c r="R14" s="39"/>
      <c r="S14" s="6"/>
      <c r="T14" s="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/>
      <c r="I15" s="68"/>
      <c r="J15" s="265"/>
      <c r="K15" s="87"/>
      <c r="L15" s="71"/>
      <c r="M15" s="80"/>
      <c r="N15" s="266"/>
      <c r="O15" s="72"/>
      <c r="P15" s="75"/>
      <c r="Q15" s="41"/>
      <c r="R15" s="39"/>
      <c r="S15" s="6"/>
      <c r="T15" s="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/>
      <c r="I16" s="154"/>
      <c r="J16" s="259"/>
      <c r="K16" s="92"/>
      <c r="L16" s="173"/>
      <c r="M16" s="80"/>
      <c r="N16" s="266"/>
      <c r="O16" s="72"/>
      <c r="P16" s="75"/>
      <c r="Q16" s="41"/>
      <c r="R16" s="39"/>
      <c r="S16" s="27"/>
      <c r="T16" s="27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/>
      <c r="I17" s="154"/>
      <c r="J17" s="259"/>
      <c r="K17" s="92"/>
      <c r="L17" s="173"/>
      <c r="M17" s="80"/>
      <c r="N17" s="266"/>
      <c r="O17" s="74"/>
      <c r="P17" s="75"/>
      <c r="Q17" s="41"/>
      <c r="R17" s="39"/>
      <c r="S17" s="6"/>
      <c r="T17" s="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/>
      <c r="I18" s="154"/>
      <c r="J18" s="259"/>
      <c r="K18" s="92"/>
      <c r="L18" s="173"/>
      <c r="M18" s="80"/>
      <c r="N18" s="266"/>
      <c r="O18" s="72"/>
      <c r="P18" s="94"/>
      <c r="Q18" s="41"/>
      <c r="R18" s="39"/>
      <c r="S18" s="6"/>
      <c r="T18" s="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/>
      <c r="I19" s="154"/>
      <c r="J19" s="259"/>
      <c r="K19" s="93"/>
      <c r="L19" s="155"/>
      <c r="M19" s="72"/>
      <c r="N19" s="266"/>
      <c r="O19" s="74"/>
      <c r="P19" s="75"/>
      <c r="Q19" s="41"/>
      <c r="R19" s="39"/>
      <c r="S19" s="27"/>
      <c r="T19" s="27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/>
      <c r="I20" s="154"/>
      <c r="J20" s="259"/>
      <c r="K20" s="93"/>
      <c r="L20" s="155"/>
      <c r="M20" s="80"/>
      <c r="N20" s="266"/>
      <c r="O20" s="72"/>
      <c r="P20" s="94"/>
      <c r="Q20" s="41"/>
      <c r="R20" s="39"/>
      <c r="S20" s="6"/>
      <c r="T20" s="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7715.56</v>
      </c>
      <c r="D21" s="30"/>
      <c r="E21" s="29"/>
      <c r="F21" s="30"/>
      <c r="G21" s="66">
        <v>15.0</v>
      </c>
      <c r="H21" s="153"/>
      <c r="I21" s="154"/>
      <c r="J21" s="259"/>
      <c r="K21" s="93"/>
      <c r="L21" s="155"/>
      <c r="M21" s="80"/>
      <c r="N21" s="266"/>
      <c r="O21" s="72"/>
      <c r="P21" s="94"/>
      <c r="Q21" s="41"/>
      <c r="R21" s="39"/>
      <c r="S21" s="6"/>
      <c r="T21" s="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/>
      <c r="I22" s="68"/>
      <c r="J22" s="259"/>
      <c r="K22" s="93"/>
      <c r="L22" s="155"/>
      <c r="M22" s="80"/>
      <c r="N22" s="266"/>
      <c r="O22" s="72"/>
      <c r="P22" s="75"/>
      <c r="Q22" s="41"/>
      <c r="R22" s="39"/>
      <c r="S22" s="27"/>
      <c r="T22" s="27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7715.56</v>
      </c>
      <c r="D23" s="30"/>
      <c r="E23" s="29"/>
      <c r="F23" s="30"/>
      <c r="G23" s="66">
        <v>17.0</v>
      </c>
      <c r="H23" s="153"/>
      <c r="I23" s="68"/>
      <c r="J23" s="265"/>
      <c r="K23" s="87"/>
      <c r="L23" s="71"/>
      <c r="M23" s="80"/>
      <c r="N23" s="266"/>
      <c r="O23" s="72"/>
      <c r="P23" s="75"/>
      <c r="Q23" s="41"/>
      <c r="R23" s="39"/>
      <c r="S23" s="6"/>
      <c r="T23" s="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/>
      <c r="I24" s="68"/>
      <c r="J24" s="265"/>
      <c r="K24" s="85"/>
      <c r="L24" s="86"/>
      <c r="M24" s="72"/>
      <c r="N24" s="266"/>
      <c r="O24" s="74"/>
      <c r="P24" s="94"/>
      <c r="Q24" s="41"/>
      <c r="R24" s="39"/>
      <c r="S24" s="6"/>
      <c r="T24" s="6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0</v>
      </c>
      <c r="D25" s="30"/>
      <c r="E25" s="29"/>
      <c r="F25" s="30"/>
      <c r="G25" s="66">
        <v>19.0</v>
      </c>
      <c r="H25" s="153"/>
      <c r="I25" s="68"/>
      <c r="J25" s="265"/>
      <c r="K25" s="70"/>
      <c r="L25" s="88"/>
      <c r="M25" s="72"/>
      <c r="N25" s="266"/>
      <c r="O25" s="74"/>
      <c r="P25" s="94"/>
      <c r="Q25" s="41"/>
      <c r="R25" s="39"/>
      <c r="S25" s="27"/>
      <c r="T25" s="27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/>
      <c r="I26" s="68"/>
      <c r="J26" s="265"/>
      <c r="K26" s="70"/>
      <c r="L26" s="88"/>
      <c r="M26" s="72"/>
      <c r="N26" s="266"/>
      <c r="O26" s="74"/>
      <c r="P26" s="94"/>
      <c r="Q26" s="41"/>
      <c r="R26" s="39"/>
      <c r="S26" s="6"/>
      <c r="T26" s="6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/>
      <c r="I27" s="68"/>
      <c r="J27" s="265"/>
      <c r="K27" s="70"/>
      <c r="L27" s="71"/>
      <c r="M27" s="72"/>
      <c r="N27" s="266"/>
      <c r="O27" s="74"/>
      <c r="P27" s="94"/>
      <c r="Q27" s="41"/>
      <c r="R27" s="39"/>
      <c r="S27" s="6"/>
      <c r="T27" s="6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/>
      <c r="I28" s="68"/>
      <c r="J28" s="265"/>
      <c r="K28" s="85"/>
      <c r="L28" s="86"/>
      <c r="M28" s="72"/>
      <c r="N28" s="266"/>
      <c r="O28" s="74"/>
      <c r="P28" s="94"/>
      <c r="Q28" s="41"/>
      <c r="R28" s="39"/>
      <c r="S28" s="27"/>
      <c r="T28" s="27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265"/>
      <c r="K29" s="70"/>
      <c r="L29" s="71"/>
      <c r="M29" s="72"/>
      <c r="N29" s="266"/>
      <c r="O29" s="74"/>
      <c r="P29" s="94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265"/>
      <c r="K30" s="85"/>
      <c r="L30" s="86"/>
      <c r="M30" s="72"/>
      <c r="N30" s="266"/>
      <c r="O30" s="74"/>
      <c r="P30" s="94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265"/>
      <c r="K31" s="70"/>
      <c r="L31" s="88"/>
      <c r="M31" s="72"/>
      <c r="N31" s="266"/>
      <c r="O31" s="74"/>
      <c r="P31" s="94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259"/>
      <c r="K32" s="85"/>
      <c r="L32" s="86"/>
      <c r="M32" s="72"/>
      <c r="N32" s="266"/>
      <c r="O32" s="74"/>
      <c r="P32" s="94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265"/>
      <c r="K33" s="70"/>
      <c r="L33" s="71"/>
      <c r="M33" s="72"/>
      <c r="N33" s="266"/>
      <c r="O33" s="74"/>
      <c r="P33" s="94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265"/>
      <c r="K34" s="87"/>
      <c r="L34" s="71"/>
      <c r="M34" s="72"/>
      <c r="N34" s="266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265"/>
      <c r="K35" s="85"/>
      <c r="L35" s="71"/>
      <c r="M35" s="72"/>
      <c r="N35" s="266"/>
      <c r="O35" s="74"/>
      <c r="P35" s="94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84"/>
      <c r="J36" s="259"/>
      <c r="K36" s="85"/>
      <c r="L36" s="86"/>
      <c r="M36" s="72"/>
      <c r="N36" s="266"/>
      <c r="O36" s="74"/>
      <c r="P36" s="94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265"/>
      <c r="K37" s="85"/>
      <c r="L37" s="86"/>
      <c r="M37" s="72"/>
      <c r="N37" s="266"/>
      <c r="O37" s="74"/>
      <c r="P37" s="94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265"/>
      <c r="K38" s="85"/>
      <c r="L38" s="86"/>
      <c r="M38" s="72"/>
      <c r="N38" s="266"/>
      <c r="O38" s="72"/>
      <c r="P38" s="94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265"/>
      <c r="K39" s="70"/>
      <c r="L39" s="88"/>
      <c r="M39" s="72"/>
      <c r="N39" s="266"/>
      <c r="O39" s="74"/>
      <c r="P39" s="94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265"/>
      <c r="K40" s="70"/>
      <c r="L40" s="88"/>
      <c r="M40" s="72"/>
      <c r="N40" s="266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265"/>
      <c r="K41" s="70"/>
      <c r="L41" s="88"/>
      <c r="M41" s="72"/>
      <c r="N41" s="266"/>
      <c r="O41" s="72"/>
      <c r="P41" s="94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265"/>
      <c r="K42" s="70"/>
      <c r="L42" s="88"/>
      <c r="M42" s="72"/>
      <c r="N42" s="266"/>
      <c r="O42" s="74"/>
      <c r="P42" s="74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265"/>
      <c r="K43" s="87"/>
      <c r="L43" s="71"/>
      <c r="M43" s="72"/>
      <c r="N43" s="266"/>
      <c r="O43" s="74"/>
      <c r="P43" s="74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259"/>
      <c r="K44" s="85"/>
      <c r="L44" s="86"/>
      <c r="M44" s="72"/>
      <c r="N44" s="266"/>
      <c r="O44" s="74"/>
      <c r="P44" s="94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265"/>
      <c r="K45" s="85"/>
      <c r="L45" s="86"/>
      <c r="M45" s="72"/>
      <c r="N45" s="266"/>
      <c r="O45" s="74"/>
      <c r="P45" s="94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84"/>
      <c r="J46" s="259"/>
      <c r="K46" s="85"/>
      <c r="L46" s="86"/>
      <c r="M46" s="72"/>
      <c r="N46" s="266"/>
      <c r="O46" s="74"/>
      <c r="P46" s="94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265"/>
      <c r="K47" s="70"/>
      <c r="L47" s="71"/>
      <c r="M47" s="72"/>
      <c r="N47" s="266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265"/>
      <c r="K48" s="87"/>
      <c r="L48" s="71"/>
      <c r="M48" s="72"/>
      <c r="N48" s="266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265"/>
      <c r="K49" s="85"/>
      <c r="L49" s="71"/>
      <c r="M49" s="72"/>
      <c r="N49" s="266"/>
      <c r="O49" s="74"/>
      <c r="P49" s="94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265"/>
      <c r="K50" s="85"/>
      <c r="L50" s="71"/>
      <c r="M50" s="72"/>
      <c r="N50" s="266"/>
      <c r="O50" s="74"/>
      <c r="P50" s="75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265"/>
      <c r="K51" s="87"/>
      <c r="L51" s="71"/>
      <c r="M51" s="72"/>
      <c r="N51" s="266"/>
      <c r="O51" s="74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265"/>
      <c r="K52" s="87"/>
      <c r="L52" s="71"/>
      <c r="M52" s="72"/>
      <c r="N52" s="266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265"/>
      <c r="K53" s="70"/>
      <c r="L53" s="88"/>
      <c r="M53" s="72"/>
      <c r="N53" s="266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259"/>
      <c r="K54" s="85"/>
      <c r="L54" s="86"/>
      <c r="M54" s="72"/>
      <c r="N54" s="266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265"/>
      <c r="K55" s="87"/>
      <c r="L55" s="71"/>
      <c r="M55" s="72"/>
      <c r="N55" s="266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265"/>
      <c r="K56" s="87"/>
      <c r="L56" s="71"/>
      <c r="M56" s="72"/>
      <c r="N56" s="266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265"/>
      <c r="K57" s="70"/>
      <c r="L57" s="71"/>
      <c r="M57" s="72"/>
      <c r="N57" s="266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265"/>
      <c r="K58" s="87"/>
      <c r="L58" s="71"/>
      <c r="M58" s="147"/>
      <c r="N58" s="266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265"/>
      <c r="K59" s="85"/>
      <c r="L59" s="71"/>
      <c r="M59" s="72"/>
      <c r="N59" s="266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265"/>
      <c r="K60" s="85"/>
      <c r="L60" s="71"/>
      <c r="M60" s="72"/>
      <c r="N60" s="266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265"/>
      <c r="K61" s="85"/>
      <c r="L61" s="71"/>
      <c r="M61" s="72"/>
      <c r="N61" s="266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265"/>
      <c r="K62" s="87"/>
      <c r="L62" s="71"/>
      <c r="M62" s="147"/>
      <c r="N62" s="266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265"/>
      <c r="K63" s="87"/>
      <c r="L63" s="71"/>
      <c r="M63" s="72"/>
      <c r="N63" s="266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265"/>
      <c r="K64" s="87"/>
      <c r="L64" s="71"/>
      <c r="M64" s="72"/>
      <c r="N64" s="266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265"/>
      <c r="K65" s="70"/>
      <c r="L65" s="88"/>
      <c r="M65" s="72"/>
      <c r="N65" s="266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265"/>
      <c r="K66" s="70"/>
      <c r="L66" s="88"/>
      <c r="M66" s="147"/>
      <c r="N66" s="266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265"/>
      <c r="K67" s="87"/>
      <c r="L67" s="71"/>
      <c r="M67" s="147"/>
      <c r="N67" s="266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259"/>
      <c r="K68" s="85"/>
      <c r="L68" s="86"/>
      <c r="M68" s="147"/>
      <c r="N68" s="266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265"/>
      <c r="K69" s="85"/>
      <c r="L69" s="71"/>
      <c r="M69" s="72"/>
      <c r="N69" s="266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265"/>
      <c r="K70" s="70"/>
      <c r="L70" s="71"/>
      <c r="M70" s="72"/>
      <c r="N70" s="266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265"/>
      <c r="K71" s="87"/>
      <c r="L71" s="71"/>
      <c r="M71" s="72"/>
      <c r="N71" s="266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265"/>
      <c r="K72" s="85"/>
      <c r="L72" s="71"/>
      <c r="M72" s="147"/>
      <c r="N72" s="266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265"/>
      <c r="K73" s="93"/>
      <c r="L73" s="71"/>
      <c r="M73" s="72"/>
      <c r="N73" s="266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265"/>
      <c r="K74" s="87"/>
      <c r="L74" s="71"/>
      <c r="M74" s="72"/>
      <c r="N74" s="266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265"/>
      <c r="K75" s="87"/>
      <c r="L75" s="71"/>
      <c r="M75" s="72"/>
      <c r="N75" s="266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265"/>
      <c r="K76" s="85"/>
      <c r="L76" s="71"/>
      <c r="M76" s="72"/>
      <c r="N76" s="266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265"/>
      <c r="K77" s="87"/>
      <c r="L77" s="71"/>
      <c r="M77" s="147"/>
      <c r="N77" s="266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265"/>
      <c r="K78" s="87"/>
      <c r="L78" s="71"/>
      <c r="M78" s="72"/>
      <c r="N78" s="266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265"/>
      <c r="K79" s="70"/>
      <c r="L79" s="71"/>
      <c r="M79" s="147"/>
      <c r="N79" s="266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259"/>
      <c r="K80" s="92"/>
      <c r="L80" s="173"/>
      <c r="M80" s="72"/>
      <c r="N80" s="266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265"/>
      <c r="K81" s="87"/>
      <c r="L81" s="71"/>
      <c r="M81" s="72"/>
      <c r="N81" s="266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265"/>
      <c r="K82" s="87"/>
      <c r="L82" s="71"/>
      <c r="M82" s="147"/>
      <c r="N82" s="266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265"/>
      <c r="K83" s="87"/>
      <c r="L83" s="71"/>
      <c r="M83" s="72"/>
      <c r="N83" s="266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265"/>
      <c r="K84" s="70"/>
      <c r="L84" s="88"/>
      <c r="M84" s="72"/>
      <c r="N84" s="266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265"/>
      <c r="K85" s="70"/>
      <c r="L85" s="71"/>
      <c r="M85" s="147"/>
      <c r="N85" s="266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265"/>
      <c r="K86" s="85"/>
      <c r="L86" s="71"/>
      <c r="M86" s="147"/>
      <c r="N86" s="266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265"/>
      <c r="K87" s="85"/>
      <c r="L87" s="71"/>
      <c r="M87" s="72"/>
      <c r="N87" s="266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265"/>
      <c r="K88" s="85"/>
      <c r="L88" s="71"/>
      <c r="M88" s="147"/>
      <c r="N88" s="266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265"/>
      <c r="K89" s="70"/>
      <c r="L89" s="88"/>
      <c r="M89" s="147"/>
      <c r="N89" s="266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259"/>
      <c r="K90" s="85"/>
      <c r="L90" s="86"/>
      <c r="M90" s="72"/>
      <c r="N90" s="266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265"/>
      <c r="K91" s="87"/>
      <c r="L91" s="71"/>
      <c r="M91" s="72"/>
      <c r="N91" s="266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259"/>
      <c r="K92" s="85"/>
      <c r="L92" s="86"/>
      <c r="M92" s="72"/>
      <c r="N92" s="266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265"/>
      <c r="K93" s="70"/>
      <c r="L93" s="88"/>
      <c r="M93" s="147"/>
      <c r="N93" s="266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265"/>
      <c r="K94" s="70"/>
      <c r="L94" s="71"/>
      <c r="M94" s="147"/>
      <c r="N94" s="266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265"/>
      <c r="K95" s="87"/>
      <c r="L95" s="71"/>
      <c r="M95" s="147"/>
      <c r="N95" s="266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265"/>
      <c r="K96" s="87"/>
      <c r="L96" s="71"/>
      <c r="M96" s="72"/>
      <c r="N96" s="266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259"/>
      <c r="K97" s="85"/>
      <c r="L97" s="86"/>
      <c r="M97" s="72"/>
      <c r="N97" s="266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259"/>
      <c r="K98" s="85"/>
      <c r="L98" s="86"/>
      <c r="M98" s="147"/>
      <c r="N98" s="266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259"/>
      <c r="K99" s="92"/>
      <c r="L99" s="173"/>
      <c r="M99" s="72"/>
      <c r="N99" s="266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259"/>
      <c r="K100" s="85"/>
      <c r="L100" s="86"/>
      <c r="M100" s="72"/>
      <c r="N100" s="266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259"/>
      <c r="K101" s="87"/>
      <c r="L101" s="71"/>
      <c r="M101" s="147"/>
      <c r="N101" s="266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265"/>
      <c r="K102" s="87"/>
      <c r="L102" s="71"/>
      <c r="M102" s="72"/>
      <c r="N102" s="266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265"/>
      <c r="K103" s="87"/>
      <c r="L103" s="71"/>
      <c r="M103" s="147"/>
      <c r="N103" s="266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259"/>
      <c r="K104" s="93"/>
      <c r="L104" s="155"/>
      <c r="M104" s="72"/>
      <c r="N104" s="266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265"/>
      <c r="K105" s="87"/>
      <c r="L105" s="71"/>
      <c r="M105" s="72"/>
      <c r="N105" s="266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259"/>
      <c r="K106" s="93"/>
      <c r="L106" s="155"/>
      <c r="M106" s="72"/>
      <c r="N106" s="266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259"/>
      <c r="K107" s="93"/>
      <c r="L107" s="155"/>
      <c r="M107" s="147"/>
      <c r="N107" s="266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259"/>
      <c r="K108" s="85"/>
      <c r="L108" s="86"/>
      <c r="M108" s="72"/>
      <c r="N108" s="266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265"/>
      <c r="K109" s="70"/>
      <c r="L109" s="71"/>
      <c r="M109" s="72"/>
      <c r="N109" s="266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265"/>
      <c r="K110" s="70"/>
      <c r="L110" s="71"/>
      <c r="M110" s="72"/>
      <c r="N110" s="266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259"/>
      <c r="K111" s="92"/>
      <c r="L111" s="173"/>
      <c r="M111" s="147"/>
      <c r="N111" s="260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259"/>
      <c r="K112" s="85"/>
      <c r="L112" s="86"/>
      <c r="M112" s="147"/>
      <c r="N112" s="260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154"/>
      <c r="J113" s="259"/>
      <c r="K113" s="93"/>
      <c r="L113" s="155"/>
      <c r="M113" s="147"/>
      <c r="N113" s="260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259"/>
      <c r="K114" s="93"/>
      <c r="L114" s="155"/>
      <c r="M114" s="147"/>
      <c r="N114" s="260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259"/>
      <c r="K115" s="85"/>
      <c r="L115" s="86"/>
      <c r="M115" s="147"/>
      <c r="N115" s="260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259"/>
      <c r="K116" s="92"/>
      <c r="L116" s="155"/>
      <c r="M116" s="147"/>
      <c r="N116" s="260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259"/>
      <c r="K117" s="85"/>
      <c r="L117" s="155"/>
      <c r="M117" s="147"/>
      <c r="N117" s="260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259"/>
      <c r="K118" s="93"/>
      <c r="L118" s="155"/>
      <c r="M118" s="147"/>
      <c r="N118" s="260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259"/>
      <c r="K119" s="93"/>
      <c r="L119" s="155"/>
      <c r="M119" s="147"/>
      <c r="N119" s="260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265"/>
      <c r="K120" s="87"/>
      <c r="L120" s="71"/>
      <c r="M120" s="147"/>
      <c r="N120" s="266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259"/>
      <c r="K121" s="70"/>
      <c r="L121" s="88"/>
      <c r="M121" s="72"/>
      <c r="N121" s="266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265"/>
      <c r="K122" s="70"/>
      <c r="L122" s="88"/>
      <c r="M122" s="147"/>
      <c r="N122" s="266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265"/>
      <c r="K123" s="70"/>
      <c r="L123" s="71"/>
      <c r="M123" s="72"/>
      <c r="N123" s="266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265"/>
      <c r="K124" s="70"/>
      <c r="L124" s="88"/>
      <c r="M124" s="72"/>
      <c r="N124" s="266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259"/>
      <c r="K125" s="85"/>
      <c r="L125" s="86"/>
      <c r="M125" s="72"/>
      <c r="N125" s="266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259"/>
      <c r="K126" s="85"/>
      <c r="L126" s="86"/>
      <c r="M126" s="72"/>
      <c r="N126" s="266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265"/>
      <c r="K127" s="87"/>
      <c r="L127" s="88"/>
      <c r="M127" s="72"/>
      <c r="N127" s="266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265"/>
      <c r="K128" s="70"/>
      <c r="L128" s="71"/>
      <c r="M128" s="147"/>
      <c r="N128" s="266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265"/>
      <c r="K129" s="70"/>
      <c r="L129" s="71"/>
      <c r="M129" s="147"/>
      <c r="N129" s="266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259"/>
      <c r="K130" s="85"/>
      <c r="L130" s="86"/>
      <c r="M130" s="72"/>
      <c r="N130" s="266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265"/>
      <c r="K131" s="87"/>
      <c r="L131" s="71"/>
      <c r="M131" s="72"/>
      <c r="N131" s="266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259"/>
      <c r="K132" s="85"/>
      <c r="L132" s="86"/>
      <c r="M132" s="72"/>
      <c r="N132" s="266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265"/>
      <c r="K133" s="70"/>
      <c r="L133" s="88"/>
      <c r="M133" s="72"/>
      <c r="N133" s="266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265"/>
      <c r="K134" s="70"/>
      <c r="L134" s="88"/>
      <c r="M134" s="72"/>
      <c r="N134" s="266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265"/>
      <c r="K135" s="85"/>
      <c r="L135" s="71"/>
      <c r="M135" s="72"/>
      <c r="N135" s="266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265"/>
      <c r="K136" s="70"/>
      <c r="L136" s="71"/>
      <c r="M136" s="72"/>
      <c r="N136" s="266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259"/>
      <c r="K137" s="85"/>
      <c r="L137" s="86"/>
      <c r="M137" s="72"/>
      <c r="N137" s="266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265"/>
      <c r="K138" s="70"/>
      <c r="L138" s="71"/>
      <c r="M138" s="72"/>
      <c r="N138" s="266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265"/>
      <c r="K139" s="70"/>
      <c r="L139" s="71"/>
      <c r="M139" s="147"/>
      <c r="N139" s="266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265"/>
      <c r="K140" s="70"/>
      <c r="L140" s="88"/>
      <c r="M140" s="72"/>
      <c r="N140" s="266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259"/>
      <c r="K141" s="85"/>
      <c r="L141" s="86"/>
      <c r="M141" s="147"/>
      <c r="N141" s="266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265"/>
      <c r="K142" s="85"/>
      <c r="L142" s="71"/>
      <c r="M142" s="72"/>
      <c r="N142" s="266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265"/>
      <c r="K143" s="85"/>
      <c r="L143" s="71"/>
      <c r="M143" s="147"/>
      <c r="N143" s="266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265"/>
      <c r="K144" s="85"/>
      <c r="L144" s="71"/>
      <c r="M144" s="72"/>
      <c r="N144" s="266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265"/>
      <c r="K145" s="87"/>
      <c r="L145" s="71"/>
      <c r="M145" s="72"/>
      <c r="N145" s="266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265"/>
      <c r="K146" s="87"/>
      <c r="L146" s="71"/>
      <c r="M146" s="147"/>
      <c r="N146" s="266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259"/>
      <c r="K147" s="85"/>
      <c r="L147" s="86"/>
      <c r="M147" s="72"/>
      <c r="N147" s="266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259"/>
      <c r="K148" s="85"/>
      <c r="L148" s="86"/>
      <c r="M148" s="72"/>
      <c r="N148" s="266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259"/>
      <c r="K149" s="85"/>
      <c r="L149" s="86"/>
      <c r="M149" s="147"/>
      <c r="N149" s="266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259"/>
      <c r="K150" s="85"/>
      <c r="L150" s="86"/>
      <c r="M150" s="72"/>
      <c r="N150" s="266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265"/>
      <c r="K151" s="70"/>
      <c r="L151" s="88"/>
      <c r="M151" s="147"/>
      <c r="N151" s="266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265"/>
      <c r="K152" s="87"/>
      <c r="L152" s="71"/>
      <c r="M152" s="72"/>
      <c r="N152" s="266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265"/>
      <c r="K153" s="85"/>
      <c r="L153" s="71"/>
      <c r="M153" s="72"/>
      <c r="N153" s="266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259"/>
      <c r="K154" s="85"/>
      <c r="L154" s="86"/>
      <c r="M154" s="147"/>
      <c r="N154" s="260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265"/>
      <c r="K155" s="85"/>
      <c r="L155" s="71"/>
      <c r="M155" s="72"/>
      <c r="N155" s="266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259"/>
      <c r="K156" s="85"/>
      <c r="L156" s="86"/>
      <c r="M156" s="147"/>
      <c r="N156" s="266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265"/>
      <c r="K157" s="87"/>
      <c r="L157" s="71"/>
      <c r="M157" s="72"/>
      <c r="N157" s="266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265"/>
      <c r="K158" s="87"/>
      <c r="L158" s="71"/>
      <c r="M158" s="72"/>
      <c r="N158" s="266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265"/>
      <c r="K159" s="85"/>
      <c r="L159" s="71"/>
      <c r="M159" s="147"/>
      <c r="N159" s="266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259"/>
      <c r="K160" s="93"/>
      <c r="L160" s="155"/>
      <c r="M160" s="72"/>
      <c r="N160" s="266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259"/>
      <c r="K161" s="93"/>
      <c r="L161" s="155"/>
      <c r="M161" s="72"/>
      <c r="N161" s="266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265"/>
      <c r="K162" s="87"/>
      <c r="L162" s="71"/>
      <c r="M162" s="147"/>
      <c r="N162" s="266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265"/>
      <c r="K163" s="87"/>
      <c r="L163" s="71"/>
      <c r="M163" s="72"/>
      <c r="N163" s="266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265"/>
      <c r="K164" s="87"/>
      <c r="L164" s="71"/>
      <c r="M164" s="72"/>
      <c r="N164" s="266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265"/>
      <c r="K165" s="87"/>
      <c r="L165" s="71"/>
      <c r="M165" s="147"/>
      <c r="N165" s="266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265"/>
      <c r="K166" s="87"/>
      <c r="L166" s="71"/>
      <c r="M166" s="147"/>
      <c r="N166" s="266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259"/>
      <c r="K167" s="85"/>
      <c r="L167" s="86"/>
      <c r="M167" s="72"/>
      <c r="N167" s="266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259"/>
      <c r="K168" s="85"/>
      <c r="L168" s="86"/>
      <c r="M168" s="72"/>
      <c r="N168" s="266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259"/>
      <c r="K169" s="85"/>
      <c r="L169" s="86"/>
      <c r="M169" s="72"/>
      <c r="N169" s="266"/>
      <c r="O169" s="74"/>
      <c r="P169" s="94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259"/>
      <c r="K170" s="85"/>
      <c r="L170" s="86"/>
      <c r="M170" s="72"/>
      <c r="N170" s="266"/>
      <c r="O170" s="74"/>
      <c r="P170" s="94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259"/>
      <c r="K171" s="85"/>
      <c r="L171" s="86"/>
      <c r="M171" s="72"/>
      <c r="N171" s="266"/>
      <c r="O171" s="74"/>
      <c r="P171" s="94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265"/>
      <c r="K172" s="87"/>
      <c r="L172" s="71"/>
      <c r="M172" s="72"/>
      <c r="N172" s="266"/>
      <c r="O172" s="74"/>
      <c r="P172" s="94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68"/>
      <c r="J173" s="265"/>
      <c r="K173" s="87"/>
      <c r="L173" s="71"/>
      <c r="M173" s="72"/>
      <c r="N173" s="266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68"/>
      <c r="J174" s="265"/>
      <c r="K174" s="87"/>
      <c r="L174" s="71"/>
      <c r="M174" s="72"/>
      <c r="N174" s="266"/>
      <c r="O174" s="74"/>
      <c r="P174" s="94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84"/>
      <c r="J175" s="259"/>
      <c r="K175" s="85"/>
      <c r="L175" s="86"/>
      <c r="M175" s="72"/>
      <c r="N175" s="266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259"/>
      <c r="K176" s="85"/>
      <c r="L176" s="86"/>
      <c r="M176" s="72"/>
      <c r="N176" s="266"/>
      <c r="O176" s="74"/>
      <c r="P176" s="94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259"/>
      <c r="K177" s="85"/>
      <c r="L177" s="86"/>
      <c r="M177" s="72"/>
      <c r="N177" s="266"/>
      <c r="O177" s="74"/>
      <c r="P177" s="94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265"/>
      <c r="K178" s="87"/>
      <c r="L178" s="71"/>
      <c r="M178" s="72"/>
      <c r="N178" s="266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265"/>
      <c r="K179" s="87"/>
      <c r="L179" s="71"/>
      <c r="M179" s="72"/>
      <c r="N179" s="266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259"/>
      <c r="K180" s="85"/>
      <c r="L180" s="86"/>
      <c r="M180" s="72"/>
      <c r="N180" s="266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259"/>
      <c r="K181" s="85"/>
      <c r="L181" s="86"/>
      <c r="M181" s="72"/>
      <c r="N181" s="266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259"/>
      <c r="K182" s="85"/>
      <c r="L182" s="86"/>
      <c r="M182" s="72"/>
      <c r="N182" s="266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265"/>
      <c r="K183" s="87"/>
      <c r="L183" s="71"/>
      <c r="M183" s="127"/>
      <c r="N183" s="260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265"/>
      <c r="K184" s="87"/>
      <c r="L184" s="71"/>
      <c r="M184" s="127"/>
      <c r="N184" s="260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265"/>
      <c r="K185" s="87"/>
      <c r="L185" s="71"/>
      <c r="M185" s="72"/>
      <c r="N185" s="266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259"/>
      <c r="K186" s="85"/>
      <c r="L186" s="86"/>
      <c r="M186" s="72"/>
      <c r="N186" s="266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259"/>
      <c r="K187" s="85"/>
      <c r="L187" s="86"/>
      <c r="M187" s="72"/>
      <c r="N187" s="266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259"/>
      <c r="K188" s="85"/>
      <c r="L188" s="86"/>
      <c r="M188" s="72"/>
      <c r="N188" s="266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259"/>
      <c r="K189" s="85"/>
      <c r="L189" s="86"/>
      <c r="M189" s="72"/>
      <c r="N189" s="266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259"/>
      <c r="K190" s="85"/>
      <c r="L190" s="86"/>
      <c r="M190" s="72"/>
      <c r="N190" s="266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265"/>
      <c r="K191" s="87"/>
      <c r="L191" s="71"/>
      <c r="M191" s="127"/>
      <c r="N191" s="260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259"/>
      <c r="K192" s="85"/>
      <c r="L192" s="86"/>
      <c r="M192" s="127"/>
      <c r="N192" s="260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259"/>
      <c r="K193" s="85"/>
      <c r="L193" s="86"/>
      <c r="M193" s="127"/>
      <c r="N193" s="260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259"/>
      <c r="K194" s="85"/>
      <c r="L194" s="86"/>
      <c r="M194" s="127"/>
      <c r="N194" s="260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259"/>
      <c r="K195" s="85"/>
      <c r="L195" s="86"/>
      <c r="M195" s="127"/>
      <c r="N195" s="260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259"/>
      <c r="K196" s="85"/>
      <c r="L196" s="86"/>
      <c r="M196" s="127"/>
      <c r="N196" s="260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259"/>
      <c r="K197" s="85"/>
      <c r="L197" s="86"/>
      <c r="M197" s="127"/>
      <c r="N197" s="260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259"/>
      <c r="K198" s="85"/>
      <c r="L198" s="86"/>
      <c r="M198" s="127"/>
      <c r="N198" s="260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259"/>
      <c r="K199" s="85"/>
      <c r="L199" s="86"/>
      <c r="M199" s="127"/>
      <c r="N199" s="260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259"/>
      <c r="K200" s="85"/>
      <c r="L200" s="86"/>
      <c r="M200" s="127"/>
      <c r="N200" s="260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259"/>
      <c r="K201" s="85"/>
      <c r="L201" s="86"/>
      <c r="M201" s="127"/>
      <c r="N201" s="260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259"/>
      <c r="K202" s="85"/>
      <c r="L202" s="86"/>
      <c r="M202" s="127"/>
      <c r="N202" s="260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259"/>
      <c r="K203" s="85"/>
      <c r="L203" s="86"/>
      <c r="M203" s="127"/>
      <c r="N203" s="260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259"/>
      <c r="K204" s="85"/>
      <c r="L204" s="86"/>
      <c r="M204" s="127"/>
      <c r="N204" s="260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259"/>
      <c r="K205" s="85"/>
      <c r="L205" s="86"/>
      <c r="M205" s="127"/>
      <c r="N205" s="260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259"/>
      <c r="K206" s="85"/>
      <c r="L206" s="86"/>
      <c r="M206" s="127"/>
      <c r="N206" s="260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259"/>
      <c r="K207" s="85"/>
      <c r="L207" s="86"/>
      <c r="M207" s="127"/>
      <c r="N207" s="260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259"/>
      <c r="K208" s="85"/>
      <c r="L208" s="86"/>
      <c r="M208" s="127"/>
      <c r="N208" s="260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259"/>
      <c r="K209" s="85"/>
      <c r="L209" s="86"/>
      <c r="M209" s="127"/>
      <c r="N209" s="260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259"/>
      <c r="K210" s="85"/>
      <c r="L210" s="86"/>
      <c r="M210" s="127"/>
      <c r="N210" s="260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259"/>
      <c r="K211" s="85"/>
      <c r="L211" s="86"/>
      <c r="M211" s="127"/>
      <c r="N211" s="260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259"/>
      <c r="K212" s="85"/>
      <c r="L212" s="86"/>
      <c r="M212" s="127"/>
      <c r="N212" s="260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259"/>
      <c r="K213" s="85"/>
      <c r="L213" s="86"/>
      <c r="M213" s="127"/>
      <c r="N213" s="260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259"/>
      <c r="K214" s="85"/>
      <c r="L214" s="86"/>
      <c r="M214" s="127"/>
      <c r="N214" s="260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259"/>
      <c r="K215" s="85"/>
      <c r="L215" s="86"/>
      <c r="M215" s="127"/>
      <c r="N215" s="260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259"/>
      <c r="K216" s="85"/>
      <c r="L216" s="86"/>
      <c r="M216" s="127"/>
      <c r="N216" s="260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259"/>
      <c r="K217" s="85"/>
      <c r="L217" s="86"/>
      <c r="M217" s="127"/>
      <c r="N217" s="260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259"/>
      <c r="K218" s="85"/>
      <c r="L218" s="86"/>
      <c r="M218" s="127"/>
      <c r="N218" s="260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259"/>
      <c r="K219" s="85"/>
      <c r="L219" s="86"/>
      <c r="M219" s="127"/>
      <c r="N219" s="260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259"/>
      <c r="K220" s="85"/>
      <c r="L220" s="86"/>
      <c r="M220" s="127"/>
      <c r="N220" s="260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259"/>
      <c r="K221" s="85"/>
      <c r="L221" s="86"/>
      <c r="M221" s="127"/>
      <c r="N221" s="260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259"/>
      <c r="K222" s="85"/>
      <c r="L222" s="86"/>
      <c r="M222" s="127"/>
      <c r="N222" s="260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259"/>
      <c r="K223" s="85"/>
      <c r="L223" s="86"/>
      <c r="M223" s="127"/>
      <c r="N223" s="260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259"/>
      <c r="K224" s="85"/>
      <c r="L224" s="86"/>
      <c r="M224" s="127"/>
      <c r="N224" s="260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259"/>
      <c r="K225" s="85"/>
      <c r="L225" s="86"/>
      <c r="M225" s="127"/>
      <c r="N225" s="260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259"/>
      <c r="K226" s="85"/>
      <c r="L226" s="86"/>
      <c r="M226" s="127"/>
      <c r="N226" s="260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259"/>
      <c r="K227" s="85"/>
      <c r="L227" s="86"/>
      <c r="M227" s="127"/>
      <c r="N227" s="260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259"/>
      <c r="K228" s="85"/>
      <c r="L228" s="86"/>
      <c r="M228" s="127"/>
      <c r="N228" s="260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259"/>
      <c r="K229" s="85"/>
      <c r="L229" s="86"/>
      <c r="M229" s="127"/>
      <c r="N229" s="260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259"/>
      <c r="K230" s="85"/>
      <c r="L230" s="86"/>
      <c r="M230" s="127"/>
      <c r="N230" s="260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259"/>
      <c r="K231" s="85"/>
      <c r="L231" s="86"/>
      <c r="M231" s="127"/>
      <c r="N231" s="260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259"/>
      <c r="K232" s="85"/>
      <c r="L232" s="86"/>
      <c r="M232" s="127"/>
      <c r="N232" s="260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259"/>
      <c r="K233" s="85"/>
      <c r="L233" s="86"/>
      <c r="M233" s="127"/>
      <c r="N233" s="260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259"/>
      <c r="K234" s="85"/>
      <c r="L234" s="86"/>
      <c r="M234" s="127"/>
      <c r="N234" s="260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259"/>
      <c r="K235" s="85"/>
      <c r="L235" s="86"/>
      <c r="M235" s="127"/>
      <c r="N235" s="260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259"/>
      <c r="K236" s="85"/>
      <c r="L236" s="86"/>
      <c r="M236" s="127"/>
      <c r="N236" s="260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259"/>
      <c r="K237" s="85"/>
      <c r="L237" s="86"/>
      <c r="M237" s="127"/>
      <c r="N237" s="260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259"/>
      <c r="K238" s="85"/>
      <c r="L238" s="86"/>
      <c r="M238" s="127"/>
      <c r="N238" s="260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259"/>
      <c r="K239" s="85"/>
      <c r="L239" s="86"/>
      <c r="M239" s="127"/>
      <c r="N239" s="260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259"/>
      <c r="K240" s="85"/>
      <c r="L240" s="86"/>
      <c r="M240" s="127"/>
      <c r="N240" s="260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259"/>
      <c r="K241" s="85"/>
      <c r="L241" s="86"/>
      <c r="M241" s="127"/>
      <c r="N241" s="260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259"/>
      <c r="K242" s="85"/>
      <c r="L242" s="86"/>
      <c r="M242" s="127"/>
      <c r="N242" s="260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259"/>
      <c r="K243" s="85"/>
      <c r="L243" s="86"/>
      <c r="M243" s="127"/>
      <c r="N243" s="260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259"/>
      <c r="K244" s="85"/>
      <c r="L244" s="86"/>
      <c r="M244" s="127"/>
      <c r="N244" s="260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259"/>
      <c r="K245" s="85"/>
      <c r="L245" s="86"/>
      <c r="M245" s="127"/>
      <c r="N245" s="260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259"/>
      <c r="K246" s="85"/>
      <c r="L246" s="86"/>
      <c r="M246" s="127"/>
      <c r="N246" s="260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259"/>
      <c r="K247" s="85"/>
      <c r="L247" s="86"/>
      <c r="M247" s="127"/>
      <c r="N247" s="260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259"/>
      <c r="K248" s="85"/>
      <c r="L248" s="86"/>
      <c r="M248" s="127"/>
      <c r="N248" s="260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259"/>
      <c r="K249" s="85"/>
      <c r="L249" s="86"/>
      <c r="M249" s="127"/>
      <c r="N249" s="260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259"/>
      <c r="K250" s="85"/>
      <c r="L250" s="86"/>
      <c r="M250" s="127"/>
      <c r="N250" s="260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259"/>
      <c r="K251" s="85"/>
      <c r="L251" s="86"/>
      <c r="M251" s="127"/>
      <c r="N251" s="260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259"/>
      <c r="K252" s="85"/>
      <c r="L252" s="86"/>
      <c r="M252" s="127"/>
      <c r="N252" s="260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259"/>
      <c r="K253" s="85"/>
      <c r="L253" s="86"/>
      <c r="M253" s="127"/>
      <c r="N253" s="260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259"/>
      <c r="K254" s="85"/>
      <c r="L254" s="86"/>
      <c r="M254" s="127"/>
      <c r="N254" s="260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259"/>
      <c r="K255" s="85"/>
      <c r="L255" s="86"/>
      <c r="M255" s="127"/>
      <c r="N255" s="260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259"/>
      <c r="K256" s="85"/>
      <c r="L256" s="86"/>
      <c r="M256" s="127"/>
      <c r="N256" s="260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259"/>
      <c r="K257" s="85"/>
      <c r="L257" s="86"/>
      <c r="M257" s="127"/>
      <c r="N257" s="260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259"/>
      <c r="K258" s="85"/>
      <c r="L258" s="86"/>
      <c r="M258" s="127"/>
      <c r="N258" s="260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259"/>
      <c r="K259" s="85"/>
      <c r="L259" s="86"/>
      <c r="M259" s="127"/>
      <c r="N259" s="260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259"/>
      <c r="K260" s="85"/>
      <c r="L260" s="86"/>
      <c r="M260" s="127"/>
      <c r="N260" s="260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259"/>
      <c r="K261" s="85"/>
      <c r="L261" s="86"/>
      <c r="M261" s="127"/>
      <c r="N261" s="260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259"/>
      <c r="K262" s="85"/>
      <c r="L262" s="86"/>
      <c r="M262" s="127"/>
      <c r="N262" s="260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259"/>
      <c r="K263" s="85"/>
      <c r="L263" s="86"/>
      <c r="M263" s="127"/>
      <c r="N263" s="260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259"/>
      <c r="K264" s="85"/>
      <c r="L264" s="86"/>
      <c r="M264" s="127"/>
      <c r="N264" s="260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259"/>
      <c r="K265" s="85"/>
      <c r="L265" s="86"/>
      <c r="M265" s="127"/>
      <c r="N265" s="260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259"/>
      <c r="K266" s="85"/>
      <c r="L266" s="86"/>
      <c r="M266" s="127"/>
      <c r="N266" s="260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259"/>
      <c r="K267" s="85"/>
      <c r="L267" s="86"/>
      <c r="M267" s="127"/>
      <c r="N267" s="260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259"/>
      <c r="K268" s="85"/>
      <c r="L268" s="86"/>
      <c r="M268" s="127"/>
      <c r="N268" s="260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259"/>
      <c r="K269" s="85"/>
      <c r="L269" s="86"/>
      <c r="M269" s="127"/>
      <c r="N269" s="260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259"/>
      <c r="K270" s="85"/>
      <c r="L270" s="86"/>
      <c r="M270" s="127"/>
      <c r="N270" s="260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259"/>
      <c r="K271" s="85"/>
      <c r="L271" s="86"/>
      <c r="M271" s="127"/>
      <c r="N271" s="260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259"/>
      <c r="K272" s="85"/>
      <c r="L272" s="86"/>
      <c r="M272" s="127"/>
      <c r="N272" s="260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259"/>
      <c r="K273" s="85"/>
      <c r="L273" s="86"/>
      <c r="M273" s="127"/>
      <c r="N273" s="260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259"/>
      <c r="K274" s="85"/>
      <c r="L274" s="86"/>
      <c r="M274" s="127"/>
      <c r="N274" s="260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259"/>
      <c r="K275" s="85"/>
      <c r="L275" s="86"/>
      <c r="M275" s="127"/>
      <c r="N275" s="260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259"/>
      <c r="K276" s="85"/>
      <c r="L276" s="86"/>
      <c r="M276" s="127"/>
      <c r="N276" s="260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259"/>
      <c r="K277" s="85"/>
      <c r="L277" s="86"/>
      <c r="M277" s="127"/>
      <c r="N277" s="260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259"/>
      <c r="K278" s="85"/>
      <c r="L278" s="86"/>
      <c r="M278" s="127"/>
      <c r="N278" s="260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259"/>
      <c r="K279" s="85"/>
      <c r="L279" s="86"/>
      <c r="M279" s="127"/>
      <c r="N279" s="260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259"/>
      <c r="K280" s="85"/>
      <c r="L280" s="86"/>
      <c r="M280" s="127"/>
      <c r="N280" s="260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259"/>
      <c r="K281" s="85"/>
      <c r="L281" s="86"/>
      <c r="M281" s="127"/>
      <c r="N281" s="260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259"/>
      <c r="K282" s="85"/>
      <c r="L282" s="86"/>
      <c r="M282" s="127"/>
      <c r="N282" s="260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259"/>
      <c r="K283" s="85"/>
      <c r="L283" s="86"/>
      <c r="M283" s="127"/>
      <c r="N283" s="260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259"/>
      <c r="K284" s="85"/>
      <c r="L284" s="86"/>
      <c r="M284" s="127"/>
      <c r="N284" s="260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259"/>
      <c r="K285" s="85"/>
      <c r="L285" s="86"/>
      <c r="M285" s="127"/>
      <c r="N285" s="260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259"/>
      <c r="K286" s="85"/>
      <c r="L286" s="86"/>
      <c r="M286" s="127"/>
      <c r="N286" s="260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259"/>
      <c r="K287" s="85"/>
      <c r="L287" s="86"/>
      <c r="M287" s="127"/>
      <c r="N287" s="260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259"/>
      <c r="K288" s="85"/>
      <c r="L288" s="86"/>
      <c r="M288" s="127"/>
      <c r="N288" s="260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259"/>
      <c r="K289" s="85"/>
      <c r="L289" s="86"/>
      <c r="M289" s="127"/>
      <c r="N289" s="260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259"/>
      <c r="K290" s="85"/>
      <c r="L290" s="86"/>
      <c r="M290" s="127"/>
      <c r="N290" s="260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259"/>
      <c r="K291" s="85"/>
      <c r="L291" s="86"/>
      <c r="M291" s="127"/>
      <c r="N291" s="260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259"/>
      <c r="K292" s="85"/>
      <c r="L292" s="86"/>
      <c r="M292" s="127"/>
      <c r="N292" s="260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259"/>
      <c r="K293" s="85"/>
      <c r="L293" s="86"/>
      <c r="M293" s="127"/>
      <c r="N293" s="260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259"/>
      <c r="K294" s="85"/>
      <c r="L294" s="86"/>
      <c r="M294" s="127"/>
      <c r="N294" s="260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259"/>
      <c r="K295" s="85"/>
      <c r="L295" s="86"/>
      <c r="M295" s="127"/>
      <c r="N295" s="260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259"/>
      <c r="K296" s="85"/>
      <c r="L296" s="86"/>
      <c r="M296" s="127"/>
      <c r="N296" s="260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259"/>
      <c r="K297" s="85"/>
      <c r="L297" s="86"/>
      <c r="M297" s="127"/>
      <c r="N297" s="260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259"/>
      <c r="K298" s="85"/>
      <c r="L298" s="86"/>
      <c r="M298" s="127"/>
      <c r="N298" s="260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259"/>
      <c r="K299" s="85"/>
      <c r="L299" s="86"/>
      <c r="M299" s="127"/>
      <c r="N299" s="260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259"/>
      <c r="K300" s="85"/>
      <c r="L300" s="86"/>
      <c r="M300" s="127"/>
      <c r="N300" s="260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259"/>
      <c r="K301" s="85"/>
      <c r="L301" s="86"/>
      <c r="M301" s="127"/>
      <c r="N301" s="260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259"/>
      <c r="K302" s="85"/>
      <c r="L302" s="86"/>
      <c r="M302" s="127"/>
      <c r="N302" s="260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259"/>
      <c r="K303" s="85"/>
      <c r="L303" s="86"/>
      <c r="M303" s="127"/>
      <c r="N303" s="260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259"/>
      <c r="K304" s="85"/>
      <c r="L304" s="86"/>
      <c r="M304" s="127"/>
      <c r="N304" s="260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259"/>
      <c r="K305" s="85"/>
      <c r="L305" s="86"/>
      <c r="M305" s="127"/>
      <c r="N305" s="260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259"/>
      <c r="K306" s="85"/>
      <c r="L306" s="86"/>
      <c r="M306" s="127"/>
      <c r="N306" s="260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259"/>
      <c r="K307" s="85"/>
      <c r="L307" s="86"/>
      <c r="M307" s="127"/>
      <c r="N307" s="260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259"/>
      <c r="K308" s="85"/>
      <c r="L308" s="86"/>
      <c r="M308" s="127"/>
      <c r="N308" s="260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259"/>
      <c r="K309" s="85"/>
      <c r="L309" s="86"/>
      <c r="M309" s="127"/>
      <c r="N309" s="260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259"/>
      <c r="K310" s="85"/>
      <c r="L310" s="86"/>
      <c r="M310" s="127"/>
      <c r="N310" s="260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259"/>
      <c r="K311" s="85"/>
      <c r="L311" s="86"/>
      <c r="M311" s="127"/>
      <c r="N311" s="260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259"/>
      <c r="K312" s="85"/>
      <c r="L312" s="86"/>
      <c r="M312" s="127"/>
      <c r="N312" s="260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259"/>
      <c r="K313" s="85"/>
      <c r="L313" s="86"/>
      <c r="M313" s="127"/>
      <c r="N313" s="260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259"/>
      <c r="K314" s="85"/>
      <c r="L314" s="86"/>
      <c r="M314" s="127"/>
      <c r="N314" s="260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259"/>
      <c r="K315" s="85"/>
      <c r="L315" s="86"/>
      <c r="M315" s="127"/>
      <c r="N315" s="260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259"/>
      <c r="K316" s="85"/>
      <c r="L316" s="86"/>
      <c r="M316" s="127"/>
      <c r="N316" s="260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259"/>
      <c r="K317" s="85"/>
      <c r="L317" s="86"/>
      <c r="M317" s="127"/>
      <c r="N317" s="260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259"/>
      <c r="K318" s="85"/>
      <c r="L318" s="86"/>
      <c r="M318" s="127"/>
      <c r="N318" s="260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259"/>
      <c r="K319" s="85"/>
      <c r="L319" s="86"/>
      <c r="M319" s="127"/>
      <c r="N319" s="260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259"/>
      <c r="K320" s="85"/>
      <c r="L320" s="86"/>
      <c r="M320" s="127"/>
      <c r="N320" s="260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259"/>
      <c r="K321" s="85"/>
      <c r="L321" s="86"/>
      <c r="M321" s="127"/>
      <c r="N321" s="260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259"/>
      <c r="K322" s="85"/>
      <c r="L322" s="86"/>
      <c r="M322" s="127"/>
      <c r="N322" s="260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259"/>
      <c r="K323" s="85"/>
      <c r="L323" s="86"/>
      <c r="M323" s="127"/>
      <c r="N323" s="260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259"/>
      <c r="K324" s="85"/>
      <c r="L324" s="86"/>
      <c r="M324" s="127"/>
      <c r="N324" s="260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259"/>
      <c r="K325" s="85"/>
      <c r="L325" s="86"/>
      <c r="M325" s="127"/>
      <c r="N325" s="260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259"/>
      <c r="K326" s="85"/>
      <c r="L326" s="86"/>
      <c r="M326" s="127"/>
      <c r="N326" s="260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259"/>
      <c r="K327" s="85"/>
      <c r="L327" s="86"/>
      <c r="M327" s="127"/>
      <c r="N327" s="260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259"/>
      <c r="K328" s="85"/>
      <c r="L328" s="86"/>
      <c r="M328" s="127"/>
      <c r="N328" s="260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259"/>
      <c r="K329" s="85"/>
      <c r="L329" s="86"/>
      <c r="M329" s="127"/>
      <c r="N329" s="260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259"/>
      <c r="K330" s="85"/>
      <c r="L330" s="86"/>
      <c r="M330" s="127"/>
      <c r="N330" s="260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259"/>
      <c r="K331" s="85"/>
      <c r="L331" s="86"/>
      <c r="M331" s="127"/>
      <c r="N331" s="260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259"/>
      <c r="K332" s="85"/>
      <c r="L332" s="86"/>
      <c r="M332" s="127"/>
      <c r="N332" s="260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259"/>
      <c r="K333" s="85"/>
      <c r="L333" s="86"/>
      <c r="M333" s="127"/>
      <c r="N333" s="260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259"/>
      <c r="K334" s="85"/>
      <c r="L334" s="86"/>
      <c r="M334" s="127"/>
      <c r="N334" s="260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259"/>
      <c r="K335" s="85"/>
      <c r="L335" s="86"/>
      <c r="M335" s="127"/>
      <c r="N335" s="260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259"/>
      <c r="K336" s="85"/>
      <c r="L336" s="86"/>
      <c r="M336" s="127"/>
      <c r="N336" s="260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259"/>
      <c r="K337" s="85"/>
      <c r="L337" s="86"/>
      <c r="M337" s="127"/>
      <c r="N337" s="260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259"/>
      <c r="K338" s="85"/>
      <c r="L338" s="86"/>
      <c r="M338" s="127"/>
      <c r="N338" s="260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259"/>
      <c r="K339" s="85"/>
      <c r="L339" s="86"/>
      <c r="M339" s="127"/>
      <c r="N339" s="260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259"/>
      <c r="K340" s="85"/>
      <c r="L340" s="86"/>
      <c r="M340" s="127"/>
      <c r="N340" s="260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259"/>
      <c r="K341" s="85"/>
      <c r="L341" s="86"/>
      <c r="M341" s="127"/>
      <c r="N341" s="260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259"/>
      <c r="K342" s="85"/>
      <c r="L342" s="86"/>
      <c r="M342" s="127"/>
      <c r="N342" s="260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259"/>
      <c r="K343" s="85"/>
      <c r="L343" s="86"/>
      <c r="M343" s="127"/>
      <c r="N343" s="260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259"/>
      <c r="K344" s="85"/>
      <c r="L344" s="86"/>
      <c r="M344" s="127"/>
      <c r="N344" s="260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259"/>
      <c r="K345" s="85"/>
      <c r="L345" s="86"/>
      <c r="M345" s="127"/>
      <c r="N345" s="260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259"/>
      <c r="K346" s="85"/>
      <c r="L346" s="86"/>
      <c r="M346" s="127"/>
      <c r="N346" s="260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259"/>
      <c r="K347" s="85"/>
      <c r="L347" s="86"/>
      <c r="M347" s="127"/>
      <c r="N347" s="260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259"/>
      <c r="K348" s="85"/>
      <c r="L348" s="86"/>
      <c r="M348" s="127"/>
      <c r="N348" s="260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259"/>
      <c r="K349" s="85"/>
      <c r="L349" s="86"/>
      <c r="M349" s="127"/>
      <c r="N349" s="260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259"/>
      <c r="K350" s="85"/>
      <c r="L350" s="86"/>
      <c r="M350" s="127"/>
      <c r="N350" s="260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259"/>
      <c r="K351" s="85"/>
      <c r="L351" s="86"/>
      <c r="M351" s="127"/>
      <c r="N351" s="260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259"/>
      <c r="K352" s="85"/>
      <c r="L352" s="86"/>
      <c r="M352" s="127"/>
      <c r="N352" s="260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259"/>
      <c r="K353" s="85"/>
      <c r="L353" s="86"/>
      <c r="M353" s="127"/>
      <c r="N353" s="260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259"/>
      <c r="K354" s="85"/>
      <c r="L354" s="86"/>
      <c r="M354" s="127"/>
      <c r="N354" s="260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259"/>
      <c r="K355" s="85"/>
      <c r="L355" s="86"/>
      <c r="M355" s="127"/>
      <c r="N355" s="260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259"/>
      <c r="K356" s="85"/>
      <c r="L356" s="86"/>
      <c r="M356" s="127"/>
      <c r="N356" s="260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259"/>
      <c r="K357" s="85"/>
      <c r="L357" s="86"/>
      <c r="M357" s="127"/>
      <c r="N357" s="260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259"/>
      <c r="K358" s="85"/>
      <c r="L358" s="86"/>
      <c r="M358" s="127"/>
      <c r="N358" s="260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259"/>
      <c r="K359" s="85"/>
      <c r="L359" s="86"/>
      <c r="M359" s="127"/>
      <c r="N359" s="260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259"/>
      <c r="K360" s="85"/>
      <c r="L360" s="86"/>
      <c r="M360" s="127"/>
      <c r="N360" s="260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259"/>
      <c r="K361" s="85"/>
      <c r="L361" s="86"/>
      <c r="M361" s="127"/>
      <c r="N361" s="260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259"/>
      <c r="K362" s="85"/>
      <c r="L362" s="86"/>
      <c r="M362" s="127"/>
      <c r="N362" s="260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259"/>
      <c r="K363" s="85"/>
      <c r="L363" s="86"/>
      <c r="M363" s="127"/>
      <c r="N363" s="260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259"/>
      <c r="K364" s="85"/>
      <c r="L364" s="86"/>
      <c r="M364" s="127"/>
      <c r="N364" s="260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259"/>
      <c r="K365" s="85"/>
      <c r="L365" s="86"/>
      <c r="M365" s="127"/>
      <c r="N365" s="260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259"/>
      <c r="K366" s="85"/>
      <c r="L366" s="86"/>
      <c r="M366" s="127"/>
      <c r="N366" s="260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259"/>
      <c r="K367" s="85"/>
      <c r="L367" s="86"/>
      <c r="M367" s="127"/>
      <c r="N367" s="260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259"/>
      <c r="K368" s="85"/>
      <c r="L368" s="86"/>
      <c r="M368" s="127"/>
      <c r="N368" s="260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259"/>
      <c r="K369" s="85"/>
      <c r="L369" s="86"/>
      <c r="M369" s="127"/>
      <c r="N369" s="260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259"/>
      <c r="K370" s="85"/>
      <c r="L370" s="86"/>
      <c r="M370" s="127"/>
      <c r="N370" s="260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259"/>
      <c r="K371" s="85"/>
      <c r="L371" s="86"/>
      <c r="M371" s="127"/>
      <c r="N371" s="260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259"/>
      <c r="K372" s="85"/>
      <c r="L372" s="86"/>
      <c r="M372" s="127"/>
      <c r="N372" s="260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259"/>
      <c r="K373" s="85"/>
      <c r="L373" s="86"/>
      <c r="M373" s="127"/>
      <c r="N373" s="260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259"/>
      <c r="K374" s="85"/>
      <c r="L374" s="86"/>
      <c r="M374" s="127"/>
      <c r="N374" s="260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259"/>
      <c r="K375" s="85"/>
      <c r="L375" s="86"/>
      <c r="M375" s="127"/>
      <c r="N375" s="260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259"/>
      <c r="K376" s="85"/>
      <c r="L376" s="86"/>
      <c r="M376" s="127"/>
      <c r="N376" s="260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259"/>
      <c r="K377" s="85"/>
      <c r="L377" s="86"/>
      <c r="M377" s="127"/>
      <c r="N377" s="260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259"/>
      <c r="K378" s="85"/>
      <c r="L378" s="86"/>
      <c r="M378" s="127"/>
      <c r="N378" s="260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259"/>
      <c r="K379" s="85"/>
      <c r="L379" s="86"/>
      <c r="M379" s="127"/>
      <c r="N379" s="260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259"/>
      <c r="K380" s="85"/>
      <c r="L380" s="86"/>
      <c r="M380" s="127"/>
      <c r="N380" s="260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259"/>
      <c r="K381" s="85"/>
      <c r="L381" s="86"/>
      <c r="M381" s="127"/>
      <c r="N381" s="260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259"/>
      <c r="K382" s="85"/>
      <c r="L382" s="86"/>
      <c r="M382" s="127"/>
      <c r="N382" s="260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259"/>
      <c r="K383" s="85"/>
      <c r="L383" s="86"/>
      <c r="M383" s="127"/>
      <c r="N383" s="260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259"/>
      <c r="K384" s="85"/>
      <c r="L384" s="86"/>
      <c r="M384" s="127"/>
      <c r="N384" s="260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259"/>
      <c r="K385" s="85"/>
      <c r="L385" s="86"/>
      <c r="M385" s="127"/>
      <c r="N385" s="260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259"/>
      <c r="K386" s="85"/>
      <c r="L386" s="86"/>
      <c r="M386" s="127"/>
      <c r="N386" s="260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259"/>
      <c r="K387" s="85"/>
      <c r="L387" s="86"/>
      <c r="M387" s="127"/>
      <c r="N387" s="260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259"/>
      <c r="K388" s="85"/>
      <c r="L388" s="86"/>
      <c r="M388" s="127"/>
      <c r="N388" s="260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259"/>
      <c r="K389" s="85"/>
      <c r="L389" s="86"/>
      <c r="M389" s="127"/>
      <c r="N389" s="260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259"/>
      <c r="K390" s="85"/>
      <c r="L390" s="86"/>
      <c r="M390" s="127"/>
      <c r="N390" s="260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259"/>
      <c r="K391" s="85"/>
      <c r="L391" s="86"/>
      <c r="M391" s="127"/>
      <c r="N391" s="260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259"/>
      <c r="K392" s="85"/>
      <c r="L392" s="86"/>
      <c r="M392" s="127"/>
      <c r="N392" s="260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259"/>
      <c r="K393" s="85"/>
      <c r="L393" s="86"/>
      <c r="M393" s="127"/>
      <c r="N393" s="260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259"/>
      <c r="K394" s="85"/>
      <c r="L394" s="86"/>
      <c r="M394" s="127"/>
      <c r="N394" s="260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259"/>
      <c r="K395" s="85"/>
      <c r="L395" s="86"/>
      <c r="M395" s="127"/>
      <c r="N395" s="260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259"/>
      <c r="K396" s="85"/>
      <c r="L396" s="86"/>
      <c r="M396" s="127"/>
      <c r="N396" s="260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259"/>
      <c r="K397" s="85"/>
      <c r="L397" s="86"/>
      <c r="M397" s="127"/>
      <c r="N397" s="260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259"/>
      <c r="K398" s="85"/>
      <c r="L398" s="86"/>
      <c r="M398" s="127"/>
      <c r="N398" s="260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259"/>
      <c r="K399" s="85"/>
      <c r="L399" s="86"/>
      <c r="M399" s="127"/>
      <c r="N399" s="260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259"/>
      <c r="K400" s="85"/>
      <c r="L400" s="86"/>
      <c r="M400" s="127"/>
      <c r="N400" s="260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259"/>
      <c r="K401" s="85"/>
      <c r="L401" s="86"/>
      <c r="M401" s="127"/>
      <c r="N401" s="260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259"/>
      <c r="K402" s="85"/>
      <c r="L402" s="86"/>
      <c r="M402" s="127"/>
      <c r="N402" s="260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259"/>
      <c r="K403" s="85"/>
      <c r="L403" s="86"/>
      <c r="M403" s="127"/>
      <c r="N403" s="260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259"/>
      <c r="K404" s="85"/>
      <c r="L404" s="86"/>
      <c r="M404" s="127"/>
      <c r="N404" s="260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259"/>
      <c r="K405" s="85"/>
      <c r="L405" s="86"/>
      <c r="M405" s="127"/>
      <c r="N405" s="260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259"/>
      <c r="K406" s="85"/>
      <c r="L406" s="86"/>
      <c r="M406" s="127"/>
      <c r="N406" s="260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259"/>
      <c r="K407" s="85"/>
      <c r="L407" s="86"/>
      <c r="M407" s="127"/>
      <c r="N407" s="260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259"/>
      <c r="K408" s="85"/>
      <c r="L408" s="86"/>
      <c r="M408" s="127"/>
      <c r="N408" s="260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259"/>
      <c r="K409" s="85"/>
      <c r="L409" s="86"/>
      <c r="M409" s="127"/>
      <c r="N409" s="260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259"/>
      <c r="K410" s="85"/>
      <c r="L410" s="86"/>
      <c r="M410" s="127"/>
      <c r="N410" s="260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259"/>
      <c r="K411" s="85"/>
      <c r="L411" s="86"/>
      <c r="M411" s="127"/>
      <c r="N411" s="260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259"/>
      <c r="K412" s="85"/>
      <c r="L412" s="86"/>
      <c r="M412" s="127"/>
      <c r="N412" s="260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259"/>
      <c r="K413" s="85"/>
      <c r="L413" s="86"/>
      <c r="M413" s="127"/>
      <c r="N413" s="260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259"/>
      <c r="K414" s="85"/>
      <c r="L414" s="86"/>
      <c r="M414" s="127"/>
      <c r="N414" s="260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259"/>
      <c r="K415" s="85"/>
      <c r="L415" s="86"/>
      <c r="M415" s="127"/>
      <c r="N415" s="260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259"/>
      <c r="K416" s="85"/>
      <c r="L416" s="86"/>
      <c r="M416" s="127"/>
      <c r="N416" s="260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259"/>
      <c r="K417" s="85"/>
      <c r="L417" s="86"/>
      <c r="M417" s="127"/>
      <c r="N417" s="260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259"/>
      <c r="K418" s="133"/>
      <c r="L418" s="134"/>
      <c r="M418" s="135"/>
      <c r="N418" s="260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259"/>
      <c r="K419" s="133"/>
      <c r="L419" s="85"/>
      <c r="M419" s="135"/>
      <c r="N419" s="260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259"/>
      <c r="K420" s="133"/>
      <c r="L420" s="85"/>
      <c r="M420" s="135"/>
      <c r="N420" s="260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259"/>
      <c r="K421" s="133"/>
      <c r="L421" s="85"/>
      <c r="M421" s="135"/>
      <c r="N421" s="260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259"/>
      <c r="K422" s="133"/>
      <c r="L422" s="85"/>
      <c r="M422" s="135"/>
      <c r="N422" s="260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259"/>
      <c r="K423" s="133"/>
      <c r="L423" s="85"/>
      <c r="M423" s="135"/>
      <c r="N423" s="260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259"/>
      <c r="K424" s="133"/>
      <c r="L424" s="85"/>
      <c r="M424" s="135"/>
      <c r="N424" s="260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259"/>
      <c r="K425" s="133"/>
      <c r="L425" s="85"/>
      <c r="M425" s="135"/>
      <c r="N425" s="260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259"/>
      <c r="K426" s="133"/>
      <c r="L426" s="85"/>
      <c r="M426" s="135"/>
      <c r="N426" s="260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259"/>
      <c r="K427" s="133"/>
      <c r="L427" s="85"/>
      <c r="M427" s="135"/>
      <c r="N427" s="260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259"/>
      <c r="K428" s="133"/>
      <c r="L428" s="85"/>
      <c r="M428" s="135"/>
      <c r="N428" s="260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259"/>
      <c r="K429" s="133"/>
      <c r="L429" s="85"/>
      <c r="M429" s="135"/>
      <c r="N429" s="260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259"/>
      <c r="K430" s="133"/>
      <c r="L430" s="85"/>
      <c r="M430" s="135"/>
      <c r="N430" s="260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259"/>
      <c r="K431" s="133"/>
      <c r="L431" s="85"/>
      <c r="M431" s="135"/>
      <c r="N431" s="260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259"/>
      <c r="K432" s="133"/>
      <c r="L432" s="85"/>
      <c r="M432" s="135"/>
      <c r="N432" s="260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259"/>
      <c r="K433" s="133"/>
      <c r="L433" s="85"/>
      <c r="M433" s="135"/>
      <c r="N433" s="260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259"/>
      <c r="K434" s="133"/>
      <c r="L434" s="85"/>
      <c r="M434" s="135"/>
      <c r="N434" s="260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259"/>
      <c r="K435" s="133"/>
      <c r="L435" s="85"/>
      <c r="M435" s="135"/>
      <c r="N435" s="260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259"/>
      <c r="K436" s="133"/>
      <c r="L436" s="85"/>
      <c r="M436" s="135"/>
      <c r="N436" s="260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259"/>
      <c r="K437" s="133"/>
      <c r="L437" s="85"/>
      <c r="M437" s="135"/>
      <c r="N437" s="260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259"/>
      <c r="K438" s="133"/>
      <c r="L438" s="85"/>
      <c r="M438" s="135"/>
      <c r="N438" s="260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259"/>
      <c r="K439" s="133"/>
      <c r="L439" s="85"/>
      <c r="M439" s="135"/>
      <c r="N439" s="260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259"/>
      <c r="K440" s="133"/>
      <c r="L440" s="85"/>
      <c r="M440" s="135"/>
      <c r="N440" s="260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259"/>
      <c r="K441" s="133"/>
      <c r="L441" s="85"/>
      <c r="M441" s="135"/>
      <c r="N441" s="260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259"/>
      <c r="K442" s="133"/>
      <c r="L442" s="85"/>
      <c r="M442" s="135"/>
      <c r="N442" s="260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259"/>
      <c r="K443" s="133"/>
      <c r="L443" s="85"/>
      <c r="M443" s="135"/>
      <c r="N443" s="260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259"/>
      <c r="K444" s="133"/>
      <c r="L444" s="85"/>
      <c r="M444" s="135"/>
      <c r="N444" s="260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259"/>
      <c r="K445" s="133"/>
      <c r="L445" s="85"/>
      <c r="M445" s="135"/>
      <c r="N445" s="260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259"/>
      <c r="K446" s="133"/>
      <c r="L446" s="85"/>
      <c r="M446" s="135"/>
      <c r="N446" s="260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259"/>
      <c r="K447" s="133"/>
      <c r="L447" s="85"/>
      <c r="M447" s="135"/>
      <c r="N447" s="260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259"/>
      <c r="K448" s="133"/>
      <c r="L448" s="85"/>
      <c r="M448" s="135"/>
      <c r="N448" s="260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259"/>
      <c r="K449" s="133"/>
      <c r="L449" s="85"/>
      <c r="M449" s="135"/>
      <c r="N449" s="260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259"/>
      <c r="K450" s="133"/>
      <c r="L450" s="85"/>
      <c r="M450" s="135"/>
      <c r="N450" s="260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259"/>
      <c r="K451" s="133"/>
      <c r="L451" s="85"/>
      <c r="M451" s="135"/>
      <c r="N451" s="260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259"/>
      <c r="K452" s="133"/>
      <c r="L452" s="85"/>
      <c r="M452" s="135"/>
      <c r="N452" s="260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259"/>
      <c r="K453" s="133"/>
      <c r="L453" s="85"/>
      <c r="M453" s="135"/>
      <c r="N453" s="260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259"/>
      <c r="K454" s="133"/>
      <c r="L454" s="85"/>
      <c r="M454" s="135"/>
      <c r="N454" s="260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259"/>
      <c r="K455" s="133"/>
      <c r="L455" s="85"/>
      <c r="M455" s="135"/>
      <c r="N455" s="260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259"/>
      <c r="K456" s="133"/>
      <c r="L456" s="85"/>
      <c r="M456" s="135"/>
      <c r="N456" s="260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259"/>
      <c r="K457" s="133"/>
      <c r="L457" s="85"/>
      <c r="M457" s="135"/>
      <c r="N457" s="260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259"/>
      <c r="K458" s="133"/>
      <c r="L458" s="85"/>
      <c r="M458" s="135"/>
      <c r="N458" s="260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259"/>
      <c r="K459" s="133"/>
      <c r="L459" s="85"/>
      <c r="M459" s="135"/>
      <c r="N459" s="260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259"/>
      <c r="K460" s="133"/>
      <c r="L460" s="85"/>
      <c r="M460" s="135"/>
      <c r="N460" s="260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259"/>
      <c r="K461" s="133"/>
      <c r="L461" s="85"/>
      <c r="M461" s="135"/>
      <c r="N461" s="260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259"/>
      <c r="K462" s="133"/>
      <c r="L462" s="85"/>
      <c r="M462" s="135"/>
      <c r="N462" s="260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259"/>
      <c r="K463" s="133"/>
      <c r="L463" s="85"/>
      <c r="M463" s="135"/>
      <c r="N463" s="260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259"/>
      <c r="K464" s="133"/>
      <c r="L464" s="85"/>
      <c r="M464" s="135"/>
      <c r="N464" s="260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259"/>
      <c r="K465" s="133"/>
      <c r="L465" s="85"/>
      <c r="M465" s="135"/>
      <c r="N465" s="260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259"/>
      <c r="K466" s="133"/>
      <c r="L466" s="85"/>
      <c r="M466" s="135"/>
      <c r="N466" s="260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259"/>
      <c r="K467" s="133"/>
      <c r="L467" s="85"/>
      <c r="M467" s="135"/>
      <c r="N467" s="260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259"/>
      <c r="K468" s="133"/>
      <c r="L468" s="85"/>
      <c r="M468" s="135"/>
      <c r="N468" s="260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259"/>
      <c r="K469" s="133"/>
      <c r="L469" s="85"/>
      <c r="M469" s="135"/>
      <c r="N469" s="260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259"/>
      <c r="K470" s="133"/>
      <c r="L470" s="85"/>
      <c r="M470" s="135"/>
      <c r="N470" s="260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259"/>
      <c r="K471" s="133"/>
      <c r="L471" s="85"/>
      <c r="M471" s="135"/>
      <c r="N471" s="260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259"/>
      <c r="K472" s="133"/>
      <c r="L472" s="85"/>
      <c r="M472" s="135"/>
      <c r="N472" s="260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259"/>
      <c r="K473" s="133"/>
      <c r="L473" s="85"/>
      <c r="M473" s="135"/>
      <c r="N473" s="260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259"/>
      <c r="K474" s="133"/>
      <c r="L474" s="85"/>
      <c r="M474" s="135"/>
      <c r="N474" s="260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259"/>
      <c r="K475" s="133"/>
      <c r="L475" s="85"/>
      <c r="M475" s="135"/>
      <c r="N475" s="260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259"/>
      <c r="K476" s="133"/>
      <c r="L476" s="85"/>
      <c r="M476" s="135"/>
      <c r="N476" s="260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259"/>
      <c r="K477" s="133"/>
      <c r="L477" s="85"/>
      <c r="M477" s="135"/>
      <c r="N477" s="260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259"/>
      <c r="K478" s="133"/>
      <c r="L478" s="85"/>
      <c r="M478" s="135"/>
      <c r="N478" s="260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259"/>
      <c r="K479" s="133"/>
      <c r="L479" s="85"/>
      <c r="M479" s="135"/>
      <c r="N479" s="260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259"/>
      <c r="K480" s="133"/>
      <c r="L480" s="85"/>
      <c r="M480" s="135"/>
      <c r="N480" s="260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259"/>
      <c r="K481" s="133"/>
      <c r="L481" s="85"/>
      <c r="M481" s="135"/>
      <c r="N481" s="260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259"/>
      <c r="K482" s="133"/>
      <c r="L482" s="85"/>
      <c r="M482" s="135"/>
      <c r="N482" s="260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259"/>
      <c r="K483" s="133"/>
      <c r="L483" s="85"/>
      <c r="M483" s="135"/>
      <c r="N483" s="260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259"/>
      <c r="K484" s="133"/>
      <c r="L484" s="85"/>
      <c r="M484" s="135"/>
      <c r="N484" s="260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259"/>
      <c r="K485" s="133"/>
      <c r="L485" s="85"/>
      <c r="M485" s="135"/>
      <c r="N485" s="260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259"/>
      <c r="K486" s="133"/>
      <c r="L486" s="85"/>
      <c r="M486" s="135"/>
      <c r="N486" s="260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259"/>
      <c r="K487" s="133"/>
      <c r="L487" s="85"/>
      <c r="M487" s="135"/>
      <c r="N487" s="260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259"/>
      <c r="K488" s="133"/>
      <c r="L488" s="85"/>
      <c r="M488" s="135"/>
      <c r="N488" s="260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259"/>
      <c r="K489" s="133"/>
      <c r="L489" s="85"/>
      <c r="M489" s="135"/>
      <c r="N489" s="260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259"/>
      <c r="K490" s="133"/>
      <c r="L490" s="85"/>
      <c r="M490" s="135"/>
      <c r="N490" s="260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259"/>
      <c r="K491" s="133"/>
      <c r="L491" s="85"/>
      <c r="M491" s="135"/>
      <c r="N491" s="260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259"/>
      <c r="K492" s="133"/>
      <c r="L492" s="85"/>
      <c r="M492" s="135"/>
      <c r="N492" s="260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259"/>
      <c r="K493" s="133"/>
      <c r="L493" s="85"/>
      <c r="M493" s="135"/>
      <c r="N493" s="260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259"/>
      <c r="K494" s="133"/>
      <c r="L494" s="85"/>
      <c r="M494" s="135"/>
      <c r="N494" s="260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259"/>
      <c r="K495" s="133"/>
      <c r="L495" s="85"/>
      <c r="M495" s="135"/>
      <c r="N495" s="260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259"/>
      <c r="K496" s="133"/>
      <c r="L496" s="85"/>
      <c r="M496" s="135"/>
      <c r="N496" s="260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259"/>
      <c r="K497" s="133"/>
      <c r="L497" s="85"/>
      <c r="M497" s="135"/>
      <c r="N497" s="260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259"/>
      <c r="K498" s="133"/>
      <c r="L498" s="85"/>
      <c r="M498" s="135"/>
      <c r="N498" s="260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259"/>
      <c r="K499" s="133"/>
      <c r="L499" s="85"/>
      <c r="M499" s="135"/>
      <c r="N499" s="260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259"/>
      <c r="K500" s="133"/>
      <c r="L500" s="85"/>
      <c r="M500" s="135"/>
      <c r="N500" s="260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259"/>
      <c r="K501" s="133"/>
      <c r="L501" s="85"/>
      <c r="M501" s="135"/>
      <c r="N501" s="260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259"/>
      <c r="K502" s="133"/>
      <c r="L502" s="85"/>
      <c r="M502" s="135"/>
      <c r="N502" s="260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259"/>
      <c r="K503" s="133"/>
      <c r="L503" s="85"/>
      <c r="M503" s="135"/>
      <c r="N503" s="260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259"/>
      <c r="K504" s="133"/>
      <c r="L504" s="85"/>
      <c r="M504" s="135"/>
      <c r="N504" s="260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259"/>
      <c r="K505" s="133"/>
      <c r="L505" s="85"/>
      <c r="M505" s="135"/>
      <c r="N505" s="260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259"/>
      <c r="K506" s="133"/>
      <c r="L506" s="85"/>
      <c r="M506" s="135"/>
      <c r="N506" s="260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259"/>
      <c r="K507" s="133"/>
      <c r="L507" s="85"/>
      <c r="M507" s="135"/>
      <c r="N507" s="260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259"/>
      <c r="K508" s="133"/>
      <c r="L508" s="85"/>
      <c r="M508" s="135"/>
      <c r="N508" s="260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259"/>
      <c r="K509" s="133"/>
      <c r="L509" s="85"/>
      <c r="M509" s="135"/>
      <c r="N509" s="260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259"/>
      <c r="K510" s="133"/>
      <c r="L510" s="85"/>
      <c r="M510" s="135"/>
      <c r="N510" s="260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259"/>
      <c r="K511" s="133"/>
      <c r="L511" s="85"/>
      <c r="M511" s="135"/>
      <c r="N511" s="260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259"/>
      <c r="K512" s="133"/>
      <c r="L512" s="85"/>
      <c r="M512" s="135"/>
      <c r="N512" s="260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259"/>
      <c r="K513" s="133"/>
      <c r="L513" s="85"/>
      <c r="M513" s="135"/>
      <c r="N513" s="260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259"/>
      <c r="K514" s="133"/>
      <c r="L514" s="85"/>
      <c r="M514" s="135"/>
      <c r="N514" s="260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259"/>
      <c r="K515" s="133"/>
      <c r="L515" s="85"/>
      <c r="M515" s="135"/>
      <c r="N515" s="260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259"/>
      <c r="K516" s="133"/>
      <c r="L516" s="85"/>
      <c r="M516" s="135"/>
      <c r="N516" s="260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259"/>
      <c r="K517" s="133"/>
      <c r="L517" s="85"/>
      <c r="M517" s="135"/>
      <c r="N517" s="260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259"/>
      <c r="K518" s="133"/>
      <c r="L518" s="85"/>
      <c r="M518" s="135"/>
      <c r="N518" s="260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259"/>
      <c r="K519" s="133"/>
      <c r="L519" s="85"/>
      <c r="M519" s="135"/>
      <c r="N519" s="260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259"/>
      <c r="K520" s="133"/>
      <c r="L520" s="85"/>
      <c r="M520" s="135"/>
      <c r="N520" s="260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259"/>
      <c r="K521" s="133"/>
      <c r="L521" s="85"/>
      <c r="M521" s="135"/>
      <c r="N521" s="260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259"/>
      <c r="K522" s="133"/>
      <c r="L522" s="85"/>
      <c r="M522" s="135"/>
      <c r="N522" s="260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259"/>
      <c r="K523" s="133"/>
      <c r="L523" s="85"/>
      <c r="M523" s="135"/>
      <c r="N523" s="260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259"/>
      <c r="K524" s="133"/>
      <c r="L524" s="85"/>
      <c r="M524" s="135"/>
      <c r="N524" s="260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259"/>
      <c r="K525" s="133"/>
      <c r="L525" s="85"/>
      <c r="M525" s="135"/>
      <c r="N525" s="260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259"/>
      <c r="K526" s="133"/>
      <c r="L526" s="85"/>
      <c r="M526" s="135"/>
      <c r="N526" s="260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259"/>
      <c r="K527" s="133"/>
      <c r="L527" s="85"/>
      <c r="M527" s="135"/>
      <c r="N527" s="260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259"/>
      <c r="K528" s="133"/>
      <c r="L528" s="85"/>
      <c r="M528" s="135"/>
      <c r="N528" s="260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259"/>
      <c r="K529" s="133"/>
      <c r="L529" s="85"/>
      <c r="M529" s="135"/>
      <c r="N529" s="260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259"/>
      <c r="K530" s="133"/>
      <c r="L530" s="85"/>
      <c r="M530" s="135"/>
      <c r="N530" s="260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259"/>
      <c r="K531" s="133"/>
      <c r="L531" s="85"/>
      <c r="M531" s="135"/>
      <c r="N531" s="260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259"/>
      <c r="K532" s="133"/>
      <c r="L532" s="85"/>
      <c r="M532" s="135"/>
      <c r="N532" s="260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259"/>
      <c r="K533" s="133"/>
      <c r="L533" s="85"/>
      <c r="M533" s="135"/>
      <c r="N533" s="260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259"/>
      <c r="K534" s="133"/>
      <c r="L534" s="85"/>
      <c r="M534" s="135"/>
      <c r="N534" s="260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259"/>
      <c r="K535" s="133"/>
      <c r="L535" s="85"/>
      <c r="M535" s="135"/>
      <c r="N535" s="260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259"/>
      <c r="K536" s="133"/>
      <c r="L536" s="85"/>
      <c r="M536" s="135"/>
      <c r="N536" s="260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259"/>
      <c r="K537" s="133"/>
      <c r="L537" s="85"/>
      <c r="M537" s="135"/>
      <c r="N537" s="260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259"/>
      <c r="K538" s="133"/>
      <c r="L538" s="85"/>
      <c r="M538" s="135"/>
      <c r="N538" s="260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259"/>
      <c r="K539" s="133"/>
      <c r="L539" s="85"/>
      <c r="M539" s="135"/>
      <c r="N539" s="260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259"/>
      <c r="K540" s="133"/>
      <c r="L540" s="85"/>
      <c r="M540" s="135"/>
      <c r="N540" s="260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259"/>
      <c r="K541" s="133"/>
      <c r="L541" s="85"/>
      <c r="M541" s="135"/>
      <c r="N541" s="260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259"/>
      <c r="K542" s="133"/>
      <c r="L542" s="85"/>
      <c r="M542" s="135"/>
      <c r="N542" s="260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259"/>
      <c r="K543" s="133"/>
      <c r="L543" s="85"/>
      <c r="M543" s="135"/>
      <c r="N543" s="260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259"/>
      <c r="K544" s="133"/>
      <c r="L544" s="85"/>
      <c r="M544" s="135"/>
      <c r="N544" s="260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259"/>
      <c r="K545" s="133"/>
      <c r="L545" s="85"/>
      <c r="M545" s="135"/>
      <c r="N545" s="260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259"/>
      <c r="K546" s="133"/>
      <c r="L546" s="85"/>
      <c r="M546" s="135"/>
      <c r="N546" s="260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259"/>
      <c r="K547" s="133"/>
      <c r="L547" s="85"/>
      <c r="M547" s="135"/>
      <c r="N547" s="260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259"/>
      <c r="K548" s="133"/>
      <c r="L548" s="85"/>
      <c r="M548" s="135"/>
      <c r="N548" s="260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259"/>
      <c r="K549" s="133"/>
      <c r="L549" s="85"/>
      <c r="M549" s="135"/>
      <c r="N549" s="260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259"/>
      <c r="K550" s="133"/>
      <c r="L550" s="85"/>
      <c r="M550" s="135"/>
      <c r="N550" s="260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259"/>
      <c r="K551" s="133"/>
      <c r="L551" s="85"/>
      <c r="M551" s="135"/>
      <c r="N551" s="260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259"/>
      <c r="K552" s="133"/>
      <c r="L552" s="85"/>
      <c r="M552" s="135"/>
      <c r="N552" s="260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259"/>
      <c r="K553" s="133"/>
      <c r="L553" s="85"/>
      <c r="M553" s="135"/>
      <c r="N553" s="260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259"/>
      <c r="K554" s="133"/>
      <c r="L554" s="85"/>
      <c r="M554" s="135"/>
      <c r="N554" s="260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259"/>
      <c r="K555" s="133"/>
      <c r="L555" s="85"/>
      <c r="M555" s="135"/>
      <c r="N555" s="260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259"/>
      <c r="K556" s="133"/>
      <c r="L556" s="85"/>
      <c r="M556" s="135"/>
      <c r="N556" s="260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259"/>
      <c r="K557" s="133"/>
      <c r="L557" s="85"/>
      <c r="M557" s="135"/>
      <c r="N557" s="260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259"/>
      <c r="K558" s="133"/>
      <c r="L558" s="85"/>
      <c r="M558" s="135"/>
      <c r="N558" s="260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259"/>
      <c r="K559" s="133"/>
      <c r="L559" s="85"/>
      <c r="M559" s="135"/>
      <c r="N559" s="260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259"/>
      <c r="K560" s="133"/>
      <c r="L560" s="85"/>
      <c r="M560" s="135"/>
      <c r="N560" s="260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259"/>
      <c r="K561" s="133"/>
      <c r="L561" s="85"/>
      <c r="M561" s="135"/>
      <c r="N561" s="260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259"/>
      <c r="K562" s="133"/>
      <c r="L562" s="85"/>
      <c r="M562" s="135"/>
      <c r="N562" s="260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259"/>
      <c r="K563" s="133"/>
      <c r="L563" s="85"/>
      <c r="M563" s="135"/>
      <c r="N563" s="260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259"/>
      <c r="K564" s="133"/>
      <c r="L564" s="85"/>
      <c r="M564" s="135"/>
      <c r="N564" s="260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259"/>
      <c r="K565" s="133"/>
      <c r="L565" s="85"/>
      <c r="M565" s="135"/>
      <c r="N565" s="260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259"/>
      <c r="K566" s="133"/>
      <c r="L566" s="85"/>
      <c r="M566" s="135"/>
      <c r="N566" s="260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259"/>
      <c r="K567" s="133"/>
      <c r="L567" s="85"/>
      <c r="M567" s="135"/>
      <c r="N567" s="260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259"/>
      <c r="K568" s="133"/>
      <c r="L568" s="85"/>
      <c r="M568" s="135"/>
      <c r="N568" s="260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259"/>
      <c r="K569" s="133"/>
      <c r="L569" s="85"/>
      <c r="M569" s="135"/>
      <c r="N569" s="260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259"/>
      <c r="K570" s="133"/>
      <c r="L570" s="85"/>
      <c r="M570" s="135"/>
      <c r="N570" s="260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259"/>
      <c r="K571" s="133"/>
      <c r="L571" s="85"/>
      <c r="M571" s="135"/>
      <c r="N571" s="260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259"/>
      <c r="K572" s="133"/>
      <c r="L572" s="85"/>
      <c r="M572" s="135"/>
      <c r="N572" s="260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259"/>
      <c r="K573" s="133"/>
      <c r="L573" s="85"/>
      <c r="M573" s="135"/>
      <c r="N573" s="260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259"/>
      <c r="K574" s="133"/>
      <c r="L574" s="85"/>
      <c r="M574" s="135"/>
      <c r="N574" s="260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259"/>
      <c r="K575" s="133"/>
      <c r="L575" s="85"/>
      <c r="M575" s="135"/>
      <c r="N575" s="260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259"/>
      <c r="K576" s="133"/>
      <c r="L576" s="85"/>
      <c r="M576" s="135"/>
      <c r="N576" s="260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259"/>
      <c r="K577" s="133"/>
      <c r="L577" s="85"/>
      <c r="M577" s="135"/>
      <c r="N577" s="260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259"/>
      <c r="K578" s="133"/>
      <c r="L578" s="85"/>
      <c r="M578" s="135"/>
      <c r="N578" s="260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259"/>
      <c r="K579" s="133"/>
      <c r="L579" s="85"/>
      <c r="M579" s="135"/>
      <c r="N579" s="260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259"/>
      <c r="K580" s="133"/>
      <c r="L580" s="85"/>
      <c r="M580" s="135"/>
      <c r="N580" s="260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259"/>
      <c r="K581" s="133"/>
      <c r="L581" s="85"/>
      <c r="M581" s="135"/>
      <c r="N581" s="260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259"/>
      <c r="K582" s="133"/>
      <c r="L582" s="85"/>
      <c r="M582" s="135"/>
      <c r="N582" s="260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259"/>
      <c r="K583" s="133"/>
      <c r="L583" s="85"/>
      <c r="M583" s="135"/>
      <c r="N583" s="260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259"/>
      <c r="K584" s="133"/>
      <c r="L584" s="85"/>
      <c r="M584" s="135"/>
      <c r="N584" s="260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259"/>
      <c r="K585" s="133"/>
      <c r="L585" s="85"/>
      <c r="M585" s="135"/>
      <c r="N585" s="260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259"/>
      <c r="K586" s="133"/>
      <c r="L586" s="85"/>
      <c r="M586" s="135"/>
      <c r="N586" s="260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259"/>
      <c r="K587" s="133"/>
      <c r="L587" s="85"/>
      <c r="M587" s="135"/>
      <c r="N587" s="260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259"/>
      <c r="K588" s="133"/>
      <c r="L588" s="85"/>
      <c r="M588" s="135"/>
      <c r="N588" s="260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259"/>
      <c r="K589" s="133"/>
      <c r="L589" s="85"/>
      <c r="M589" s="135"/>
      <c r="N589" s="260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259"/>
      <c r="K590" s="133"/>
      <c r="L590" s="85"/>
      <c r="M590" s="135"/>
      <c r="N590" s="260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259"/>
      <c r="K591" s="133"/>
      <c r="L591" s="85"/>
      <c r="M591" s="135"/>
      <c r="N591" s="260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259"/>
      <c r="K592" s="133"/>
      <c r="L592" s="85"/>
      <c r="M592" s="135"/>
      <c r="N592" s="260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259"/>
      <c r="K593" s="133"/>
      <c r="L593" s="85"/>
      <c r="M593" s="135"/>
      <c r="N593" s="260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259"/>
      <c r="K594" s="133"/>
      <c r="L594" s="85"/>
      <c r="M594" s="135"/>
      <c r="N594" s="260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259"/>
      <c r="K595" s="133"/>
      <c r="L595" s="85"/>
      <c r="M595" s="135"/>
      <c r="N595" s="260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259"/>
      <c r="K596" s="133"/>
      <c r="L596" s="85"/>
      <c r="M596" s="135"/>
      <c r="N596" s="260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259"/>
      <c r="K597" s="133"/>
      <c r="L597" s="85"/>
      <c r="M597" s="135"/>
      <c r="N597" s="260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259"/>
      <c r="K598" s="133"/>
      <c r="L598" s="85"/>
      <c r="M598" s="135"/>
      <c r="N598" s="260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259"/>
      <c r="K599" s="133"/>
      <c r="L599" s="85"/>
      <c r="M599" s="135"/>
      <c r="N599" s="260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259"/>
      <c r="K600" s="133"/>
      <c r="L600" s="85"/>
      <c r="M600" s="135"/>
      <c r="N600" s="260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259"/>
      <c r="K601" s="133"/>
      <c r="L601" s="85"/>
      <c r="M601" s="135"/>
      <c r="N601" s="260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259"/>
      <c r="K602" s="133"/>
      <c r="L602" s="85"/>
      <c r="M602" s="135"/>
      <c r="N602" s="260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259"/>
      <c r="K603" s="133"/>
      <c r="L603" s="85"/>
      <c r="M603" s="135"/>
      <c r="N603" s="260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259"/>
      <c r="K604" s="133"/>
      <c r="L604" s="85"/>
      <c r="M604" s="135"/>
      <c r="N604" s="260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259"/>
      <c r="K605" s="133"/>
      <c r="L605" s="85"/>
      <c r="M605" s="135"/>
      <c r="N605" s="260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259"/>
      <c r="K606" s="133"/>
      <c r="L606" s="85"/>
      <c r="M606" s="135"/>
      <c r="N606" s="260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259"/>
      <c r="K607" s="133"/>
      <c r="L607" s="85"/>
      <c r="M607" s="135"/>
      <c r="N607" s="260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259"/>
      <c r="K608" s="133"/>
      <c r="L608" s="85"/>
      <c r="M608" s="135"/>
      <c r="N608" s="260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259"/>
      <c r="K609" s="133"/>
      <c r="L609" s="85"/>
      <c r="M609" s="135"/>
      <c r="N609" s="260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259"/>
      <c r="K610" s="133"/>
      <c r="L610" s="85"/>
      <c r="M610" s="135"/>
      <c r="N610" s="260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259"/>
      <c r="K611" s="133"/>
      <c r="L611" s="85"/>
      <c r="M611" s="135"/>
      <c r="N611" s="260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259"/>
      <c r="K612" s="133"/>
      <c r="L612" s="85"/>
      <c r="M612" s="135"/>
      <c r="N612" s="260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259"/>
      <c r="K613" s="133"/>
      <c r="L613" s="85"/>
      <c r="M613" s="135"/>
      <c r="N613" s="260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259"/>
      <c r="K614" s="133"/>
      <c r="L614" s="85"/>
      <c r="M614" s="135"/>
      <c r="N614" s="260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259"/>
      <c r="K615" s="133"/>
      <c r="L615" s="85"/>
      <c r="M615" s="135"/>
      <c r="N615" s="260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259"/>
      <c r="K616" s="133"/>
      <c r="L616" s="85"/>
      <c r="M616" s="135"/>
      <c r="N616" s="260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259"/>
      <c r="K617" s="133"/>
      <c r="L617" s="85"/>
      <c r="M617" s="135"/>
      <c r="N617" s="260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259"/>
      <c r="K618" s="133"/>
      <c r="L618" s="85"/>
      <c r="M618" s="135"/>
      <c r="N618" s="260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259"/>
      <c r="K619" s="133"/>
      <c r="L619" s="85"/>
      <c r="M619" s="135"/>
      <c r="N619" s="260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259"/>
      <c r="K620" s="133"/>
      <c r="L620" s="85"/>
      <c r="M620" s="135"/>
      <c r="N620" s="260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259"/>
      <c r="K621" s="133"/>
      <c r="L621" s="85"/>
      <c r="M621" s="135"/>
      <c r="N621" s="260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259"/>
      <c r="K622" s="133"/>
      <c r="L622" s="85"/>
      <c r="M622" s="135"/>
      <c r="N622" s="260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259"/>
      <c r="K623" s="133"/>
      <c r="L623" s="85"/>
      <c r="M623" s="135"/>
      <c r="N623" s="260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259"/>
      <c r="K624" s="133"/>
      <c r="L624" s="85"/>
      <c r="M624" s="135"/>
      <c r="N624" s="260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259"/>
      <c r="K625" s="133"/>
      <c r="L625" s="85"/>
      <c r="M625" s="135"/>
      <c r="N625" s="260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259"/>
      <c r="K626" s="133"/>
      <c r="L626" s="85"/>
      <c r="M626" s="135"/>
      <c r="N626" s="260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259"/>
      <c r="K627" s="133"/>
      <c r="L627" s="85"/>
      <c r="M627" s="135"/>
      <c r="N627" s="260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259"/>
      <c r="K628" s="133"/>
      <c r="L628" s="85"/>
      <c r="M628" s="135"/>
      <c r="N628" s="260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259"/>
      <c r="K629" s="133"/>
      <c r="L629" s="85"/>
      <c r="M629" s="135"/>
      <c r="N629" s="260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259"/>
      <c r="K630" s="133"/>
      <c r="L630" s="85"/>
      <c r="M630" s="135"/>
      <c r="N630" s="260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259"/>
      <c r="K631" s="133"/>
      <c r="L631" s="85"/>
      <c r="M631" s="135"/>
      <c r="N631" s="260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259"/>
      <c r="K632" s="133"/>
      <c r="L632" s="85"/>
      <c r="M632" s="135"/>
      <c r="N632" s="260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259"/>
      <c r="K633" s="133"/>
      <c r="L633" s="85"/>
      <c r="M633" s="135"/>
      <c r="N633" s="260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259"/>
      <c r="K634" s="133"/>
      <c r="L634" s="85"/>
      <c r="M634" s="135"/>
      <c r="N634" s="260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259"/>
      <c r="K635" s="133"/>
      <c r="L635" s="85"/>
      <c r="M635" s="135"/>
      <c r="N635" s="260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259"/>
      <c r="K636" s="133"/>
      <c r="L636" s="85"/>
      <c r="M636" s="135"/>
      <c r="N636" s="260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259"/>
      <c r="K637" s="133"/>
      <c r="L637" s="85"/>
      <c r="M637" s="135"/>
      <c r="N637" s="260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259"/>
      <c r="K638" s="133"/>
      <c r="L638" s="85"/>
      <c r="M638" s="135"/>
      <c r="N638" s="260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259"/>
      <c r="K639" s="133"/>
      <c r="L639" s="85"/>
      <c r="M639" s="135"/>
      <c r="N639" s="260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259"/>
      <c r="K640" s="133"/>
      <c r="L640" s="85"/>
      <c r="M640" s="135"/>
      <c r="N640" s="260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259"/>
      <c r="K641" s="133"/>
      <c r="L641" s="85"/>
      <c r="M641" s="135"/>
      <c r="N641" s="260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259"/>
      <c r="K642" s="133"/>
      <c r="L642" s="85"/>
      <c r="M642" s="135"/>
      <c r="N642" s="260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259"/>
      <c r="K643" s="133"/>
      <c r="L643" s="85"/>
      <c r="M643" s="135"/>
      <c r="N643" s="260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259"/>
      <c r="K644" s="133"/>
      <c r="L644" s="85"/>
      <c r="M644" s="135"/>
      <c r="N644" s="260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259"/>
      <c r="K645" s="133"/>
      <c r="L645" s="85"/>
      <c r="M645" s="135"/>
      <c r="N645" s="260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259"/>
      <c r="K646" s="133"/>
      <c r="L646" s="85"/>
      <c r="M646" s="135"/>
      <c r="N646" s="260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259"/>
      <c r="K647" s="133"/>
      <c r="L647" s="85"/>
      <c r="M647" s="135"/>
      <c r="N647" s="260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259"/>
      <c r="K648" s="133"/>
      <c r="L648" s="85"/>
      <c r="M648" s="135"/>
      <c r="N648" s="260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259"/>
      <c r="K649" s="133"/>
      <c r="L649" s="85"/>
      <c r="M649" s="135"/>
      <c r="N649" s="260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259"/>
      <c r="K650" s="133"/>
      <c r="L650" s="85"/>
      <c r="M650" s="135"/>
      <c r="N650" s="260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259"/>
      <c r="K651" s="133"/>
      <c r="L651" s="85"/>
      <c r="M651" s="135"/>
      <c r="N651" s="260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259"/>
      <c r="K652" s="133"/>
      <c r="L652" s="85"/>
      <c r="M652" s="135"/>
      <c r="N652" s="260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259"/>
      <c r="K653" s="133"/>
      <c r="L653" s="85"/>
      <c r="M653" s="135"/>
      <c r="N653" s="260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259"/>
      <c r="K654" s="133"/>
      <c r="L654" s="85"/>
      <c r="M654" s="135"/>
      <c r="N654" s="260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259"/>
      <c r="K655" s="133"/>
      <c r="L655" s="85"/>
      <c r="M655" s="135"/>
      <c r="N655" s="260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259"/>
      <c r="K656" s="133"/>
      <c r="L656" s="85"/>
      <c r="M656" s="135"/>
      <c r="N656" s="260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259"/>
      <c r="K657" s="133"/>
      <c r="L657" s="85"/>
      <c r="M657" s="135"/>
      <c r="N657" s="260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259"/>
      <c r="K658" s="133"/>
      <c r="L658" s="85"/>
      <c r="M658" s="135"/>
      <c r="N658" s="260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259"/>
      <c r="K659" s="133"/>
      <c r="L659" s="85"/>
      <c r="M659" s="135"/>
      <c r="N659" s="260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259"/>
      <c r="K660" s="133"/>
      <c r="L660" s="85"/>
      <c r="M660" s="135"/>
      <c r="N660" s="260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259"/>
      <c r="K661" s="133"/>
      <c r="L661" s="85"/>
      <c r="M661" s="135"/>
      <c r="N661" s="260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259"/>
      <c r="K662" s="133"/>
      <c r="L662" s="85"/>
      <c r="M662" s="135"/>
      <c r="N662" s="260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259"/>
      <c r="K663" s="133"/>
      <c r="L663" s="85"/>
      <c r="M663" s="135"/>
      <c r="N663" s="260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259"/>
      <c r="K664" s="133"/>
      <c r="L664" s="85"/>
      <c r="M664" s="135"/>
      <c r="N664" s="260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259"/>
      <c r="K665" s="133"/>
      <c r="L665" s="85"/>
      <c r="M665" s="135"/>
      <c r="N665" s="260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259"/>
      <c r="K666" s="133"/>
      <c r="L666" s="85"/>
      <c r="M666" s="135"/>
      <c r="N666" s="260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259"/>
      <c r="K667" s="133"/>
      <c r="L667" s="85"/>
      <c r="M667" s="135"/>
      <c r="N667" s="260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259"/>
      <c r="K668" s="133"/>
      <c r="L668" s="85"/>
      <c r="M668" s="135"/>
      <c r="N668" s="260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259"/>
      <c r="K669" s="133"/>
      <c r="L669" s="85"/>
      <c r="M669" s="135"/>
      <c r="N669" s="260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259"/>
      <c r="K670" s="133"/>
      <c r="L670" s="85"/>
      <c r="M670" s="135"/>
      <c r="N670" s="260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259"/>
      <c r="K671" s="133"/>
      <c r="L671" s="85"/>
      <c r="M671" s="135"/>
      <c r="N671" s="260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259"/>
      <c r="K672" s="133"/>
      <c r="L672" s="85"/>
      <c r="M672" s="135"/>
      <c r="N672" s="260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259"/>
      <c r="K673" s="133"/>
      <c r="L673" s="85"/>
      <c r="M673" s="135"/>
      <c r="N673" s="260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259"/>
      <c r="K674" s="133"/>
      <c r="L674" s="85"/>
      <c r="M674" s="135"/>
      <c r="N674" s="260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259"/>
      <c r="K675" s="133"/>
      <c r="L675" s="85"/>
      <c r="M675" s="135"/>
      <c r="N675" s="260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259"/>
      <c r="K676" s="133"/>
      <c r="L676" s="85"/>
      <c r="M676" s="135"/>
      <c r="N676" s="260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259"/>
      <c r="K677" s="133"/>
      <c r="L677" s="85"/>
      <c r="M677" s="135"/>
      <c r="N677" s="260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259"/>
      <c r="K678" s="133"/>
      <c r="L678" s="85"/>
      <c r="M678" s="135"/>
      <c r="N678" s="260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259"/>
      <c r="K679" s="133"/>
      <c r="L679" s="85"/>
      <c r="M679" s="135"/>
      <c r="N679" s="260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259"/>
      <c r="K680" s="133"/>
      <c r="L680" s="85"/>
      <c r="M680" s="135"/>
      <c r="N680" s="260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259"/>
      <c r="K681" s="133"/>
      <c r="L681" s="85"/>
      <c r="M681" s="135"/>
      <c r="N681" s="260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259"/>
      <c r="K682" s="133"/>
      <c r="L682" s="85"/>
      <c r="M682" s="135"/>
      <c r="N682" s="260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259"/>
      <c r="K683" s="133"/>
      <c r="L683" s="85"/>
      <c r="M683" s="135"/>
      <c r="N683" s="260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259"/>
      <c r="K684" s="133"/>
      <c r="L684" s="85"/>
      <c r="M684" s="135"/>
      <c r="N684" s="260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259"/>
      <c r="K685" s="133"/>
      <c r="L685" s="85"/>
      <c r="M685" s="135"/>
      <c r="N685" s="260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259"/>
      <c r="K686" s="133"/>
      <c r="L686" s="85"/>
      <c r="M686" s="135"/>
      <c r="N686" s="260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259"/>
      <c r="K687" s="133"/>
      <c r="L687" s="85"/>
      <c r="M687" s="135"/>
      <c r="N687" s="260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259"/>
      <c r="K688" s="133"/>
      <c r="L688" s="85"/>
      <c r="M688" s="135"/>
      <c r="N688" s="260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259"/>
      <c r="K689" s="133"/>
      <c r="L689" s="85"/>
      <c r="M689" s="135"/>
      <c r="N689" s="260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259"/>
      <c r="K690" s="133"/>
      <c r="L690" s="85"/>
      <c r="M690" s="135"/>
      <c r="N690" s="260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259"/>
      <c r="K691" s="133"/>
      <c r="L691" s="85"/>
      <c r="M691" s="135"/>
      <c r="N691" s="260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259"/>
      <c r="K692" s="133"/>
      <c r="L692" s="85"/>
      <c r="M692" s="135"/>
      <c r="N692" s="260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259"/>
      <c r="K693" s="133"/>
      <c r="L693" s="85"/>
      <c r="M693" s="135"/>
      <c r="N693" s="260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259"/>
      <c r="K694" s="133"/>
      <c r="L694" s="85"/>
      <c r="M694" s="135"/>
      <c r="N694" s="260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259"/>
      <c r="K695" s="133"/>
      <c r="L695" s="85"/>
      <c r="M695" s="135"/>
      <c r="N695" s="260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259"/>
      <c r="K696" s="133"/>
      <c r="L696" s="85"/>
      <c r="M696" s="135"/>
      <c r="N696" s="260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259"/>
      <c r="K697" s="133"/>
      <c r="L697" s="85"/>
      <c r="M697" s="135"/>
      <c r="N697" s="260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259"/>
      <c r="K698" s="133"/>
      <c r="L698" s="85"/>
      <c r="M698" s="135"/>
      <c r="N698" s="260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259"/>
      <c r="K699" s="133"/>
      <c r="L699" s="85"/>
      <c r="M699" s="135"/>
      <c r="N699" s="260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259"/>
      <c r="K700" s="133"/>
      <c r="L700" s="85"/>
      <c r="M700" s="135"/>
      <c r="N700" s="260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259"/>
      <c r="K701" s="133"/>
      <c r="L701" s="85"/>
      <c r="M701" s="135"/>
      <c r="N701" s="260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259"/>
      <c r="K702" s="133"/>
      <c r="L702" s="85"/>
      <c r="M702" s="135"/>
      <c r="N702" s="260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259"/>
      <c r="K703" s="133"/>
      <c r="L703" s="85"/>
      <c r="M703" s="135"/>
      <c r="N703" s="260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259"/>
      <c r="K704" s="133"/>
      <c r="L704" s="85"/>
      <c r="M704" s="135"/>
      <c r="N704" s="260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259"/>
      <c r="K705" s="133"/>
      <c r="L705" s="85"/>
      <c r="M705" s="135"/>
      <c r="N705" s="260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259"/>
      <c r="K706" s="133"/>
      <c r="L706" s="85"/>
      <c r="M706" s="135"/>
      <c r="N706" s="260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259"/>
      <c r="K707" s="133"/>
      <c r="L707" s="85"/>
      <c r="M707" s="135"/>
      <c r="N707" s="260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259"/>
      <c r="K708" s="133"/>
      <c r="L708" s="85"/>
      <c r="M708" s="135"/>
      <c r="N708" s="260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259"/>
      <c r="K709" s="133"/>
      <c r="L709" s="85"/>
      <c r="M709" s="135"/>
      <c r="N709" s="260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259"/>
      <c r="K710" s="133"/>
      <c r="L710" s="85"/>
      <c r="M710" s="135"/>
      <c r="N710" s="260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259"/>
      <c r="K711" s="133"/>
      <c r="L711" s="85"/>
      <c r="M711" s="135"/>
      <c r="N711" s="260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259"/>
      <c r="K712" s="133"/>
      <c r="L712" s="85"/>
      <c r="M712" s="135"/>
      <c r="N712" s="260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259"/>
      <c r="K713" s="133"/>
      <c r="L713" s="85"/>
      <c r="M713" s="135"/>
      <c r="N713" s="260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259"/>
      <c r="K714" s="133"/>
      <c r="L714" s="85"/>
      <c r="M714" s="135"/>
      <c r="N714" s="260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259"/>
      <c r="K715" s="133"/>
      <c r="L715" s="85"/>
      <c r="M715" s="135"/>
      <c r="N715" s="260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259"/>
      <c r="K716" s="133"/>
      <c r="L716" s="85"/>
      <c r="M716" s="135"/>
      <c r="N716" s="260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259"/>
      <c r="K717" s="133"/>
      <c r="L717" s="85"/>
      <c r="M717" s="135"/>
      <c r="N717" s="260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259"/>
      <c r="K718" s="133"/>
      <c r="L718" s="85"/>
      <c r="M718" s="135"/>
      <c r="N718" s="260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259"/>
      <c r="K719" s="133"/>
      <c r="L719" s="85"/>
      <c r="M719" s="135"/>
      <c r="N719" s="260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259"/>
      <c r="K720" s="133"/>
      <c r="L720" s="85"/>
      <c r="M720" s="135"/>
      <c r="N720" s="260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259"/>
      <c r="K721" s="133"/>
      <c r="L721" s="85"/>
      <c r="M721" s="135"/>
      <c r="N721" s="260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259"/>
      <c r="K722" s="133"/>
      <c r="L722" s="85"/>
      <c r="M722" s="135"/>
      <c r="N722" s="260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259"/>
      <c r="K723" s="133"/>
      <c r="L723" s="85"/>
      <c r="M723" s="135"/>
      <c r="N723" s="260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259"/>
      <c r="K724" s="133"/>
      <c r="L724" s="85"/>
      <c r="M724" s="135"/>
      <c r="N724" s="260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259"/>
      <c r="K725" s="133"/>
      <c r="L725" s="85"/>
      <c r="M725" s="135"/>
      <c r="N725" s="260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259"/>
      <c r="K726" s="133"/>
      <c r="L726" s="85"/>
      <c r="M726" s="135"/>
      <c r="N726" s="260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259"/>
      <c r="K727" s="133"/>
      <c r="L727" s="85"/>
      <c r="M727" s="135"/>
      <c r="N727" s="260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259"/>
      <c r="K728" s="133"/>
      <c r="L728" s="85"/>
      <c r="M728" s="135"/>
      <c r="N728" s="260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259"/>
      <c r="K729" s="133"/>
      <c r="L729" s="85"/>
      <c r="M729" s="135"/>
      <c r="N729" s="260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259"/>
      <c r="K730" s="133"/>
      <c r="L730" s="85"/>
      <c r="M730" s="135"/>
      <c r="N730" s="260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259"/>
      <c r="K731" s="133"/>
      <c r="L731" s="85"/>
      <c r="M731" s="135"/>
      <c r="N731" s="260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259"/>
      <c r="K732" s="133"/>
      <c r="L732" s="85"/>
      <c r="M732" s="135"/>
      <c r="N732" s="260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259"/>
      <c r="K733" s="133"/>
      <c r="L733" s="85"/>
      <c r="M733" s="135"/>
      <c r="N733" s="260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259"/>
      <c r="K734" s="133"/>
      <c r="L734" s="85"/>
      <c r="M734" s="135"/>
      <c r="N734" s="260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259"/>
      <c r="K735" s="133"/>
      <c r="L735" s="85"/>
      <c r="M735" s="135"/>
      <c r="N735" s="260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259"/>
      <c r="K736" s="133"/>
      <c r="L736" s="85"/>
      <c r="M736" s="135"/>
      <c r="N736" s="260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259"/>
      <c r="K737" s="133"/>
      <c r="L737" s="85"/>
      <c r="M737" s="135"/>
      <c r="N737" s="260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259"/>
      <c r="K738" s="133"/>
      <c r="L738" s="85"/>
      <c r="M738" s="135"/>
      <c r="N738" s="260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259"/>
      <c r="K739" s="133"/>
      <c r="L739" s="85"/>
      <c r="M739" s="135"/>
      <c r="N739" s="260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259"/>
      <c r="K740" s="133"/>
      <c r="L740" s="85"/>
      <c r="M740" s="135"/>
      <c r="N740" s="260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259"/>
      <c r="K741" s="133"/>
      <c r="L741" s="85"/>
      <c r="M741" s="135"/>
      <c r="N741" s="260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259"/>
      <c r="K742" s="133"/>
      <c r="L742" s="85"/>
      <c r="M742" s="135"/>
      <c r="N742" s="260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259"/>
      <c r="K743" s="133"/>
      <c r="L743" s="85"/>
      <c r="M743" s="135"/>
      <c r="N743" s="260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259"/>
      <c r="K744" s="133"/>
      <c r="L744" s="85"/>
      <c r="M744" s="135"/>
      <c r="N744" s="260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259"/>
      <c r="K745" s="133"/>
      <c r="L745" s="85"/>
      <c r="M745" s="135"/>
      <c r="N745" s="260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259"/>
      <c r="K746" s="133"/>
      <c r="L746" s="85"/>
      <c r="M746" s="135"/>
      <c r="N746" s="260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259"/>
      <c r="K747" s="133"/>
      <c r="L747" s="85"/>
      <c r="M747" s="135"/>
      <c r="N747" s="260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259"/>
      <c r="K748" s="133"/>
      <c r="L748" s="85"/>
      <c r="M748" s="135"/>
      <c r="N748" s="260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259"/>
      <c r="K749" s="133"/>
      <c r="L749" s="85"/>
      <c r="M749" s="135"/>
      <c r="N749" s="260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259"/>
      <c r="K750" s="133"/>
      <c r="L750" s="85"/>
      <c r="M750" s="135"/>
      <c r="N750" s="260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259"/>
      <c r="K751" s="133"/>
      <c r="L751" s="85"/>
      <c r="M751" s="135"/>
      <c r="N751" s="260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259"/>
      <c r="K752" s="133"/>
      <c r="L752" s="85"/>
      <c r="M752" s="135"/>
      <c r="N752" s="260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259"/>
      <c r="K753" s="133"/>
      <c r="L753" s="85"/>
      <c r="M753" s="135"/>
      <c r="N753" s="260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259"/>
      <c r="K754" s="133"/>
      <c r="L754" s="85"/>
      <c r="M754" s="135"/>
      <c r="N754" s="260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259"/>
      <c r="K755" s="133"/>
      <c r="L755" s="85"/>
      <c r="M755" s="135"/>
      <c r="N755" s="260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259"/>
      <c r="K756" s="133"/>
      <c r="L756" s="85"/>
      <c r="M756" s="135"/>
      <c r="N756" s="260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259"/>
      <c r="K757" s="133"/>
      <c r="L757" s="85"/>
      <c r="M757" s="135"/>
      <c r="N757" s="260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259"/>
      <c r="K758" s="133"/>
      <c r="L758" s="85"/>
      <c r="M758" s="135"/>
      <c r="N758" s="260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259"/>
      <c r="K759" s="133"/>
      <c r="L759" s="85"/>
      <c r="M759" s="135"/>
      <c r="N759" s="260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259"/>
      <c r="K760" s="133"/>
      <c r="L760" s="85"/>
      <c r="M760" s="135"/>
      <c r="N760" s="260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259"/>
      <c r="K761" s="133"/>
      <c r="L761" s="85"/>
      <c r="M761" s="135"/>
      <c r="N761" s="260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259"/>
      <c r="K762" s="133"/>
      <c r="L762" s="85"/>
      <c r="M762" s="135"/>
      <c r="N762" s="260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259"/>
      <c r="K763" s="133"/>
      <c r="L763" s="85"/>
      <c r="M763" s="135"/>
      <c r="N763" s="260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259"/>
      <c r="K764" s="133"/>
      <c r="L764" s="85"/>
      <c r="M764" s="135"/>
      <c r="N764" s="260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259"/>
      <c r="K765" s="133"/>
      <c r="L765" s="85"/>
      <c r="M765" s="135"/>
      <c r="N765" s="260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259"/>
      <c r="K766" s="133"/>
      <c r="L766" s="85"/>
      <c r="M766" s="135"/>
      <c r="N766" s="260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259"/>
      <c r="K767" s="133"/>
      <c r="L767" s="85"/>
      <c r="M767" s="135"/>
      <c r="N767" s="260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259"/>
      <c r="K768" s="133"/>
      <c r="L768" s="85"/>
      <c r="M768" s="135"/>
      <c r="N768" s="260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259"/>
      <c r="K769" s="133"/>
      <c r="L769" s="85"/>
      <c r="M769" s="135"/>
      <c r="N769" s="260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259"/>
      <c r="K770" s="133"/>
      <c r="L770" s="85"/>
      <c r="M770" s="135"/>
      <c r="N770" s="260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259"/>
      <c r="K771" s="133"/>
      <c r="L771" s="85"/>
      <c r="M771" s="135"/>
      <c r="N771" s="260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259"/>
      <c r="K772" s="133"/>
      <c r="L772" s="85"/>
      <c r="M772" s="135"/>
      <c r="N772" s="260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259"/>
      <c r="K773" s="133"/>
      <c r="L773" s="85"/>
      <c r="M773" s="135"/>
      <c r="N773" s="260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259"/>
      <c r="K774" s="133"/>
      <c r="L774" s="85"/>
      <c r="M774" s="135"/>
      <c r="N774" s="260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259"/>
      <c r="K775" s="133"/>
      <c r="L775" s="85"/>
      <c r="M775" s="135"/>
      <c r="N775" s="260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259"/>
      <c r="K776" s="133"/>
      <c r="L776" s="85"/>
      <c r="M776" s="135"/>
      <c r="N776" s="260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259"/>
      <c r="K777" s="133"/>
      <c r="L777" s="85"/>
      <c r="M777" s="135"/>
      <c r="N777" s="260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259"/>
      <c r="K778" s="133"/>
      <c r="L778" s="85"/>
      <c r="M778" s="135"/>
      <c r="N778" s="260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259"/>
      <c r="K779" s="133"/>
      <c r="L779" s="85"/>
      <c r="M779" s="135"/>
      <c r="N779" s="260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259"/>
      <c r="K780" s="133"/>
      <c r="L780" s="85"/>
      <c r="M780" s="135"/>
      <c r="N780" s="260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259"/>
      <c r="K781" s="133"/>
      <c r="L781" s="85"/>
      <c r="M781" s="135"/>
      <c r="N781" s="260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259"/>
      <c r="K782" s="133"/>
      <c r="L782" s="85"/>
      <c r="M782" s="135"/>
      <c r="N782" s="260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259"/>
      <c r="K783" s="133"/>
      <c r="L783" s="85"/>
      <c r="M783" s="135"/>
      <c r="N783" s="260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259"/>
      <c r="K784" s="133"/>
      <c r="L784" s="85"/>
      <c r="M784" s="135"/>
      <c r="N784" s="260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259"/>
      <c r="K785" s="133"/>
      <c r="L785" s="85"/>
      <c r="M785" s="135"/>
      <c r="N785" s="260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259"/>
      <c r="K786" s="133"/>
      <c r="L786" s="85"/>
      <c r="M786" s="135"/>
      <c r="N786" s="260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259"/>
      <c r="K787" s="133"/>
      <c r="L787" s="85"/>
      <c r="M787" s="135"/>
      <c r="N787" s="260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259"/>
      <c r="K788" s="133"/>
      <c r="L788" s="85"/>
      <c r="M788" s="135"/>
      <c r="N788" s="260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259"/>
      <c r="K789" s="133"/>
      <c r="L789" s="85"/>
      <c r="M789" s="135"/>
      <c r="N789" s="260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259"/>
      <c r="K790" s="133"/>
      <c r="L790" s="85"/>
      <c r="M790" s="135"/>
      <c r="N790" s="260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259"/>
      <c r="K791" s="133"/>
      <c r="L791" s="85"/>
      <c r="M791" s="135"/>
      <c r="N791" s="260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259"/>
      <c r="K792" s="133"/>
      <c r="L792" s="85"/>
      <c r="M792" s="135"/>
      <c r="N792" s="260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259"/>
      <c r="K793" s="133"/>
      <c r="L793" s="85"/>
      <c r="M793" s="135"/>
      <c r="N793" s="260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259"/>
      <c r="K794" s="133"/>
      <c r="L794" s="85"/>
      <c r="M794" s="135"/>
      <c r="N794" s="260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259"/>
      <c r="K795" s="133"/>
      <c r="L795" s="85"/>
      <c r="M795" s="135"/>
      <c r="N795" s="260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259"/>
      <c r="K796" s="133"/>
      <c r="L796" s="85"/>
      <c r="M796" s="135"/>
      <c r="N796" s="260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259"/>
      <c r="K797" s="133"/>
      <c r="L797" s="85"/>
      <c r="M797" s="135"/>
      <c r="N797" s="260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259"/>
      <c r="K798" s="133"/>
      <c r="L798" s="85"/>
      <c r="M798" s="135"/>
      <c r="N798" s="260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259"/>
      <c r="K799" s="133"/>
      <c r="L799" s="85"/>
      <c r="M799" s="135"/>
      <c r="N799" s="260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259"/>
      <c r="K800" s="133"/>
      <c r="L800" s="85"/>
      <c r="M800" s="135"/>
      <c r="N800" s="260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259"/>
      <c r="K801" s="133"/>
      <c r="L801" s="85"/>
      <c r="M801" s="135"/>
      <c r="N801" s="260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259"/>
      <c r="K802" s="133"/>
      <c r="L802" s="85"/>
      <c r="M802" s="135"/>
      <c r="N802" s="260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259"/>
      <c r="K803" s="133"/>
      <c r="L803" s="85"/>
      <c r="M803" s="135"/>
      <c r="N803" s="260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259"/>
      <c r="K804" s="133"/>
      <c r="L804" s="85"/>
      <c r="M804" s="135"/>
      <c r="N804" s="260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259"/>
      <c r="K805" s="133"/>
      <c r="L805" s="85"/>
      <c r="M805" s="135"/>
      <c r="N805" s="260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259"/>
      <c r="K806" s="133"/>
      <c r="L806" s="85"/>
      <c r="M806" s="135"/>
      <c r="N806" s="260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259"/>
      <c r="K807" s="133"/>
      <c r="L807" s="85"/>
      <c r="M807" s="135"/>
      <c r="N807" s="260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259"/>
      <c r="K808" s="133"/>
      <c r="L808" s="85"/>
      <c r="M808" s="135"/>
      <c r="N808" s="260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259"/>
      <c r="K809" s="133"/>
      <c r="L809" s="85"/>
      <c r="M809" s="135"/>
      <c r="N809" s="260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259"/>
      <c r="K810" s="133"/>
      <c r="L810" s="85"/>
      <c r="M810" s="135"/>
      <c r="N810" s="260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259"/>
      <c r="K811" s="133"/>
      <c r="L811" s="85"/>
      <c r="M811" s="135"/>
      <c r="N811" s="260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259"/>
      <c r="K812" s="133"/>
      <c r="L812" s="85"/>
      <c r="M812" s="135"/>
      <c r="N812" s="260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259"/>
      <c r="K813" s="133"/>
      <c r="L813" s="85"/>
      <c r="M813" s="135"/>
      <c r="N813" s="260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259"/>
      <c r="K814" s="133"/>
      <c r="L814" s="85"/>
      <c r="M814" s="135"/>
      <c r="N814" s="260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259"/>
      <c r="K815" s="133"/>
      <c r="L815" s="85"/>
      <c r="M815" s="135"/>
      <c r="N815" s="260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259"/>
      <c r="K816" s="133"/>
      <c r="L816" s="85"/>
      <c r="M816" s="135"/>
      <c r="N816" s="260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259"/>
      <c r="K817" s="133"/>
      <c r="L817" s="85"/>
      <c r="M817" s="135"/>
      <c r="N817" s="260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259"/>
      <c r="K818" s="133"/>
      <c r="L818" s="85"/>
      <c r="M818" s="135"/>
      <c r="N818" s="260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259"/>
      <c r="K819" s="133"/>
      <c r="L819" s="85"/>
      <c r="M819" s="135"/>
      <c r="N819" s="260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259"/>
      <c r="K820" s="133"/>
      <c r="L820" s="85"/>
      <c r="M820" s="135"/>
      <c r="N820" s="260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259"/>
      <c r="K821" s="133"/>
      <c r="L821" s="85"/>
      <c r="M821" s="135"/>
      <c r="N821" s="260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259"/>
      <c r="K822" s="133"/>
      <c r="L822" s="85"/>
      <c r="M822" s="135"/>
      <c r="N822" s="260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259"/>
      <c r="K823" s="133"/>
      <c r="L823" s="85"/>
      <c r="M823" s="135"/>
      <c r="N823" s="260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259"/>
      <c r="K824" s="133"/>
      <c r="L824" s="85"/>
      <c r="M824" s="135"/>
      <c r="N824" s="260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259"/>
      <c r="K825" s="133"/>
      <c r="L825" s="85"/>
      <c r="M825" s="135"/>
      <c r="N825" s="260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259"/>
      <c r="K826" s="133"/>
      <c r="L826" s="85"/>
      <c r="M826" s="135"/>
      <c r="N826" s="260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259"/>
      <c r="K827" s="133"/>
      <c r="L827" s="85"/>
      <c r="M827" s="135"/>
      <c r="N827" s="260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259"/>
      <c r="K828" s="133"/>
      <c r="L828" s="85"/>
      <c r="M828" s="135"/>
      <c r="N828" s="260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259"/>
      <c r="K829" s="133"/>
      <c r="L829" s="85"/>
      <c r="M829" s="135"/>
      <c r="N829" s="260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259"/>
      <c r="K830" s="133"/>
      <c r="L830" s="85"/>
      <c r="M830" s="135"/>
      <c r="N830" s="260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259"/>
      <c r="K831" s="133"/>
      <c r="L831" s="85"/>
      <c r="M831" s="135"/>
      <c r="N831" s="260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259"/>
      <c r="K832" s="133"/>
      <c r="L832" s="85"/>
      <c r="M832" s="135"/>
      <c r="N832" s="260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259"/>
      <c r="K833" s="133"/>
      <c r="L833" s="85"/>
      <c r="M833" s="135"/>
      <c r="N833" s="260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259"/>
      <c r="K834" s="133"/>
      <c r="L834" s="85"/>
      <c r="M834" s="135"/>
      <c r="N834" s="260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259"/>
      <c r="K835" s="133"/>
      <c r="L835" s="85"/>
      <c r="M835" s="135"/>
      <c r="N835" s="260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259"/>
      <c r="K836" s="133"/>
      <c r="L836" s="85"/>
      <c r="M836" s="135"/>
      <c r="N836" s="260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259"/>
      <c r="K837" s="133"/>
      <c r="L837" s="85"/>
      <c r="M837" s="135"/>
      <c r="N837" s="260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259"/>
      <c r="K838" s="133"/>
      <c r="L838" s="85"/>
      <c r="M838" s="135"/>
      <c r="N838" s="260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259"/>
      <c r="K839" s="133"/>
      <c r="L839" s="85"/>
      <c r="M839" s="135"/>
      <c r="N839" s="260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259"/>
      <c r="K840" s="133"/>
      <c r="L840" s="85"/>
      <c r="M840" s="135"/>
      <c r="N840" s="260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259"/>
      <c r="K841" s="133"/>
      <c r="L841" s="85"/>
      <c r="M841" s="135"/>
      <c r="N841" s="260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259"/>
      <c r="K842" s="133"/>
      <c r="L842" s="85"/>
      <c r="M842" s="135"/>
      <c r="N842" s="260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259"/>
      <c r="K843" s="133"/>
      <c r="L843" s="85"/>
      <c r="M843" s="135"/>
      <c r="N843" s="260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259"/>
      <c r="K844" s="133"/>
      <c r="L844" s="85"/>
      <c r="M844" s="135"/>
      <c r="N844" s="260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259"/>
      <c r="K845" s="133"/>
      <c r="L845" s="85"/>
      <c r="M845" s="135"/>
      <c r="N845" s="260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259"/>
      <c r="K846" s="133"/>
      <c r="L846" s="85"/>
      <c r="M846" s="135"/>
      <c r="N846" s="260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259"/>
      <c r="K847" s="133"/>
      <c r="L847" s="85"/>
      <c r="M847" s="135"/>
      <c r="N847" s="260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259"/>
      <c r="K848" s="133"/>
      <c r="L848" s="85"/>
      <c r="M848" s="135"/>
      <c r="N848" s="260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259"/>
      <c r="K849" s="133"/>
      <c r="L849" s="85"/>
      <c r="M849" s="135"/>
      <c r="N849" s="260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259"/>
      <c r="K850" s="133"/>
      <c r="L850" s="85"/>
      <c r="M850" s="135"/>
      <c r="N850" s="260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259"/>
      <c r="K851" s="133"/>
      <c r="L851" s="85"/>
      <c r="M851" s="135"/>
      <c r="N851" s="260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259"/>
      <c r="K852" s="133"/>
      <c r="L852" s="85"/>
      <c r="M852" s="135"/>
      <c r="N852" s="260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259"/>
      <c r="K853" s="133"/>
      <c r="L853" s="85"/>
      <c r="M853" s="135"/>
      <c r="N853" s="260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259"/>
      <c r="K854" s="133"/>
      <c r="L854" s="85"/>
      <c r="M854" s="135"/>
      <c r="N854" s="260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259"/>
      <c r="K855" s="133"/>
      <c r="L855" s="85"/>
      <c r="M855" s="135"/>
      <c r="N855" s="260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259"/>
      <c r="K856" s="133"/>
      <c r="L856" s="85"/>
      <c r="M856" s="135"/>
      <c r="N856" s="260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259"/>
      <c r="K857" s="133"/>
      <c r="L857" s="85"/>
      <c r="M857" s="135"/>
      <c r="N857" s="260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259"/>
      <c r="K858" s="133"/>
      <c r="L858" s="85"/>
      <c r="M858" s="135"/>
      <c r="N858" s="260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259"/>
      <c r="K859" s="133"/>
      <c r="L859" s="85"/>
      <c r="M859" s="135"/>
      <c r="N859" s="260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259"/>
      <c r="K860" s="133"/>
      <c r="L860" s="85"/>
      <c r="M860" s="135"/>
      <c r="N860" s="260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259"/>
      <c r="K861" s="133"/>
      <c r="L861" s="85"/>
      <c r="M861" s="135"/>
      <c r="N861" s="260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259"/>
      <c r="K862" s="133"/>
      <c r="L862" s="85"/>
      <c r="M862" s="135"/>
      <c r="N862" s="260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259"/>
      <c r="K863" s="133"/>
      <c r="L863" s="85"/>
      <c r="M863" s="135"/>
      <c r="N863" s="260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259"/>
      <c r="K864" s="133"/>
      <c r="L864" s="85"/>
      <c r="M864" s="135"/>
      <c r="N864" s="260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259"/>
      <c r="K865" s="133"/>
      <c r="L865" s="85"/>
      <c r="M865" s="135"/>
      <c r="N865" s="260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259"/>
      <c r="K866" s="133"/>
      <c r="L866" s="85"/>
      <c r="M866" s="135"/>
      <c r="N866" s="260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259"/>
      <c r="K867" s="133"/>
      <c r="L867" s="85"/>
      <c r="M867" s="135"/>
      <c r="N867" s="260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259"/>
      <c r="K868" s="133"/>
      <c r="L868" s="85"/>
      <c r="M868" s="135"/>
      <c r="N868" s="260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259"/>
      <c r="K869" s="133"/>
      <c r="L869" s="85"/>
      <c r="M869" s="135"/>
      <c r="N869" s="260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259"/>
      <c r="K870" s="133"/>
      <c r="L870" s="85"/>
      <c r="M870" s="135"/>
      <c r="N870" s="260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259"/>
      <c r="K871" s="133"/>
      <c r="L871" s="85"/>
      <c r="M871" s="135"/>
      <c r="N871" s="260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259"/>
      <c r="K872" s="133"/>
      <c r="L872" s="85"/>
      <c r="M872" s="135"/>
      <c r="N872" s="260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259"/>
      <c r="K873" s="133"/>
      <c r="L873" s="85"/>
      <c r="M873" s="135"/>
      <c r="N873" s="260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259"/>
      <c r="K874" s="133"/>
      <c r="L874" s="85"/>
      <c r="M874" s="135"/>
      <c r="N874" s="260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259"/>
      <c r="K875" s="133"/>
      <c r="L875" s="85"/>
      <c r="M875" s="135"/>
      <c r="N875" s="260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259"/>
      <c r="K876" s="133"/>
      <c r="L876" s="85"/>
      <c r="M876" s="135"/>
      <c r="N876" s="260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259"/>
      <c r="K877" s="133"/>
      <c r="L877" s="85"/>
      <c r="M877" s="135"/>
      <c r="N877" s="260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259"/>
      <c r="K878" s="133"/>
      <c r="L878" s="85"/>
      <c r="M878" s="135"/>
      <c r="N878" s="260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259"/>
      <c r="K879" s="133"/>
      <c r="L879" s="85"/>
      <c r="M879" s="135"/>
      <c r="N879" s="260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259"/>
      <c r="K880" s="133"/>
      <c r="L880" s="85"/>
      <c r="M880" s="135"/>
      <c r="N880" s="260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259"/>
      <c r="K881" s="133"/>
      <c r="L881" s="85"/>
      <c r="M881" s="135"/>
      <c r="N881" s="260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259"/>
      <c r="K882" s="133"/>
      <c r="L882" s="85"/>
      <c r="M882" s="135"/>
      <c r="N882" s="260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259"/>
      <c r="K883" s="133"/>
      <c r="L883" s="85"/>
      <c r="M883" s="135"/>
      <c r="N883" s="260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259"/>
      <c r="K884" s="133"/>
      <c r="L884" s="85"/>
      <c r="M884" s="135"/>
      <c r="N884" s="260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259"/>
      <c r="K885" s="133"/>
      <c r="L885" s="85"/>
      <c r="M885" s="135"/>
      <c r="N885" s="260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259"/>
      <c r="K886" s="133"/>
      <c r="L886" s="85"/>
      <c r="M886" s="135"/>
      <c r="N886" s="260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259"/>
      <c r="K887" s="133"/>
      <c r="L887" s="85"/>
      <c r="M887" s="135"/>
      <c r="N887" s="260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259"/>
      <c r="K888" s="133"/>
      <c r="L888" s="85"/>
      <c r="M888" s="135"/>
      <c r="N888" s="260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259"/>
      <c r="K889" s="133"/>
      <c r="L889" s="85"/>
      <c r="M889" s="135"/>
      <c r="N889" s="260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259"/>
      <c r="K890" s="133"/>
      <c r="L890" s="85"/>
      <c r="M890" s="135"/>
      <c r="N890" s="260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259"/>
      <c r="K891" s="133"/>
      <c r="L891" s="85"/>
      <c r="M891" s="135"/>
      <c r="N891" s="260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259"/>
      <c r="K892" s="133"/>
      <c r="L892" s="85"/>
      <c r="M892" s="135"/>
      <c r="N892" s="260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259"/>
      <c r="K893" s="133"/>
      <c r="L893" s="85"/>
      <c r="M893" s="135"/>
      <c r="N893" s="260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259"/>
      <c r="K894" s="133"/>
      <c r="L894" s="85"/>
      <c r="M894" s="135"/>
      <c r="N894" s="260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259"/>
      <c r="K895" s="133"/>
      <c r="L895" s="85"/>
      <c r="M895" s="135"/>
      <c r="N895" s="260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259"/>
      <c r="K896" s="133"/>
      <c r="L896" s="85"/>
      <c r="M896" s="135"/>
      <c r="N896" s="260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259"/>
      <c r="K897" s="133"/>
      <c r="L897" s="85"/>
      <c r="M897" s="135"/>
      <c r="N897" s="260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259"/>
      <c r="K898" s="133"/>
      <c r="L898" s="85"/>
      <c r="M898" s="135"/>
      <c r="N898" s="260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259"/>
      <c r="K899" s="133"/>
      <c r="L899" s="85"/>
      <c r="M899" s="135"/>
      <c r="N899" s="260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259"/>
      <c r="K900" s="133"/>
      <c r="L900" s="85"/>
      <c r="M900" s="135"/>
      <c r="N900" s="260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259"/>
      <c r="K901" s="133"/>
      <c r="L901" s="85"/>
      <c r="M901" s="135"/>
      <c r="N901" s="260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259"/>
      <c r="K902" s="133"/>
      <c r="L902" s="85"/>
      <c r="M902" s="135"/>
      <c r="N902" s="260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259"/>
      <c r="K903" s="133"/>
      <c r="L903" s="85"/>
      <c r="M903" s="135"/>
      <c r="N903" s="260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259"/>
      <c r="K904" s="133"/>
      <c r="L904" s="85"/>
      <c r="M904" s="135"/>
      <c r="N904" s="260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259"/>
      <c r="K905" s="133"/>
      <c r="L905" s="85"/>
      <c r="M905" s="135"/>
      <c r="N905" s="260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259"/>
      <c r="K906" s="133"/>
      <c r="L906" s="85"/>
      <c r="M906" s="135"/>
      <c r="N906" s="260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259"/>
      <c r="K907" s="133"/>
      <c r="L907" s="85"/>
      <c r="M907" s="135"/>
      <c r="N907" s="260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259"/>
      <c r="K908" s="133"/>
      <c r="L908" s="85"/>
      <c r="M908" s="135"/>
      <c r="N908" s="260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259"/>
      <c r="K909" s="133"/>
      <c r="L909" s="85"/>
      <c r="M909" s="135"/>
      <c r="N909" s="260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259"/>
      <c r="K910" s="133"/>
      <c r="L910" s="85"/>
      <c r="M910" s="135"/>
      <c r="N910" s="260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259"/>
      <c r="K911" s="133"/>
      <c r="L911" s="85"/>
      <c r="M911" s="135"/>
      <c r="N911" s="260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259"/>
      <c r="K912" s="133"/>
      <c r="L912" s="85"/>
      <c r="M912" s="135"/>
      <c r="N912" s="260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259"/>
      <c r="K913" s="133"/>
      <c r="L913" s="85"/>
      <c r="M913" s="135"/>
      <c r="N913" s="260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259"/>
      <c r="K914" s="133"/>
      <c r="L914" s="85"/>
      <c r="M914" s="135"/>
      <c r="N914" s="260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259"/>
      <c r="K915" s="133"/>
      <c r="L915" s="85"/>
      <c r="M915" s="135"/>
      <c r="N915" s="260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259"/>
      <c r="K916" s="133"/>
      <c r="L916" s="85"/>
      <c r="M916" s="135"/>
      <c r="N916" s="260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259"/>
      <c r="K917" s="133"/>
      <c r="L917" s="85"/>
      <c r="M917" s="135"/>
      <c r="N917" s="260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259"/>
      <c r="K918" s="133"/>
      <c r="L918" s="85"/>
      <c r="M918" s="135"/>
      <c r="N918" s="260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259"/>
      <c r="K919" s="133"/>
      <c r="L919" s="85"/>
      <c r="M919" s="135"/>
      <c r="N919" s="260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259"/>
      <c r="K920" s="133"/>
      <c r="L920" s="85"/>
      <c r="M920" s="135"/>
      <c r="N920" s="260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259"/>
      <c r="K921" s="133"/>
      <c r="L921" s="85"/>
      <c r="M921" s="135"/>
      <c r="N921" s="260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259"/>
      <c r="K922" s="133"/>
      <c r="L922" s="85"/>
      <c r="M922" s="135"/>
      <c r="N922" s="260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259"/>
      <c r="K923" s="133"/>
      <c r="L923" s="85"/>
      <c r="M923" s="135"/>
      <c r="N923" s="260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259"/>
      <c r="K924" s="133"/>
      <c r="L924" s="85"/>
      <c r="M924" s="135"/>
      <c r="N924" s="260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259"/>
      <c r="K925" s="133"/>
      <c r="L925" s="85"/>
      <c r="M925" s="135"/>
      <c r="N925" s="260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259"/>
      <c r="K926" s="133"/>
      <c r="L926" s="85"/>
      <c r="M926" s="135"/>
      <c r="N926" s="260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259"/>
      <c r="K927" s="133"/>
      <c r="L927" s="85"/>
      <c r="M927" s="135"/>
      <c r="N927" s="260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259"/>
      <c r="K928" s="133"/>
      <c r="L928" s="85"/>
      <c r="M928" s="135"/>
      <c r="N928" s="260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259"/>
      <c r="K929" s="133"/>
      <c r="L929" s="85"/>
      <c r="M929" s="135"/>
      <c r="N929" s="260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259"/>
      <c r="K930" s="133"/>
      <c r="L930" s="85"/>
      <c r="M930" s="135"/>
      <c r="N930" s="260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259"/>
      <c r="K931" s="133"/>
      <c r="L931" s="85"/>
      <c r="M931" s="135"/>
      <c r="N931" s="260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259"/>
      <c r="K932" s="133"/>
      <c r="L932" s="85"/>
      <c r="M932" s="135"/>
      <c r="N932" s="260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259"/>
      <c r="K933" s="133"/>
      <c r="L933" s="85"/>
      <c r="M933" s="135"/>
      <c r="N933" s="260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259"/>
      <c r="K934" s="133"/>
      <c r="L934" s="85"/>
      <c r="M934" s="135"/>
      <c r="N934" s="260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259"/>
      <c r="K935" s="133"/>
      <c r="L935" s="85"/>
      <c r="M935" s="135"/>
      <c r="N935" s="260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259"/>
      <c r="K936" s="133"/>
      <c r="L936" s="85"/>
      <c r="M936" s="135"/>
      <c r="N936" s="260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259"/>
      <c r="K937" s="133"/>
      <c r="L937" s="85"/>
      <c r="M937" s="135"/>
      <c r="N937" s="260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259"/>
      <c r="K938" s="133"/>
      <c r="L938" s="85"/>
      <c r="M938" s="135"/>
      <c r="N938" s="260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259"/>
      <c r="K939" s="133"/>
      <c r="L939" s="85"/>
      <c r="M939" s="135"/>
      <c r="N939" s="260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259"/>
      <c r="K940" s="133"/>
      <c r="L940" s="85"/>
      <c r="M940" s="135"/>
      <c r="N940" s="260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259"/>
      <c r="K941" s="133"/>
      <c r="L941" s="85"/>
      <c r="M941" s="135"/>
      <c r="N941" s="260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259"/>
      <c r="K942" s="133"/>
      <c r="L942" s="85"/>
      <c r="M942" s="135"/>
      <c r="N942" s="260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259"/>
      <c r="K943" s="133"/>
      <c r="L943" s="85"/>
      <c r="M943" s="135"/>
      <c r="N943" s="260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259"/>
      <c r="K944" s="133"/>
      <c r="L944" s="85"/>
      <c r="M944" s="135"/>
      <c r="N944" s="260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259"/>
      <c r="K945" s="133"/>
      <c r="L945" s="85"/>
      <c r="M945" s="135"/>
      <c r="N945" s="260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259"/>
      <c r="K946" s="133"/>
      <c r="L946" s="85"/>
      <c r="M946" s="135"/>
      <c r="N946" s="260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259"/>
      <c r="K947" s="133"/>
      <c r="L947" s="85"/>
      <c r="M947" s="135"/>
      <c r="N947" s="260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259"/>
      <c r="K948" s="133"/>
      <c r="L948" s="85"/>
      <c r="M948" s="135"/>
      <c r="N948" s="260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259"/>
      <c r="K949" s="133"/>
      <c r="L949" s="85"/>
      <c r="M949" s="135"/>
      <c r="N949" s="260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259"/>
      <c r="K950" s="133"/>
      <c r="L950" s="85"/>
      <c r="M950" s="135"/>
      <c r="N950" s="260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259"/>
      <c r="K951" s="133"/>
      <c r="L951" s="85"/>
      <c r="M951" s="135"/>
      <c r="N951" s="260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259"/>
      <c r="K952" s="133"/>
      <c r="L952" s="85"/>
      <c r="M952" s="135"/>
      <c r="N952" s="260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259"/>
      <c r="K953" s="133"/>
      <c r="L953" s="85"/>
      <c r="M953" s="135"/>
      <c r="N953" s="260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259"/>
      <c r="K954" s="133"/>
      <c r="L954" s="85"/>
      <c r="M954" s="135"/>
      <c r="N954" s="260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259"/>
      <c r="K955" s="133"/>
      <c r="L955" s="85"/>
      <c r="M955" s="135"/>
      <c r="N955" s="260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259"/>
      <c r="K956" s="133"/>
      <c r="L956" s="85"/>
      <c r="M956" s="135"/>
      <c r="N956" s="260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259"/>
      <c r="K957" s="133"/>
      <c r="L957" s="85"/>
      <c r="M957" s="135"/>
      <c r="N957" s="260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259"/>
      <c r="K958" s="133"/>
      <c r="L958" s="85"/>
      <c r="M958" s="135"/>
      <c r="N958" s="260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259"/>
      <c r="K959" s="133"/>
      <c r="L959" s="85"/>
      <c r="M959" s="135"/>
      <c r="N959" s="260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259"/>
      <c r="K960" s="133"/>
      <c r="L960" s="85"/>
      <c r="M960" s="135"/>
      <c r="N960" s="260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259"/>
      <c r="K961" s="133"/>
      <c r="L961" s="85"/>
      <c r="M961" s="135"/>
      <c r="N961" s="260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259"/>
      <c r="K962" s="133"/>
      <c r="L962" s="85"/>
      <c r="M962" s="135"/>
      <c r="N962" s="260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259"/>
      <c r="K963" s="133"/>
      <c r="L963" s="85"/>
      <c r="M963" s="135"/>
      <c r="N963" s="260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259"/>
      <c r="K964" s="133"/>
      <c r="L964" s="85"/>
      <c r="M964" s="135"/>
      <c r="N964" s="260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259"/>
      <c r="K965" s="133"/>
      <c r="L965" s="85"/>
      <c r="M965" s="135"/>
      <c r="N965" s="260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259"/>
      <c r="K966" s="133"/>
      <c r="L966" s="85"/>
      <c r="M966" s="135"/>
      <c r="N966" s="260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259"/>
      <c r="K967" s="133"/>
      <c r="L967" s="85"/>
      <c r="M967" s="135"/>
      <c r="N967" s="260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259"/>
      <c r="K968" s="133"/>
      <c r="L968" s="85"/>
      <c r="M968" s="135"/>
      <c r="N968" s="260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259"/>
      <c r="K969" s="133"/>
      <c r="L969" s="85"/>
      <c r="M969" s="135"/>
      <c r="N969" s="260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259"/>
      <c r="K970" s="133"/>
      <c r="L970" s="85"/>
      <c r="M970" s="135"/>
      <c r="N970" s="260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259"/>
      <c r="K971" s="133"/>
      <c r="L971" s="85"/>
      <c r="M971" s="135"/>
      <c r="N971" s="260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259"/>
      <c r="K972" s="133"/>
      <c r="L972" s="85"/>
      <c r="M972" s="135"/>
      <c r="N972" s="260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259"/>
      <c r="K973" s="133"/>
      <c r="L973" s="85"/>
      <c r="M973" s="135"/>
      <c r="N973" s="260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259"/>
      <c r="K974" s="133"/>
      <c r="L974" s="85"/>
      <c r="M974" s="135"/>
      <c r="N974" s="260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259"/>
      <c r="K975" s="133"/>
      <c r="L975" s="85"/>
      <c r="M975" s="135"/>
      <c r="N975" s="260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259"/>
      <c r="K976" s="133"/>
      <c r="L976" s="85"/>
      <c r="M976" s="135"/>
      <c r="N976" s="260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259"/>
      <c r="K977" s="133"/>
      <c r="L977" s="85"/>
      <c r="M977" s="135"/>
      <c r="N977" s="260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259"/>
      <c r="K978" s="133"/>
      <c r="L978" s="85"/>
      <c r="M978" s="135"/>
      <c r="N978" s="260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259"/>
      <c r="K979" s="133"/>
      <c r="L979" s="85"/>
      <c r="M979" s="135"/>
      <c r="N979" s="260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259"/>
      <c r="K980" s="133"/>
      <c r="L980" s="85"/>
      <c r="M980" s="135"/>
      <c r="N980" s="260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259"/>
      <c r="K981" s="133"/>
      <c r="L981" s="85"/>
      <c r="M981" s="135"/>
      <c r="N981" s="260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259"/>
      <c r="K982" s="133"/>
      <c r="L982" s="85"/>
      <c r="M982" s="135"/>
      <c r="N982" s="260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259"/>
      <c r="K983" s="133"/>
      <c r="L983" s="85"/>
      <c r="M983" s="135"/>
      <c r="N983" s="260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259"/>
      <c r="K984" s="133"/>
      <c r="L984" s="85"/>
      <c r="M984" s="135"/>
      <c r="N984" s="260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259"/>
      <c r="K985" s="133"/>
      <c r="L985" s="85"/>
      <c r="M985" s="135"/>
      <c r="N985" s="260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259"/>
      <c r="K986" s="133"/>
      <c r="L986" s="85"/>
      <c r="M986" s="135"/>
      <c r="N986" s="260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259"/>
      <c r="K987" s="133"/>
      <c r="L987" s="85"/>
      <c r="M987" s="135"/>
      <c r="N987" s="260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259"/>
      <c r="K988" s="133"/>
      <c r="L988" s="85"/>
      <c r="M988" s="135"/>
      <c r="N988" s="260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259"/>
      <c r="K989" s="133"/>
      <c r="L989" s="85"/>
      <c r="M989" s="135"/>
      <c r="N989" s="260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259"/>
      <c r="K990" s="133"/>
      <c r="L990" s="85"/>
      <c r="M990" s="135"/>
      <c r="N990" s="260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259"/>
      <c r="K991" s="133"/>
      <c r="L991" s="85"/>
      <c r="M991" s="135"/>
      <c r="N991" s="260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259"/>
      <c r="K992" s="133"/>
      <c r="L992" s="85"/>
      <c r="M992" s="135"/>
      <c r="N992" s="260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259"/>
      <c r="K993" s="133"/>
      <c r="L993" s="85"/>
      <c r="M993" s="135"/>
      <c r="N993" s="260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259"/>
      <c r="K994" s="133"/>
      <c r="L994" s="85"/>
      <c r="M994" s="135"/>
      <c r="N994" s="260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259"/>
      <c r="K995" s="133"/>
      <c r="L995" s="85"/>
      <c r="M995" s="135"/>
      <c r="N995" s="260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259"/>
      <c r="K996" s="133"/>
      <c r="L996" s="85"/>
      <c r="M996" s="135"/>
      <c r="N996" s="260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259"/>
      <c r="K997" s="133"/>
      <c r="L997" s="85"/>
      <c r="M997" s="135"/>
      <c r="N997" s="260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259"/>
      <c r="K998" s="133"/>
      <c r="L998" s="85"/>
      <c r="M998" s="135"/>
      <c r="N998" s="260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259"/>
      <c r="K999" s="133"/>
      <c r="L999" s="85"/>
      <c r="M999" s="135"/>
      <c r="N999" s="260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259"/>
      <c r="K1000" s="133"/>
      <c r="L1000" s="85"/>
      <c r="M1000" s="135"/>
      <c r="N1000" s="260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1" t="s">
        <v>0</v>
      </c>
      <c r="B1" s="2"/>
      <c r="C1" s="3" t="s">
        <v>2072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257"/>
      <c r="K2" s="11"/>
      <c r="L2" s="11"/>
      <c r="M2" s="13"/>
      <c r="N2" s="258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259"/>
      <c r="K3" s="16"/>
      <c r="L3" s="16"/>
      <c r="M3" s="18"/>
      <c r="N3" s="260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2235</v>
      </c>
      <c r="D4" s="21"/>
      <c r="E4" s="20"/>
      <c r="F4" s="21"/>
      <c r="G4" s="23" t="s">
        <v>2236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6"/>
      <c r="T5" s="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261" t="s">
        <v>2233</v>
      </c>
      <c r="K6" s="47" t="s">
        <v>12</v>
      </c>
      <c r="L6" s="48" t="s">
        <v>13</v>
      </c>
      <c r="M6" s="49" t="s">
        <v>10</v>
      </c>
      <c r="N6" s="262" t="s">
        <v>2233</v>
      </c>
      <c r="O6" s="51" t="s">
        <v>12</v>
      </c>
      <c r="P6" s="51" t="s">
        <v>13</v>
      </c>
      <c r="Q6" s="30"/>
      <c r="R6" s="39"/>
      <c r="S6" s="6"/>
      <c r="T6" s="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261</v>
      </c>
      <c r="D7" s="54" t="s">
        <v>16</v>
      </c>
      <c r="E7" s="29"/>
      <c r="F7" s="30"/>
      <c r="G7" s="55">
        <v>1.0</v>
      </c>
      <c r="H7" s="241">
        <v>45566.0</v>
      </c>
      <c r="I7" s="57" t="s">
        <v>2075</v>
      </c>
      <c r="J7" s="263">
        <f>'9月微信备用金'!C25</f>
        <v>2086.86</v>
      </c>
      <c r="K7" s="59"/>
      <c r="L7" s="60"/>
      <c r="M7" s="61"/>
      <c r="N7" s="264"/>
      <c r="O7" s="63"/>
      <c r="P7" s="205"/>
      <c r="Q7" s="41"/>
      <c r="R7" s="39"/>
      <c r="S7" s="6"/>
      <c r="T7" s="27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45575.0</v>
      </c>
      <c r="I8" s="68"/>
      <c r="J8" s="265"/>
      <c r="K8" s="70"/>
      <c r="L8" s="88"/>
      <c r="M8" s="72" t="s">
        <v>20</v>
      </c>
      <c r="N8" s="266">
        <v>43.15</v>
      </c>
      <c r="O8" s="74" t="s">
        <v>2237</v>
      </c>
      <c r="P8" s="75">
        <v>0.4708333333333333</v>
      </c>
      <c r="Q8" s="41"/>
      <c r="R8" s="39"/>
      <c r="S8" s="6"/>
      <c r="T8" s="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2086.86</v>
      </c>
      <c r="D9" s="30"/>
      <c r="E9" s="29"/>
      <c r="F9" s="30"/>
      <c r="G9" s="66">
        <v>3.0</v>
      </c>
      <c r="H9" s="153">
        <v>45579.0</v>
      </c>
      <c r="I9" s="68"/>
      <c r="J9" s="265"/>
      <c r="K9" s="70"/>
      <c r="L9" s="88"/>
      <c r="M9" s="72" t="s">
        <v>2234</v>
      </c>
      <c r="N9" s="266">
        <f>2043.71</f>
        <v>2043.71</v>
      </c>
      <c r="O9" s="72"/>
      <c r="P9" s="94"/>
      <c r="Q9" s="41"/>
      <c r="R9" s="39"/>
      <c r="S9" s="27"/>
      <c r="T9" s="27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/>
      <c r="I10" s="84"/>
      <c r="J10" s="259"/>
      <c r="K10" s="85"/>
      <c r="L10" s="86"/>
      <c r="M10" s="72"/>
      <c r="N10" s="266"/>
      <c r="O10" s="74"/>
      <c r="P10" s="94"/>
      <c r="Q10" s="41"/>
      <c r="R10" s="39"/>
      <c r="S10" s="6"/>
      <c r="T10" s="6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2086.86</v>
      </c>
      <c r="D11" s="30"/>
      <c r="E11" s="29"/>
      <c r="F11" s="30"/>
      <c r="G11" s="66">
        <v>5.0</v>
      </c>
      <c r="H11" s="153"/>
      <c r="I11" s="68"/>
      <c r="J11" s="265"/>
      <c r="K11" s="87"/>
      <c r="L11" s="71"/>
      <c r="M11" s="72"/>
      <c r="N11" s="266"/>
      <c r="O11" s="72"/>
      <c r="P11" s="94"/>
      <c r="Q11" s="41"/>
      <c r="R11" s="39"/>
      <c r="S11" s="6"/>
      <c r="T11" s="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/>
      <c r="I12" s="68"/>
      <c r="J12" s="265"/>
      <c r="K12" s="87"/>
      <c r="L12" s="71"/>
      <c r="M12" s="72"/>
      <c r="N12" s="266"/>
      <c r="O12" s="72"/>
      <c r="P12" s="94"/>
      <c r="Q12" s="41"/>
      <c r="R12" s="39"/>
      <c r="S12" s="6"/>
      <c r="T12" s="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0</v>
      </c>
      <c r="D13" s="30"/>
      <c r="E13" s="29"/>
      <c r="F13" s="30"/>
      <c r="G13" s="66">
        <v>7.0</v>
      </c>
      <c r="H13" s="153"/>
      <c r="I13" s="68"/>
      <c r="J13" s="265"/>
      <c r="K13" s="87"/>
      <c r="L13" s="71"/>
      <c r="M13" s="72"/>
      <c r="N13" s="266"/>
      <c r="O13" s="72"/>
      <c r="P13" s="94"/>
      <c r="Q13" s="41"/>
      <c r="R13" s="39"/>
      <c r="S13" s="27"/>
      <c r="T13" s="27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/>
      <c r="I14" s="84"/>
      <c r="J14" s="259"/>
      <c r="K14" s="85"/>
      <c r="L14" s="86"/>
      <c r="M14" s="72"/>
      <c r="N14" s="266"/>
      <c r="O14" s="72"/>
      <c r="P14" s="94"/>
      <c r="Q14" s="41"/>
      <c r="R14" s="39"/>
      <c r="S14" s="6"/>
      <c r="T14" s="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/>
      <c r="I15" s="68"/>
      <c r="J15" s="265"/>
      <c r="K15" s="87"/>
      <c r="L15" s="71"/>
      <c r="M15" s="72"/>
      <c r="N15" s="266"/>
      <c r="O15" s="72"/>
      <c r="P15" s="94"/>
      <c r="Q15" s="41"/>
      <c r="R15" s="39"/>
      <c r="S15" s="6"/>
      <c r="T15" s="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/>
      <c r="I16" s="154"/>
      <c r="J16" s="259"/>
      <c r="K16" s="92"/>
      <c r="L16" s="173"/>
      <c r="M16" s="72"/>
      <c r="N16" s="266"/>
      <c r="O16" s="72"/>
      <c r="P16" s="94"/>
      <c r="Q16" s="41"/>
      <c r="R16" s="39"/>
      <c r="S16" s="27"/>
      <c r="T16" s="27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/>
      <c r="I17" s="154"/>
      <c r="J17" s="259"/>
      <c r="K17" s="92"/>
      <c r="L17" s="173"/>
      <c r="M17" s="72"/>
      <c r="N17" s="266"/>
      <c r="O17" s="74"/>
      <c r="P17" s="94"/>
      <c r="Q17" s="41"/>
      <c r="R17" s="39"/>
      <c r="S17" s="6"/>
      <c r="T17" s="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/>
      <c r="I18" s="154"/>
      <c r="J18" s="259"/>
      <c r="K18" s="92"/>
      <c r="L18" s="173"/>
      <c r="M18" s="72"/>
      <c r="N18" s="266"/>
      <c r="O18" s="72"/>
      <c r="P18" s="94"/>
      <c r="Q18" s="41"/>
      <c r="R18" s="39"/>
      <c r="S18" s="6"/>
      <c r="T18" s="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/>
      <c r="I19" s="154"/>
      <c r="J19" s="259"/>
      <c r="K19" s="93"/>
      <c r="L19" s="155"/>
      <c r="M19" s="72"/>
      <c r="N19" s="266"/>
      <c r="O19" s="74"/>
      <c r="P19" s="94"/>
      <c r="Q19" s="41"/>
      <c r="R19" s="39"/>
      <c r="S19" s="27"/>
      <c r="T19" s="27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/>
      <c r="I20" s="154"/>
      <c r="J20" s="259"/>
      <c r="K20" s="93"/>
      <c r="L20" s="155"/>
      <c r="M20" s="72"/>
      <c r="N20" s="266"/>
      <c r="O20" s="72"/>
      <c r="P20" s="94"/>
      <c r="Q20" s="41"/>
      <c r="R20" s="39"/>
      <c r="S20" s="6"/>
      <c r="T20" s="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2086.86</v>
      </c>
      <c r="D21" s="30"/>
      <c r="E21" s="29"/>
      <c r="F21" s="30"/>
      <c r="G21" s="66">
        <v>15.0</v>
      </c>
      <c r="H21" s="153"/>
      <c r="I21" s="154"/>
      <c r="J21" s="259"/>
      <c r="K21" s="93"/>
      <c r="L21" s="155"/>
      <c r="M21" s="72"/>
      <c r="N21" s="266"/>
      <c r="O21" s="72"/>
      <c r="P21" s="94"/>
      <c r="Q21" s="41"/>
      <c r="R21" s="39"/>
      <c r="S21" s="6"/>
      <c r="T21" s="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/>
      <c r="I22" s="68"/>
      <c r="J22" s="265"/>
      <c r="K22" s="93"/>
      <c r="L22" s="88"/>
      <c r="M22" s="72"/>
      <c r="N22" s="260"/>
      <c r="O22" s="74"/>
      <c r="P22" s="75"/>
      <c r="Q22" s="41"/>
      <c r="R22" s="39"/>
      <c r="S22" s="27"/>
      <c r="T22" s="27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2086.86</v>
      </c>
      <c r="D23" s="30"/>
      <c r="E23" s="29"/>
      <c r="F23" s="30"/>
      <c r="G23" s="66">
        <v>17.0</v>
      </c>
      <c r="H23" s="153"/>
      <c r="I23" s="68"/>
      <c r="J23" s="265"/>
      <c r="K23" s="87"/>
      <c r="L23" s="71"/>
      <c r="M23" s="72"/>
      <c r="N23" s="266"/>
      <c r="O23" s="72"/>
      <c r="P23" s="94"/>
      <c r="Q23" s="41"/>
      <c r="R23" s="39"/>
      <c r="S23" s="6"/>
      <c r="T23" s="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/>
      <c r="I24" s="68"/>
      <c r="J24" s="265"/>
      <c r="K24" s="85"/>
      <c r="L24" s="86"/>
      <c r="M24" s="72"/>
      <c r="N24" s="266"/>
      <c r="O24" s="74"/>
      <c r="P24" s="94"/>
      <c r="Q24" s="41"/>
      <c r="R24" s="39"/>
      <c r="S24" s="6"/>
      <c r="T24" s="6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0</v>
      </c>
      <c r="D25" s="30"/>
      <c r="E25" s="29"/>
      <c r="F25" s="30"/>
      <c r="G25" s="66">
        <v>19.0</v>
      </c>
      <c r="H25" s="153"/>
      <c r="I25" s="68"/>
      <c r="J25" s="265"/>
      <c r="K25" s="70"/>
      <c r="L25" s="88"/>
      <c r="M25" s="72"/>
      <c r="N25" s="266"/>
      <c r="O25" s="72"/>
      <c r="P25" s="94"/>
      <c r="Q25" s="41"/>
      <c r="R25" s="39"/>
      <c r="S25" s="27"/>
      <c r="T25" s="27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/>
      <c r="I26" s="68"/>
      <c r="J26" s="265"/>
      <c r="K26" s="70"/>
      <c r="L26" s="71"/>
      <c r="M26" s="72"/>
      <c r="N26" s="266"/>
      <c r="O26" s="74"/>
      <c r="P26" s="94"/>
      <c r="Q26" s="41"/>
      <c r="R26" s="39"/>
      <c r="S26" s="6"/>
      <c r="T26" s="6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/>
      <c r="I27" s="68"/>
      <c r="J27" s="265"/>
      <c r="K27" s="70"/>
      <c r="L27" s="71"/>
      <c r="M27" s="72"/>
      <c r="N27" s="266"/>
      <c r="O27" s="74"/>
      <c r="P27" s="75"/>
      <c r="Q27" s="41"/>
      <c r="R27" s="39"/>
      <c r="S27" s="6"/>
      <c r="T27" s="6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/>
      <c r="I28" s="68"/>
      <c r="J28" s="265"/>
      <c r="K28" s="85"/>
      <c r="L28" s="86"/>
      <c r="M28" s="72"/>
      <c r="N28" s="266"/>
      <c r="O28" s="74"/>
      <c r="P28" s="75"/>
      <c r="Q28" s="41"/>
      <c r="R28" s="39"/>
      <c r="S28" s="27"/>
      <c r="T28" s="27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265"/>
      <c r="K29" s="70"/>
      <c r="L29" s="71"/>
      <c r="M29" s="72"/>
      <c r="N29" s="266"/>
      <c r="O29" s="74"/>
      <c r="P29" s="75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265"/>
      <c r="K30" s="85"/>
      <c r="L30" s="86"/>
      <c r="M30" s="72"/>
      <c r="N30" s="266"/>
      <c r="O30" s="74"/>
      <c r="P30" s="75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265"/>
      <c r="K31" s="70"/>
      <c r="L31" s="88"/>
      <c r="M31" s="72"/>
      <c r="N31" s="266"/>
      <c r="O31" s="74"/>
      <c r="P31" s="75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259"/>
      <c r="K32" s="85"/>
      <c r="L32" s="86"/>
      <c r="M32" s="72"/>
      <c r="N32" s="266"/>
      <c r="O32" s="74"/>
      <c r="P32" s="75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265"/>
      <c r="K33" s="70"/>
      <c r="L33" s="71"/>
      <c r="M33" s="72"/>
      <c r="N33" s="266"/>
      <c r="O33" s="74"/>
      <c r="P33" s="75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265"/>
      <c r="K34" s="87"/>
      <c r="L34" s="71"/>
      <c r="M34" s="72"/>
      <c r="N34" s="266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265"/>
      <c r="K35" s="85"/>
      <c r="L35" s="71"/>
      <c r="M35" s="72"/>
      <c r="N35" s="266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84"/>
      <c r="J36" s="259"/>
      <c r="K36" s="85"/>
      <c r="L36" s="86"/>
      <c r="M36" s="72"/>
      <c r="N36" s="266"/>
      <c r="O36" s="74"/>
      <c r="P36" s="75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265"/>
      <c r="K37" s="85"/>
      <c r="L37" s="86"/>
      <c r="M37" s="72"/>
      <c r="N37" s="266"/>
      <c r="O37" s="74"/>
      <c r="P37" s="75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265"/>
      <c r="K38" s="85"/>
      <c r="L38" s="86"/>
      <c r="M38" s="72"/>
      <c r="N38" s="266"/>
      <c r="O38" s="74"/>
      <c r="P38" s="75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265"/>
      <c r="K39" s="70"/>
      <c r="L39" s="88"/>
      <c r="M39" s="72"/>
      <c r="N39" s="266"/>
      <c r="O39" s="74"/>
      <c r="P39" s="75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265"/>
      <c r="K40" s="70"/>
      <c r="L40" s="88"/>
      <c r="M40" s="72"/>
      <c r="N40" s="266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265"/>
      <c r="K41" s="70"/>
      <c r="L41" s="88"/>
      <c r="M41" s="72"/>
      <c r="N41" s="266"/>
      <c r="O41" s="74"/>
      <c r="P41" s="75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265"/>
      <c r="K42" s="70"/>
      <c r="L42" s="88"/>
      <c r="M42" s="72"/>
      <c r="N42" s="266"/>
      <c r="O42" s="74"/>
      <c r="P42" s="75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265"/>
      <c r="K43" s="87"/>
      <c r="L43" s="71"/>
      <c r="M43" s="72"/>
      <c r="N43" s="266"/>
      <c r="O43" s="74"/>
      <c r="P43" s="75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259"/>
      <c r="K44" s="85"/>
      <c r="L44" s="86"/>
      <c r="M44" s="72"/>
      <c r="N44" s="266"/>
      <c r="O44" s="74"/>
      <c r="P44" s="75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265"/>
      <c r="K45" s="85"/>
      <c r="L45" s="86"/>
      <c r="M45" s="72"/>
      <c r="N45" s="266"/>
      <c r="O45" s="74"/>
      <c r="P45" s="75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84"/>
      <c r="J46" s="259"/>
      <c r="K46" s="85"/>
      <c r="L46" s="86"/>
      <c r="M46" s="72"/>
      <c r="N46" s="266"/>
      <c r="O46" s="74"/>
      <c r="P46" s="75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265"/>
      <c r="K47" s="70"/>
      <c r="L47" s="71"/>
      <c r="M47" s="72"/>
      <c r="N47" s="266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265"/>
      <c r="K48" s="87"/>
      <c r="L48" s="71"/>
      <c r="M48" s="72"/>
      <c r="N48" s="266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265"/>
      <c r="K49" s="85"/>
      <c r="L49" s="71"/>
      <c r="M49" s="147"/>
      <c r="N49" s="266"/>
      <c r="O49" s="126"/>
      <c r="P49" s="75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265"/>
      <c r="K50" s="85"/>
      <c r="L50" s="71"/>
      <c r="M50" s="72"/>
      <c r="N50" s="266"/>
      <c r="O50" s="74"/>
      <c r="P50" s="94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265"/>
      <c r="K51" s="87"/>
      <c r="L51" s="71"/>
      <c r="M51" s="147"/>
      <c r="N51" s="266"/>
      <c r="O51" s="126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265"/>
      <c r="K52" s="87"/>
      <c r="L52" s="71"/>
      <c r="M52" s="72"/>
      <c r="N52" s="266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265"/>
      <c r="K53" s="70"/>
      <c r="L53" s="88"/>
      <c r="M53" s="72"/>
      <c r="N53" s="266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259"/>
      <c r="K54" s="85"/>
      <c r="L54" s="86"/>
      <c r="M54" s="72"/>
      <c r="N54" s="266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265"/>
      <c r="K55" s="87"/>
      <c r="L55" s="71"/>
      <c r="M55" s="72"/>
      <c r="N55" s="266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265"/>
      <c r="K56" s="87"/>
      <c r="L56" s="71"/>
      <c r="M56" s="72"/>
      <c r="N56" s="266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265"/>
      <c r="K57" s="70"/>
      <c r="L57" s="71"/>
      <c r="M57" s="72"/>
      <c r="N57" s="266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265"/>
      <c r="K58" s="87"/>
      <c r="L58" s="71"/>
      <c r="M58" s="147"/>
      <c r="N58" s="266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265"/>
      <c r="K59" s="85"/>
      <c r="L59" s="71"/>
      <c r="M59" s="72"/>
      <c r="N59" s="266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265"/>
      <c r="K60" s="85"/>
      <c r="L60" s="71"/>
      <c r="M60" s="72"/>
      <c r="N60" s="266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265"/>
      <c r="K61" s="85"/>
      <c r="L61" s="71"/>
      <c r="M61" s="72"/>
      <c r="N61" s="266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265"/>
      <c r="K62" s="87"/>
      <c r="L62" s="71"/>
      <c r="M62" s="147"/>
      <c r="N62" s="266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265"/>
      <c r="K63" s="87"/>
      <c r="L63" s="71"/>
      <c r="M63" s="72"/>
      <c r="N63" s="266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265"/>
      <c r="K64" s="87"/>
      <c r="L64" s="71"/>
      <c r="M64" s="72"/>
      <c r="N64" s="266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265"/>
      <c r="K65" s="70"/>
      <c r="L65" s="88"/>
      <c r="M65" s="72"/>
      <c r="N65" s="266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265"/>
      <c r="K66" s="70"/>
      <c r="L66" s="88"/>
      <c r="M66" s="147"/>
      <c r="N66" s="266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265"/>
      <c r="K67" s="87"/>
      <c r="L67" s="71"/>
      <c r="M67" s="147"/>
      <c r="N67" s="266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259"/>
      <c r="K68" s="85"/>
      <c r="L68" s="86"/>
      <c r="M68" s="147"/>
      <c r="N68" s="266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265"/>
      <c r="K69" s="85"/>
      <c r="L69" s="71"/>
      <c r="M69" s="72"/>
      <c r="N69" s="266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265"/>
      <c r="K70" s="70"/>
      <c r="L70" s="71"/>
      <c r="M70" s="72"/>
      <c r="N70" s="266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265"/>
      <c r="K71" s="87"/>
      <c r="L71" s="71"/>
      <c r="M71" s="72"/>
      <c r="N71" s="266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265"/>
      <c r="K72" s="85"/>
      <c r="L72" s="71"/>
      <c r="M72" s="147"/>
      <c r="N72" s="266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265"/>
      <c r="K73" s="93"/>
      <c r="L73" s="71"/>
      <c r="M73" s="72"/>
      <c r="N73" s="266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265"/>
      <c r="K74" s="87"/>
      <c r="L74" s="71"/>
      <c r="M74" s="72"/>
      <c r="N74" s="266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265"/>
      <c r="K75" s="87"/>
      <c r="L75" s="71"/>
      <c r="M75" s="72"/>
      <c r="N75" s="266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265"/>
      <c r="K76" s="85"/>
      <c r="L76" s="71"/>
      <c r="M76" s="72"/>
      <c r="N76" s="266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265"/>
      <c r="K77" s="87"/>
      <c r="L77" s="71"/>
      <c r="M77" s="147"/>
      <c r="N77" s="266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265"/>
      <c r="K78" s="87"/>
      <c r="L78" s="71"/>
      <c r="M78" s="72"/>
      <c r="N78" s="266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265"/>
      <c r="K79" s="70"/>
      <c r="L79" s="71"/>
      <c r="M79" s="147"/>
      <c r="N79" s="266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259"/>
      <c r="K80" s="92"/>
      <c r="L80" s="173"/>
      <c r="M80" s="72"/>
      <c r="N80" s="266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265"/>
      <c r="K81" s="87"/>
      <c r="L81" s="71"/>
      <c r="M81" s="72"/>
      <c r="N81" s="266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265"/>
      <c r="K82" s="87"/>
      <c r="L82" s="71"/>
      <c r="M82" s="147"/>
      <c r="N82" s="266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265"/>
      <c r="K83" s="87"/>
      <c r="L83" s="71"/>
      <c r="M83" s="72"/>
      <c r="N83" s="266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265"/>
      <c r="K84" s="70"/>
      <c r="L84" s="88"/>
      <c r="M84" s="72"/>
      <c r="N84" s="266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265"/>
      <c r="K85" s="70"/>
      <c r="L85" s="71"/>
      <c r="M85" s="147"/>
      <c r="N85" s="266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265"/>
      <c r="K86" s="85"/>
      <c r="L86" s="71"/>
      <c r="M86" s="147"/>
      <c r="N86" s="266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265"/>
      <c r="K87" s="85"/>
      <c r="L87" s="71"/>
      <c r="M87" s="72"/>
      <c r="N87" s="266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265"/>
      <c r="K88" s="85"/>
      <c r="L88" s="71"/>
      <c r="M88" s="147"/>
      <c r="N88" s="266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265"/>
      <c r="K89" s="70"/>
      <c r="L89" s="88"/>
      <c r="M89" s="147"/>
      <c r="N89" s="266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259"/>
      <c r="K90" s="85"/>
      <c r="L90" s="86"/>
      <c r="M90" s="72"/>
      <c r="N90" s="266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265"/>
      <c r="K91" s="87"/>
      <c r="L91" s="71"/>
      <c r="M91" s="72"/>
      <c r="N91" s="266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259"/>
      <c r="K92" s="85"/>
      <c r="L92" s="86"/>
      <c r="M92" s="72"/>
      <c r="N92" s="266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265"/>
      <c r="K93" s="70"/>
      <c r="L93" s="88"/>
      <c r="M93" s="147"/>
      <c r="N93" s="266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265"/>
      <c r="K94" s="70"/>
      <c r="L94" s="71"/>
      <c r="M94" s="147"/>
      <c r="N94" s="266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265"/>
      <c r="K95" s="87"/>
      <c r="L95" s="71"/>
      <c r="M95" s="147"/>
      <c r="N95" s="266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265"/>
      <c r="K96" s="87"/>
      <c r="L96" s="71"/>
      <c r="M96" s="72"/>
      <c r="N96" s="266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259"/>
      <c r="K97" s="85"/>
      <c r="L97" s="86"/>
      <c r="M97" s="72"/>
      <c r="N97" s="266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259"/>
      <c r="K98" s="85"/>
      <c r="L98" s="86"/>
      <c r="M98" s="147"/>
      <c r="N98" s="266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259"/>
      <c r="K99" s="92"/>
      <c r="L99" s="173"/>
      <c r="M99" s="72"/>
      <c r="N99" s="266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259"/>
      <c r="K100" s="85"/>
      <c r="L100" s="86"/>
      <c r="M100" s="72"/>
      <c r="N100" s="266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259"/>
      <c r="K101" s="87"/>
      <c r="L101" s="71"/>
      <c r="M101" s="147"/>
      <c r="N101" s="266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265"/>
      <c r="K102" s="87"/>
      <c r="L102" s="71"/>
      <c r="M102" s="72"/>
      <c r="N102" s="266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265"/>
      <c r="K103" s="87"/>
      <c r="L103" s="71"/>
      <c r="M103" s="147"/>
      <c r="N103" s="266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259"/>
      <c r="K104" s="93"/>
      <c r="L104" s="155"/>
      <c r="M104" s="72"/>
      <c r="N104" s="266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265"/>
      <c r="K105" s="87"/>
      <c r="L105" s="71"/>
      <c r="M105" s="72"/>
      <c r="N105" s="266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259"/>
      <c r="K106" s="93"/>
      <c r="L106" s="155"/>
      <c r="M106" s="72"/>
      <c r="N106" s="266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259"/>
      <c r="K107" s="93"/>
      <c r="L107" s="155"/>
      <c r="M107" s="147"/>
      <c r="N107" s="266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259"/>
      <c r="K108" s="85"/>
      <c r="L108" s="86"/>
      <c r="M108" s="72"/>
      <c r="N108" s="266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265"/>
      <c r="K109" s="70"/>
      <c r="L109" s="71"/>
      <c r="M109" s="72"/>
      <c r="N109" s="266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265"/>
      <c r="K110" s="70"/>
      <c r="L110" s="71"/>
      <c r="M110" s="72"/>
      <c r="N110" s="266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259"/>
      <c r="K111" s="92"/>
      <c r="L111" s="173"/>
      <c r="M111" s="147"/>
      <c r="N111" s="260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259"/>
      <c r="K112" s="85"/>
      <c r="L112" s="86"/>
      <c r="M112" s="147"/>
      <c r="N112" s="260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154"/>
      <c r="J113" s="259"/>
      <c r="K113" s="93"/>
      <c r="L113" s="155"/>
      <c r="M113" s="147"/>
      <c r="N113" s="260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259"/>
      <c r="K114" s="93"/>
      <c r="L114" s="155"/>
      <c r="M114" s="147"/>
      <c r="N114" s="260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259"/>
      <c r="K115" s="85"/>
      <c r="L115" s="86"/>
      <c r="M115" s="147"/>
      <c r="N115" s="260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259"/>
      <c r="K116" s="92"/>
      <c r="L116" s="155"/>
      <c r="M116" s="147"/>
      <c r="N116" s="260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259"/>
      <c r="K117" s="85"/>
      <c r="L117" s="155"/>
      <c r="M117" s="147"/>
      <c r="N117" s="260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259"/>
      <c r="K118" s="93"/>
      <c r="L118" s="155"/>
      <c r="M118" s="147"/>
      <c r="N118" s="260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259"/>
      <c r="K119" s="93"/>
      <c r="L119" s="155"/>
      <c r="M119" s="147"/>
      <c r="N119" s="260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265"/>
      <c r="K120" s="87"/>
      <c r="L120" s="71"/>
      <c r="M120" s="147"/>
      <c r="N120" s="266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259"/>
      <c r="K121" s="70"/>
      <c r="L121" s="88"/>
      <c r="M121" s="72"/>
      <c r="N121" s="266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265"/>
      <c r="K122" s="70"/>
      <c r="L122" s="88"/>
      <c r="M122" s="147"/>
      <c r="N122" s="266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265"/>
      <c r="K123" s="70"/>
      <c r="L123" s="71"/>
      <c r="M123" s="72"/>
      <c r="N123" s="266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265"/>
      <c r="K124" s="70"/>
      <c r="L124" s="88"/>
      <c r="M124" s="72"/>
      <c r="N124" s="266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259"/>
      <c r="K125" s="85"/>
      <c r="L125" s="86"/>
      <c r="M125" s="72"/>
      <c r="N125" s="266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259"/>
      <c r="K126" s="85"/>
      <c r="L126" s="86"/>
      <c r="M126" s="72"/>
      <c r="N126" s="266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265"/>
      <c r="K127" s="87"/>
      <c r="L127" s="88"/>
      <c r="M127" s="72"/>
      <c r="N127" s="266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265"/>
      <c r="K128" s="70"/>
      <c r="L128" s="71"/>
      <c r="M128" s="147"/>
      <c r="N128" s="266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265"/>
      <c r="K129" s="70"/>
      <c r="L129" s="71"/>
      <c r="M129" s="147"/>
      <c r="N129" s="266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259"/>
      <c r="K130" s="85"/>
      <c r="L130" s="86"/>
      <c r="M130" s="72"/>
      <c r="N130" s="266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265"/>
      <c r="K131" s="87"/>
      <c r="L131" s="71"/>
      <c r="M131" s="72"/>
      <c r="N131" s="266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259"/>
      <c r="K132" s="85"/>
      <c r="L132" s="86"/>
      <c r="M132" s="72"/>
      <c r="N132" s="266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265"/>
      <c r="K133" s="70"/>
      <c r="L133" s="88"/>
      <c r="M133" s="72"/>
      <c r="N133" s="266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265"/>
      <c r="K134" s="70"/>
      <c r="L134" s="88"/>
      <c r="M134" s="72"/>
      <c r="N134" s="266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265"/>
      <c r="K135" s="85"/>
      <c r="L135" s="71"/>
      <c r="M135" s="72"/>
      <c r="N135" s="266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265"/>
      <c r="K136" s="70"/>
      <c r="L136" s="71"/>
      <c r="M136" s="72"/>
      <c r="N136" s="266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259"/>
      <c r="K137" s="85"/>
      <c r="L137" s="86"/>
      <c r="M137" s="72"/>
      <c r="N137" s="266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265"/>
      <c r="K138" s="70"/>
      <c r="L138" s="71"/>
      <c r="M138" s="72"/>
      <c r="N138" s="266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265"/>
      <c r="K139" s="70"/>
      <c r="L139" s="71"/>
      <c r="M139" s="147"/>
      <c r="N139" s="266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265"/>
      <c r="K140" s="70"/>
      <c r="L140" s="88"/>
      <c r="M140" s="72"/>
      <c r="N140" s="266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259"/>
      <c r="K141" s="85"/>
      <c r="L141" s="86"/>
      <c r="M141" s="147"/>
      <c r="N141" s="266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265"/>
      <c r="K142" s="85"/>
      <c r="L142" s="71"/>
      <c r="M142" s="72"/>
      <c r="N142" s="266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265"/>
      <c r="K143" s="85"/>
      <c r="L143" s="71"/>
      <c r="M143" s="147"/>
      <c r="N143" s="266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265"/>
      <c r="K144" s="85"/>
      <c r="L144" s="71"/>
      <c r="M144" s="72"/>
      <c r="N144" s="266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265"/>
      <c r="K145" s="87"/>
      <c r="L145" s="71"/>
      <c r="M145" s="72"/>
      <c r="N145" s="266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265"/>
      <c r="K146" s="87"/>
      <c r="L146" s="71"/>
      <c r="M146" s="147"/>
      <c r="N146" s="266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259"/>
      <c r="K147" s="85"/>
      <c r="L147" s="86"/>
      <c r="M147" s="72"/>
      <c r="N147" s="266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259"/>
      <c r="K148" s="85"/>
      <c r="L148" s="86"/>
      <c r="M148" s="72"/>
      <c r="N148" s="266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259"/>
      <c r="K149" s="85"/>
      <c r="L149" s="86"/>
      <c r="M149" s="147"/>
      <c r="N149" s="266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259"/>
      <c r="K150" s="85"/>
      <c r="L150" s="86"/>
      <c r="M150" s="72"/>
      <c r="N150" s="266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265"/>
      <c r="K151" s="70"/>
      <c r="L151" s="88"/>
      <c r="M151" s="147"/>
      <c r="N151" s="266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265"/>
      <c r="K152" s="87"/>
      <c r="L152" s="71"/>
      <c r="M152" s="72"/>
      <c r="N152" s="266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265"/>
      <c r="K153" s="85"/>
      <c r="L153" s="71"/>
      <c r="M153" s="72"/>
      <c r="N153" s="266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259"/>
      <c r="K154" s="85"/>
      <c r="L154" s="86"/>
      <c r="M154" s="147"/>
      <c r="N154" s="260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265"/>
      <c r="K155" s="85"/>
      <c r="L155" s="71"/>
      <c r="M155" s="72"/>
      <c r="N155" s="266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259"/>
      <c r="K156" s="85"/>
      <c r="L156" s="86"/>
      <c r="M156" s="147"/>
      <c r="N156" s="266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265"/>
      <c r="K157" s="87"/>
      <c r="L157" s="71"/>
      <c r="M157" s="72"/>
      <c r="N157" s="266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265"/>
      <c r="K158" s="87"/>
      <c r="L158" s="71"/>
      <c r="M158" s="72"/>
      <c r="N158" s="266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265"/>
      <c r="K159" s="85"/>
      <c r="L159" s="71"/>
      <c r="M159" s="147"/>
      <c r="N159" s="266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259"/>
      <c r="K160" s="93"/>
      <c r="L160" s="155"/>
      <c r="M160" s="72"/>
      <c r="N160" s="266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259"/>
      <c r="K161" s="93"/>
      <c r="L161" s="155"/>
      <c r="M161" s="72"/>
      <c r="N161" s="266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265"/>
      <c r="K162" s="87"/>
      <c r="L162" s="71"/>
      <c r="M162" s="147"/>
      <c r="N162" s="266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265"/>
      <c r="K163" s="87"/>
      <c r="L163" s="71"/>
      <c r="M163" s="72"/>
      <c r="N163" s="266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265"/>
      <c r="K164" s="87"/>
      <c r="L164" s="71"/>
      <c r="M164" s="72"/>
      <c r="N164" s="266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265"/>
      <c r="K165" s="87"/>
      <c r="L165" s="71"/>
      <c r="M165" s="147"/>
      <c r="N165" s="266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265"/>
      <c r="K166" s="87"/>
      <c r="L166" s="71"/>
      <c r="M166" s="147"/>
      <c r="N166" s="266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259"/>
      <c r="K167" s="85"/>
      <c r="L167" s="86"/>
      <c r="M167" s="72"/>
      <c r="N167" s="266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259"/>
      <c r="K168" s="85"/>
      <c r="L168" s="86"/>
      <c r="M168" s="72"/>
      <c r="N168" s="266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259"/>
      <c r="K169" s="85"/>
      <c r="L169" s="86"/>
      <c r="M169" s="72"/>
      <c r="N169" s="266"/>
      <c r="O169" s="74"/>
      <c r="P169" s="94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259"/>
      <c r="K170" s="85"/>
      <c r="L170" s="86"/>
      <c r="M170" s="72"/>
      <c r="N170" s="266"/>
      <c r="O170" s="74"/>
      <c r="P170" s="94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259"/>
      <c r="K171" s="85"/>
      <c r="L171" s="86"/>
      <c r="M171" s="72"/>
      <c r="N171" s="266"/>
      <c r="O171" s="74"/>
      <c r="P171" s="94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265"/>
      <c r="K172" s="87"/>
      <c r="L172" s="71"/>
      <c r="M172" s="72"/>
      <c r="N172" s="266"/>
      <c r="O172" s="74"/>
      <c r="P172" s="94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68"/>
      <c r="J173" s="265"/>
      <c r="K173" s="87"/>
      <c r="L173" s="71"/>
      <c r="M173" s="72"/>
      <c r="N173" s="266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68"/>
      <c r="J174" s="265"/>
      <c r="K174" s="87"/>
      <c r="L174" s="71"/>
      <c r="M174" s="72"/>
      <c r="N174" s="266"/>
      <c r="O174" s="74"/>
      <c r="P174" s="94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84"/>
      <c r="J175" s="259"/>
      <c r="K175" s="85"/>
      <c r="L175" s="86"/>
      <c r="M175" s="72"/>
      <c r="N175" s="266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259"/>
      <c r="K176" s="85"/>
      <c r="L176" s="86"/>
      <c r="M176" s="72"/>
      <c r="N176" s="266"/>
      <c r="O176" s="74"/>
      <c r="P176" s="94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259"/>
      <c r="K177" s="85"/>
      <c r="L177" s="86"/>
      <c r="M177" s="72"/>
      <c r="N177" s="266"/>
      <c r="O177" s="74"/>
      <c r="P177" s="94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265"/>
      <c r="K178" s="87"/>
      <c r="L178" s="71"/>
      <c r="M178" s="72"/>
      <c r="N178" s="266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265"/>
      <c r="K179" s="87"/>
      <c r="L179" s="71"/>
      <c r="M179" s="72"/>
      <c r="N179" s="266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259"/>
      <c r="K180" s="85"/>
      <c r="L180" s="86"/>
      <c r="M180" s="72"/>
      <c r="N180" s="266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259"/>
      <c r="K181" s="85"/>
      <c r="L181" s="86"/>
      <c r="M181" s="72"/>
      <c r="N181" s="266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259"/>
      <c r="K182" s="85"/>
      <c r="L182" s="86"/>
      <c r="M182" s="72"/>
      <c r="N182" s="266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265"/>
      <c r="K183" s="87"/>
      <c r="L183" s="71"/>
      <c r="M183" s="127"/>
      <c r="N183" s="260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265"/>
      <c r="K184" s="87"/>
      <c r="L184" s="71"/>
      <c r="M184" s="127"/>
      <c r="N184" s="260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265"/>
      <c r="K185" s="87"/>
      <c r="L185" s="71"/>
      <c r="M185" s="72"/>
      <c r="N185" s="266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259"/>
      <c r="K186" s="85"/>
      <c r="L186" s="86"/>
      <c r="M186" s="72"/>
      <c r="N186" s="266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259"/>
      <c r="K187" s="85"/>
      <c r="L187" s="86"/>
      <c r="M187" s="72"/>
      <c r="N187" s="266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259"/>
      <c r="K188" s="85"/>
      <c r="L188" s="86"/>
      <c r="M188" s="72"/>
      <c r="N188" s="266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259"/>
      <c r="K189" s="85"/>
      <c r="L189" s="86"/>
      <c r="M189" s="72"/>
      <c r="N189" s="266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259"/>
      <c r="K190" s="85"/>
      <c r="L190" s="86"/>
      <c r="M190" s="72"/>
      <c r="N190" s="266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265"/>
      <c r="K191" s="87"/>
      <c r="L191" s="71"/>
      <c r="M191" s="127"/>
      <c r="N191" s="260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259"/>
      <c r="K192" s="85"/>
      <c r="L192" s="86"/>
      <c r="M192" s="127"/>
      <c r="N192" s="260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259"/>
      <c r="K193" s="85"/>
      <c r="L193" s="86"/>
      <c r="M193" s="127"/>
      <c r="N193" s="260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259"/>
      <c r="K194" s="85"/>
      <c r="L194" s="86"/>
      <c r="M194" s="127"/>
      <c r="N194" s="260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259"/>
      <c r="K195" s="85"/>
      <c r="L195" s="86"/>
      <c r="M195" s="127"/>
      <c r="N195" s="260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259"/>
      <c r="K196" s="85"/>
      <c r="L196" s="86"/>
      <c r="M196" s="127"/>
      <c r="N196" s="260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259"/>
      <c r="K197" s="85"/>
      <c r="L197" s="86"/>
      <c r="M197" s="127"/>
      <c r="N197" s="260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259"/>
      <c r="K198" s="85"/>
      <c r="L198" s="86"/>
      <c r="M198" s="127"/>
      <c r="N198" s="260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259"/>
      <c r="K199" s="85"/>
      <c r="L199" s="86"/>
      <c r="M199" s="127"/>
      <c r="N199" s="260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259"/>
      <c r="K200" s="85"/>
      <c r="L200" s="86"/>
      <c r="M200" s="127"/>
      <c r="N200" s="260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259"/>
      <c r="K201" s="85"/>
      <c r="L201" s="86"/>
      <c r="M201" s="127"/>
      <c r="N201" s="260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259"/>
      <c r="K202" s="85"/>
      <c r="L202" s="86"/>
      <c r="M202" s="127"/>
      <c r="N202" s="260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259"/>
      <c r="K203" s="85"/>
      <c r="L203" s="86"/>
      <c r="M203" s="127"/>
      <c r="N203" s="260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259"/>
      <c r="K204" s="85"/>
      <c r="L204" s="86"/>
      <c r="M204" s="127"/>
      <c r="N204" s="260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259"/>
      <c r="K205" s="85"/>
      <c r="L205" s="86"/>
      <c r="M205" s="127"/>
      <c r="N205" s="260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259"/>
      <c r="K206" s="85"/>
      <c r="L206" s="86"/>
      <c r="M206" s="127"/>
      <c r="N206" s="260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259"/>
      <c r="K207" s="85"/>
      <c r="L207" s="86"/>
      <c r="M207" s="127"/>
      <c r="N207" s="260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259"/>
      <c r="K208" s="85"/>
      <c r="L208" s="86"/>
      <c r="M208" s="127"/>
      <c r="N208" s="260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259"/>
      <c r="K209" s="85"/>
      <c r="L209" s="86"/>
      <c r="M209" s="127"/>
      <c r="N209" s="260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259"/>
      <c r="K210" s="85"/>
      <c r="L210" s="86"/>
      <c r="M210" s="127"/>
      <c r="N210" s="260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259"/>
      <c r="K211" s="85"/>
      <c r="L211" s="86"/>
      <c r="M211" s="127"/>
      <c r="N211" s="260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259"/>
      <c r="K212" s="85"/>
      <c r="L212" s="86"/>
      <c r="M212" s="127"/>
      <c r="N212" s="260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259"/>
      <c r="K213" s="85"/>
      <c r="L213" s="86"/>
      <c r="M213" s="127"/>
      <c r="N213" s="260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259"/>
      <c r="K214" s="85"/>
      <c r="L214" s="86"/>
      <c r="M214" s="127"/>
      <c r="N214" s="260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259"/>
      <c r="K215" s="85"/>
      <c r="L215" s="86"/>
      <c r="M215" s="127"/>
      <c r="N215" s="260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259"/>
      <c r="K216" s="85"/>
      <c r="L216" s="86"/>
      <c r="M216" s="127"/>
      <c r="N216" s="260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259"/>
      <c r="K217" s="85"/>
      <c r="L217" s="86"/>
      <c r="M217" s="127"/>
      <c r="N217" s="260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259"/>
      <c r="K218" s="85"/>
      <c r="L218" s="86"/>
      <c r="M218" s="127"/>
      <c r="N218" s="260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259"/>
      <c r="K219" s="85"/>
      <c r="L219" s="86"/>
      <c r="M219" s="127"/>
      <c r="N219" s="260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259"/>
      <c r="K220" s="85"/>
      <c r="L220" s="86"/>
      <c r="M220" s="127"/>
      <c r="N220" s="260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259"/>
      <c r="K221" s="85"/>
      <c r="L221" s="86"/>
      <c r="M221" s="127"/>
      <c r="N221" s="260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259"/>
      <c r="K222" s="85"/>
      <c r="L222" s="86"/>
      <c r="M222" s="127"/>
      <c r="N222" s="260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259"/>
      <c r="K223" s="85"/>
      <c r="L223" s="86"/>
      <c r="M223" s="127"/>
      <c r="N223" s="260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259"/>
      <c r="K224" s="85"/>
      <c r="L224" s="86"/>
      <c r="M224" s="127"/>
      <c r="N224" s="260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259"/>
      <c r="K225" s="85"/>
      <c r="L225" s="86"/>
      <c r="M225" s="127"/>
      <c r="N225" s="260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259"/>
      <c r="K226" s="85"/>
      <c r="L226" s="86"/>
      <c r="M226" s="127"/>
      <c r="N226" s="260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259"/>
      <c r="K227" s="85"/>
      <c r="L227" s="86"/>
      <c r="M227" s="127"/>
      <c r="N227" s="260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259"/>
      <c r="K228" s="85"/>
      <c r="L228" s="86"/>
      <c r="M228" s="127"/>
      <c r="N228" s="260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259"/>
      <c r="K229" s="85"/>
      <c r="L229" s="86"/>
      <c r="M229" s="127"/>
      <c r="N229" s="260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259"/>
      <c r="K230" s="85"/>
      <c r="L230" s="86"/>
      <c r="M230" s="127"/>
      <c r="N230" s="260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259"/>
      <c r="K231" s="85"/>
      <c r="L231" s="86"/>
      <c r="M231" s="127"/>
      <c r="N231" s="260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259"/>
      <c r="K232" s="85"/>
      <c r="L232" s="86"/>
      <c r="M232" s="127"/>
      <c r="N232" s="260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259"/>
      <c r="K233" s="85"/>
      <c r="L233" s="86"/>
      <c r="M233" s="127"/>
      <c r="N233" s="260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259"/>
      <c r="K234" s="85"/>
      <c r="L234" s="86"/>
      <c r="M234" s="127"/>
      <c r="N234" s="260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259"/>
      <c r="K235" s="85"/>
      <c r="L235" s="86"/>
      <c r="M235" s="127"/>
      <c r="N235" s="260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259"/>
      <c r="K236" s="85"/>
      <c r="L236" s="86"/>
      <c r="M236" s="127"/>
      <c r="N236" s="260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259"/>
      <c r="K237" s="85"/>
      <c r="L237" s="86"/>
      <c r="M237" s="127"/>
      <c r="N237" s="260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259"/>
      <c r="K238" s="85"/>
      <c r="L238" s="86"/>
      <c r="M238" s="127"/>
      <c r="N238" s="260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259"/>
      <c r="K239" s="85"/>
      <c r="L239" s="86"/>
      <c r="M239" s="127"/>
      <c r="N239" s="260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259"/>
      <c r="K240" s="85"/>
      <c r="L240" s="86"/>
      <c r="M240" s="127"/>
      <c r="N240" s="260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259"/>
      <c r="K241" s="85"/>
      <c r="L241" s="86"/>
      <c r="M241" s="127"/>
      <c r="N241" s="260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259"/>
      <c r="K242" s="85"/>
      <c r="L242" s="86"/>
      <c r="M242" s="127"/>
      <c r="N242" s="260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259"/>
      <c r="K243" s="85"/>
      <c r="L243" s="86"/>
      <c r="M243" s="127"/>
      <c r="N243" s="260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259"/>
      <c r="K244" s="85"/>
      <c r="L244" s="86"/>
      <c r="M244" s="127"/>
      <c r="N244" s="260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259"/>
      <c r="K245" s="85"/>
      <c r="L245" s="86"/>
      <c r="M245" s="127"/>
      <c r="N245" s="260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259"/>
      <c r="K246" s="85"/>
      <c r="L246" s="86"/>
      <c r="M246" s="127"/>
      <c r="N246" s="260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259"/>
      <c r="K247" s="85"/>
      <c r="L247" s="86"/>
      <c r="M247" s="127"/>
      <c r="N247" s="260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259"/>
      <c r="K248" s="85"/>
      <c r="L248" s="86"/>
      <c r="M248" s="127"/>
      <c r="N248" s="260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259"/>
      <c r="K249" s="85"/>
      <c r="L249" s="86"/>
      <c r="M249" s="127"/>
      <c r="N249" s="260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259"/>
      <c r="K250" s="85"/>
      <c r="L250" s="86"/>
      <c r="M250" s="127"/>
      <c r="N250" s="260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259"/>
      <c r="K251" s="85"/>
      <c r="L251" s="86"/>
      <c r="M251" s="127"/>
      <c r="N251" s="260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259"/>
      <c r="K252" s="85"/>
      <c r="L252" s="86"/>
      <c r="M252" s="127"/>
      <c r="N252" s="260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259"/>
      <c r="K253" s="85"/>
      <c r="L253" s="86"/>
      <c r="M253" s="127"/>
      <c r="N253" s="260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259"/>
      <c r="K254" s="85"/>
      <c r="L254" s="86"/>
      <c r="M254" s="127"/>
      <c r="N254" s="260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259"/>
      <c r="K255" s="85"/>
      <c r="L255" s="86"/>
      <c r="M255" s="127"/>
      <c r="N255" s="260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259"/>
      <c r="K256" s="85"/>
      <c r="L256" s="86"/>
      <c r="M256" s="127"/>
      <c r="N256" s="260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259"/>
      <c r="K257" s="85"/>
      <c r="L257" s="86"/>
      <c r="M257" s="127"/>
      <c r="N257" s="260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259"/>
      <c r="K258" s="85"/>
      <c r="L258" s="86"/>
      <c r="M258" s="127"/>
      <c r="N258" s="260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259"/>
      <c r="K259" s="85"/>
      <c r="L259" s="86"/>
      <c r="M259" s="127"/>
      <c r="N259" s="260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259"/>
      <c r="K260" s="85"/>
      <c r="L260" s="86"/>
      <c r="M260" s="127"/>
      <c r="N260" s="260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259"/>
      <c r="K261" s="85"/>
      <c r="L261" s="86"/>
      <c r="M261" s="127"/>
      <c r="N261" s="260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259"/>
      <c r="K262" s="85"/>
      <c r="L262" s="86"/>
      <c r="M262" s="127"/>
      <c r="N262" s="260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259"/>
      <c r="K263" s="85"/>
      <c r="L263" s="86"/>
      <c r="M263" s="127"/>
      <c r="N263" s="260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259"/>
      <c r="K264" s="85"/>
      <c r="L264" s="86"/>
      <c r="M264" s="127"/>
      <c r="N264" s="260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259"/>
      <c r="K265" s="85"/>
      <c r="L265" s="86"/>
      <c r="M265" s="127"/>
      <c r="N265" s="260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259"/>
      <c r="K266" s="85"/>
      <c r="L266" s="86"/>
      <c r="M266" s="127"/>
      <c r="N266" s="260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259"/>
      <c r="K267" s="85"/>
      <c r="L267" s="86"/>
      <c r="M267" s="127"/>
      <c r="N267" s="260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259"/>
      <c r="K268" s="85"/>
      <c r="L268" s="86"/>
      <c r="M268" s="127"/>
      <c r="N268" s="260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259"/>
      <c r="K269" s="85"/>
      <c r="L269" s="86"/>
      <c r="M269" s="127"/>
      <c r="N269" s="260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259"/>
      <c r="K270" s="85"/>
      <c r="L270" s="86"/>
      <c r="M270" s="127"/>
      <c r="N270" s="260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259"/>
      <c r="K271" s="85"/>
      <c r="L271" s="86"/>
      <c r="M271" s="127"/>
      <c r="N271" s="260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259"/>
      <c r="K272" s="85"/>
      <c r="L272" s="86"/>
      <c r="M272" s="127"/>
      <c r="N272" s="260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259"/>
      <c r="K273" s="85"/>
      <c r="L273" s="86"/>
      <c r="M273" s="127"/>
      <c r="N273" s="260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259"/>
      <c r="K274" s="85"/>
      <c r="L274" s="86"/>
      <c r="M274" s="127"/>
      <c r="N274" s="260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259"/>
      <c r="K275" s="85"/>
      <c r="L275" s="86"/>
      <c r="M275" s="127"/>
      <c r="N275" s="260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259"/>
      <c r="K276" s="85"/>
      <c r="L276" s="86"/>
      <c r="M276" s="127"/>
      <c r="N276" s="260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259"/>
      <c r="K277" s="85"/>
      <c r="L277" s="86"/>
      <c r="M277" s="127"/>
      <c r="N277" s="260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259"/>
      <c r="K278" s="85"/>
      <c r="L278" s="86"/>
      <c r="M278" s="127"/>
      <c r="N278" s="260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259"/>
      <c r="K279" s="85"/>
      <c r="L279" s="86"/>
      <c r="M279" s="127"/>
      <c r="N279" s="260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259"/>
      <c r="K280" s="85"/>
      <c r="L280" s="86"/>
      <c r="M280" s="127"/>
      <c r="N280" s="260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259"/>
      <c r="K281" s="85"/>
      <c r="L281" s="86"/>
      <c r="M281" s="127"/>
      <c r="N281" s="260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259"/>
      <c r="K282" s="85"/>
      <c r="L282" s="86"/>
      <c r="M282" s="127"/>
      <c r="N282" s="260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259"/>
      <c r="K283" s="85"/>
      <c r="L283" s="86"/>
      <c r="M283" s="127"/>
      <c r="N283" s="260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259"/>
      <c r="K284" s="85"/>
      <c r="L284" s="86"/>
      <c r="M284" s="127"/>
      <c r="N284" s="260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259"/>
      <c r="K285" s="85"/>
      <c r="L285" s="86"/>
      <c r="M285" s="127"/>
      <c r="N285" s="260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259"/>
      <c r="K286" s="85"/>
      <c r="L286" s="86"/>
      <c r="M286" s="127"/>
      <c r="N286" s="260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259"/>
      <c r="K287" s="85"/>
      <c r="L287" s="86"/>
      <c r="M287" s="127"/>
      <c r="N287" s="260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259"/>
      <c r="K288" s="85"/>
      <c r="L288" s="86"/>
      <c r="M288" s="127"/>
      <c r="N288" s="260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259"/>
      <c r="K289" s="85"/>
      <c r="L289" s="86"/>
      <c r="M289" s="127"/>
      <c r="N289" s="260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259"/>
      <c r="K290" s="85"/>
      <c r="L290" s="86"/>
      <c r="M290" s="127"/>
      <c r="N290" s="260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259"/>
      <c r="K291" s="85"/>
      <c r="L291" s="86"/>
      <c r="M291" s="127"/>
      <c r="N291" s="260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259"/>
      <c r="K292" s="85"/>
      <c r="L292" s="86"/>
      <c r="M292" s="127"/>
      <c r="N292" s="260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259"/>
      <c r="K293" s="85"/>
      <c r="L293" s="86"/>
      <c r="M293" s="127"/>
      <c r="N293" s="260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259"/>
      <c r="K294" s="85"/>
      <c r="L294" s="86"/>
      <c r="M294" s="127"/>
      <c r="N294" s="260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259"/>
      <c r="K295" s="85"/>
      <c r="L295" s="86"/>
      <c r="M295" s="127"/>
      <c r="N295" s="260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259"/>
      <c r="K296" s="85"/>
      <c r="L296" s="86"/>
      <c r="M296" s="127"/>
      <c r="N296" s="260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259"/>
      <c r="K297" s="85"/>
      <c r="L297" s="86"/>
      <c r="M297" s="127"/>
      <c r="N297" s="260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259"/>
      <c r="K298" s="85"/>
      <c r="L298" s="86"/>
      <c r="M298" s="127"/>
      <c r="N298" s="260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259"/>
      <c r="K299" s="85"/>
      <c r="L299" s="86"/>
      <c r="M299" s="127"/>
      <c r="N299" s="260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259"/>
      <c r="K300" s="85"/>
      <c r="L300" s="86"/>
      <c r="M300" s="127"/>
      <c r="N300" s="260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259"/>
      <c r="K301" s="85"/>
      <c r="L301" s="86"/>
      <c r="M301" s="127"/>
      <c r="N301" s="260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259"/>
      <c r="K302" s="85"/>
      <c r="L302" s="86"/>
      <c r="M302" s="127"/>
      <c r="N302" s="260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259"/>
      <c r="K303" s="85"/>
      <c r="L303" s="86"/>
      <c r="M303" s="127"/>
      <c r="N303" s="260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259"/>
      <c r="K304" s="85"/>
      <c r="L304" s="86"/>
      <c r="M304" s="127"/>
      <c r="N304" s="260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259"/>
      <c r="K305" s="85"/>
      <c r="L305" s="86"/>
      <c r="M305" s="127"/>
      <c r="N305" s="260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259"/>
      <c r="K306" s="85"/>
      <c r="L306" s="86"/>
      <c r="M306" s="127"/>
      <c r="N306" s="260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259"/>
      <c r="K307" s="85"/>
      <c r="L307" s="86"/>
      <c r="M307" s="127"/>
      <c r="N307" s="260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259"/>
      <c r="K308" s="85"/>
      <c r="L308" s="86"/>
      <c r="M308" s="127"/>
      <c r="N308" s="260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259"/>
      <c r="K309" s="85"/>
      <c r="L309" s="86"/>
      <c r="M309" s="127"/>
      <c r="N309" s="260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259"/>
      <c r="K310" s="85"/>
      <c r="L310" s="86"/>
      <c r="M310" s="127"/>
      <c r="N310" s="260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259"/>
      <c r="K311" s="85"/>
      <c r="L311" s="86"/>
      <c r="M311" s="127"/>
      <c r="N311" s="260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259"/>
      <c r="K312" s="85"/>
      <c r="L312" s="86"/>
      <c r="M312" s="127"/>
      <c r="N312" s="260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259"/>
      <c r="K313" s="85"/>
      <c r="L313" s="86"/>
      <c r="M313" s="127"/>
      <c r="N313" s="260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259"/>
      <c r="K314" s="85"/>
      <c r="L314" s="86"/>
      <c r="M314" s="127"/>
      <c r="N314" s="260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259"/>
      <c r="K315" s="85"/>
      <c r="L315" s="86"/>
      <c r="M315" s="127"/>
      <c r="N315" s="260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259"/>
      <c r="K316" s="85"/>
      <c r="L316" s="86"/>
      <c r="M316" s="127"/>
      <c r="N316" s="260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259"/>
      <c r="K317" s="85"/>
      <c r="L317" s="86"/>
      <c r="M317" s="127"/>
      <c r="N317" s="260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259"/>
      <c r="K318" s="85"/>
      <c r="L318" s="86"/>
      <c r="M318" s="127"/>
      <c r="N318" s="260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259"/>
      <c r="K319" s="85"/>
      <c r="L319" s="86"/>
      <c r="M319" s="127"/>
      <c r="N319" s="260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259"/>
      <c r="K320" s="85"/>
      <c r="L320" s="86"/>
      <c r="M320" s="127"/>
      <c r="N320" s="260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259"/>
      <c r="K321" s="85"/>
      <c r="L321" s="86"/>
      <c r="M321" s="127"/>
      <c r="N321" s="260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259"/>
      <c r="K322" s="85"/>
      <c r="L322" s="86"/>
      <c r="M322" s="127"/>
      <c r="N322" s="260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259"/>
      <c r="K323" s="85"/>
      <c r="L323" s="86"/>
      <c r="M323" s="127"/>
      <c r="N323" s="260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259"/>
      <c r="K324" s="85"/>
      <c r="L324" s="86"/>
      <c r="M324" s="127"/>
      <c r="N324" s="260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259"/>
      <c r="K325" s="85"/>
      <c r="L325" s="86"/>
      <c r="M325" s="127"/>
      <c r="N325" s="260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259"/>
      <c r="K326" s="85"/>
      <c r="L326" s="86"/>
      <c r="M326" s="127"/>
      <c r="N326" s="260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259"/>
      <c r="K327" s="85"/>
      <c r="L327" s="86"/>
      <c r="M327" s="127"/>
      <c r="N327" s="260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259"/>
      <c r="K328" s="85"/>
      <c r="L328" s="86"/>
      <c r="M328" s="127"/>
      <c r="N328" s="260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259"/>
      <c r="K329" s="85"/>
      <c r="L329" s="86"/>
      <c r="M329" s="127"/>
      <c r="N329" s="260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259"/>
      <c r="K330" s="85"/>
      <c r="L330" s="86"/>
      <c r="M330" s="127"/>
      <c r="N330" s="260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259"/>
      <c r="K331" s="85"/>
      <c r="L331" s="86"/>
      <c r="M331" s="127"/>
      <c r="N331" s="260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259"/>
      <c r="K332" s="85"/>
      <c r="L332" s="86"/>
      <c r="M332" s="127"/>
      <c r="N332" s="260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259"/>
      <c r="K333" s="85"/>
      <c r="L333" s="86"/>
      <c r="M333" s="127"/>
      <c r="N333" s="260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259"/>
      <c r="K334" s="85"/>
      <c r="L334" s="86"/>
      <c r="M334" s="127"/>
      <c r="N334" s="260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259"/>
      <c r="K335" s="85"/>
      <c r="L335" s="86"/>
      <c r="M335" s="127"/>
      <c r="N335" s="260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259"/>
      <c r="K336" s="85"/>
      <c r="L336" s="86"/>
      <c r="M336" s="127"/>
      <c r="N336" s="260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259"/>
      <c r="K337" s="85"/>
      <c r="L337" s="86"/>
      <c r="M337" s="127"/>
      <c r="N337" s="260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259"/>
      <c r="K338" s="85"/>
      <c r="L338" s="86"/>
      <c r="M338" s="127"/>
      <c r="N338" s="260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259"/>
      <c r="K339" s="85"/>
      <c r="L339" s="86"/>
      <c r="M339" s="127"/>
      <c r="N339" s="260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259"/>
      <c r="K340" s="85"/>
      <c r="L340" s="86"/>
      <c r="M340" s="127"/>
      <c r="N340" s="260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259"/>
      <c r="K341" s="85"/>
      <c r="L341" s="86"/>
      <c r="M341" s="127"/>
      <c r="N341" s="260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259"/>
      <c r="K342" s="85"/>
      <c r="L342" s="86"/>
      <c r="M342" s="127"/>
      <c r="N342" s="260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259"/>
      <c r="K343" s="85"/>
      <c r="L343" s="86"/>
      <c r="M343" s="127"/>
      <c r="N343" s="260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259"/>
      <c r="K344" s="85"/>
      <c r="L344" s="86"/>
      <c r="M344" s="127"/>
      <c r="N344" s="260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259"/>
      <c r="K345" s="85"/>
      <c r="L345" s="86"/>
      <c r="M345" s="127"/>
      <c r="N345" s="260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259"/>
      <c r="K346" s="85"/>
      <c r="L346" s="86"/>
      <c r="M346" s="127"/>
      <c r="N346" s="260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259"/>
      <c r="K347" s="85"/>
      <c r="L347" s="86"/>
      <c r="M347" s="127"/>
      <c r="N347" s="260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259"/>
      <c r="K348" s="85"/>
      <c r="L348" s="86"/>
      <c r="M348" s="127"/>
      <c r="N348" s="260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259"/>
      <c r="K349" s="85"/>
      <c r="L349" s="86"/>
      <c r="M349" s="127"/>
      <c r="N349" s="260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259"/>
      <c r="K350" s="85"/>
      <c r="L350" s="86"/>
      <c r="M350" s="127"/>
      <c r="N350" s="260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259"/>
      <c r="K351" s="85"/>
      <c r="L351" s="86"/>
      <c r="M351" s="127"/>
      <c r="N351" s="260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259"/>
      <c r="K352" s="85"/>
      <c r="L352" s="86"/>
      <c r="M352" s="127"/>
      <c r="N352" s="260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259"/>
      <c r="K353" s="85"/>
      <c r="L353" s="86"/>
      <c r="M353" s="127"/>
      <c r="N353" s="260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259"/>
      <c r="K354" s="85"/>
      <c r="L354" s="86"/>
      <c r="M354" s="127"/>
      <c r="N354" s="260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259"/>
      <c r="K355" s="85"/>
      <c r="L355" s="86"/>
      <c r="M355" s="127"/>
      <c r="N355" s="260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259"/>
      <c r="K356" s="85"/>
      <c r="L356" s="86"/>
      <c r="M356" s="127"/>
      <c r="N356" s="260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259"/>
      <c r="K357" s="85"/>
      <c r="L357" s="86"/>
      <c r="M357" s="127"/>
      <c r="N357" s="260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259"/>
      <c r="K358" s="85"/>
      <c r="L358" s="86"/>
      <c r="M358" s="127"/>
      <c r="N358" s="260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259"/>
      <c r="K359" s="85"/>
      <c r="L359" s="86"/>
      <c r="M359" s="127"/>
      <c r="N359" s="260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259"/>
      <c r="K360" s="85"/>
      <c r="L360" s="86"/>
      <c r="M360" s="127"/>
      <c r="N360" s="260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259"/>
      <c r="K361" s="85"/>
      <c r="L361" s="86"/>
      <c r="M361" s="127"/>
      <c r="N361" s="260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259"/>
      <c r="K362" s="85"/>
      <c r="L362" s="86"/>
      <c r="M362" s="127"/>
      <c r="N362" s="260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259"/>
      <c r="K363" s="85"/>
      <c r="L363" s="86"/>
      <c r="M363" s="127"/>
      <c r="N363" s="260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259"/>
      <c r="K364" s="85"/>
      <c r="L364" s="86"/>
      <c r="M364" s="127"/>
      <c r="N364" s="260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259"/>
      <c r="K365" s="85"/>
      <c r="L365" s="86"/>
      <c r="M365" s="127"/>
      <c r="N365" s="260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259"/>
      <c r="K366" s="85"/>
      <c r="L366" s="86"/>
      <c r="M366" s="127"/>
      <c r="N366" s="260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259"/>
      <c r="K367" s="85"/>
      <c r="L367" s="86"/>
      <c r="M367" s="127"/>
      <c r="N367" s="260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259"/>
      <c r="K368" s="85"/>
      <c r="L368" s="86"/>
      <c r="M368" s="127"/>
      <c r="N368" s="260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259"/>
      <c r="K369" s="85"/>
      <c r="L369" s="86"/>
      <c r="M369" s="127"/>
      <c r="N369" s="260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259"/>
      <c r="K370" s="85"/>
      <c r="L370" s="86"/>
      <c r="M370" s="127"/>
      <c r="N370" s="260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259"/>
      <c r="K371" s="85"/>
      <c r="L371" s="86"/>
      <c r="M371" s="127"/>
      <c r="N371" s="260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259"/>
      <c r="K372" s="85"/>
      <c r="L372" s="86"/>
      <c r="M372" s="127"/>
      <c r="N372" s="260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259"/>
      <c r="K373" s="85"/>
      <c r="L373" s="86"/>
      <c r="M373" s="127"/>
      <c r="N373" s="260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259"/>
      <c r="K374" s="85"/>
      <c r="L374" s="86"/>
      <c r="M374" s="127"/>
      <c r="N374" s="260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259"/>
      <c r="K375" s="85"/>
      <c r="L375" s="86"/>
      <c r="M375" s="127"/>
      <c r="N375" s="260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259"/>
      <c r="K376" s="85"/>
      <c r="L376" s="86"/>
      <c r="M376" s="127"/>
      <c r="N376" s="260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259"/>
      <c r="K377" s="85"/>
      <c r="L377" s="86"/>
      <c r="M377" s="127"/>
      <c r="N377" s="260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259"/>
      <c r="K378" s="85"/>
      <c r="L378" s="86"/>
      <c r="M378" s="127"/>
      <c r="N378" s="260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259"/>
      <c r="K379" s="85"/>
      <c r="L379" s="86"/>
      <c r="M379" s="127"/>
      <c r="N379" s="260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259"/>
      <c r="K380" s="85"/>
      <c r="L380" s="86"/>
      <c r="M380" s="127"/>
      <c r="N380" s="260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259"/>
      <c r="K381" s="85"/>
      <c r="L381" s="86"/>
      <c r="M381" s="127"/>
      <c r="N381" s="260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259"/>
      <c r="K382" s="85"/>
      <c r="L382" s="86"/>
      <c r="M382" s="127"/>
      <c r="N382" s="260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259"/>
      <c r="K383" s="85"/>
      <c r="L383" s="86"/>
      <c r="M383" s="127"/>
      <c r="N383" s="260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259"/>
      <c r="K384" s="85"/>
      <c r="L384" s="86"/>
      <c r="M384" s="127"/>
      <c r="N384" s="260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259"/>
      <c r="K385" s="85"/>
      <c r="L385" s="86"/>
      <c r="M385" s="127"/>
      <c r="N385" s="260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259"/>
      <c r="K386" s="85"/>
      <c r="L386" s="86"/>
      <c r="M386" s="127"/>
      <c r="N386" s="260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259"/>
      <c r="K387" s="85"/>
      <c r="L387" s="86"/>
      <c r="M387" s="127"/>
      <c r="N387" s="260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259"/>
      <c r="K388" s="85"/>
      <c r="L388" s="86"/>
      <c r="M388" s="127"/>
      <c r="N388" s="260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259"/>
      <c r="K389" s="85"/>
      <c r="L389" s="86"/>
      <c r="M389" s="127"/>
      <c r="N389" s="260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259"/>
      <c r="K390" s="85"/>
      <c r="L390" s="86"/>
      <c r="M390" s="127"/>
      <c r="N390" s="260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259"/>
      <c r="K391" s="85"/>
      <c r="L391" s="86"/>
      <c r="M391" s="127"/>
      <c r="N391" s="260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259"/>
      <c r="K392" s="85"/>
      <c r="L392" s="86"/>
      <c r="M392" s="127"/>
      <c r="N392" s="260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259"/>
      <c r="K393" s="85"/>
      <c r="L393" s="86"/>
      <c r="M393" s="127"/>
      <c r="N393" s="260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259"/>
      <c r="K394" s="85"/>
      <c r="L394" s="86"/>
      <c r="M394" s="127"/>
      <c r="N394" s="260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259"/>
      <c r="K395" s="85"/>
      <c r="L395" s="86"/>
      <c r="M395" s="127"/>
      <c r="N395" s="260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259"/>
      <c r="K396" s="85"/>
      <c r="L396" s="86"/>
      <c r="M396" s="127"/>
      <c r="N396" s="260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259"/>
      <c r="K397" s="85"/>
      <c r="L397" s="86"/>
      <c r="M397" s="127"/>
      <c r="N397" s="260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259"/>
      <c r="K398" s="85"/>
      <c r="L398" s="86"/>
      <c r="M398" s="127"/>
      <c r="N398" s="260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259"/>
      <c r="K399" s="85"/>
      <c r="L399" s="86"/>
      <c r="M399" s="127"/>
      <c r="N399" s="260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259"/>
      <c r="K400" s="85"/>
      <c r="L400" s="86"/>
      <c r="M400" s="127"/>
      <c r="N400" s="260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259"/>
      <c r="K401" s="85"/>
      <c r="L401" s="86"/>
      <c r="M401" s="127"/>
      <c r="N401" s="260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259"/>
      <c r="K402" s="85"/>
      <c r="L402" s="86"/>
      <c r="M402" s="127"/>
      <c r="N402" s="260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259"/>
      <c r="K403" s="85"/>
      <c r="L403" s="86"/>
      <c r="M403" s="127"/>
      <c r="N403" s="260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259"/>
      <c r="K404" s="85"/>
      <c r="L404" s="86"/>
      <c r="M404" s="127"/>
      <c r="N404" s="260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259"/>
      <c r="K405" s="85"/>
      <c r="L405" s="86"/>
      <c r="M405" s="127"/>
      <c r="N405" s="260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259"/>
      <c r="K406" s="85"/>
      <c r="L406" s="86"/>
      <c r="M406" s="127"/>
      <c r="N406" s="260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259"/>
      <c r="K407" s="85"/>
      <c r="L407" s="86"/>
      <c r="M407" s="127"/>
      <c r="N407" s="260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259"/>
      <c r="K408" s="85"/>
      <c r="L408" s="86"/>
      <c r="M408" s="127"/>
      <c r="N408" s="260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259"/>
      <c r="K409" s="85"/>
      <c r="L409" s="86"/>
      <c r="M409" s="127"/>
      <c r="N409" s="260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259"/>
      <c r="K410" s="85"/>
      <c r="L410" s="86"/>
      <c r="M410" s="127"/>
      <c r="N410" s="260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259"/>
      <c r="K411" s="85"/>
      <c r="L411" s="86"/>
      <c r="M411" s="127"/>
      <c r="N411" s="260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259"/>
      <c r="K412" s="85"/>
      <c r="L412" s="86"/>
      <c r="M412" s="127"/>
      <c r="N412" s="260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259"/>
      <c r="K413" s="85"/>
      <c r="L413" s="86"/>
      <c r="M413" s="127"/>
      <c r="N413" s="260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259"/>
      <c r="K414" s="85"/>
      <c r="L414" s="86"/>
      <c r="M414" s="127"/>
      <c r="N414" s="260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259"/>
      <c r="K415" s="85"/>
      <c r="L415" s="86"/>
      <c r="M415" s="127"/>
      <c r="N415" s="260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259"/>
      <c r="K416" s="85"/>
      <c r="L416" s="86"/>
      <c r="M416" s="127"/>
      <c r="N416" s="260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259"/>
      <c r="K417" s="85"/>
      <c r="L417" s="86"/>
      <c r="M417" s="127"/>
      <c r="N417" s="260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259"/>
      <c r="K418" s="133"/>
      <c r="L418" s="134"/>
      <c r="M418" s="135"/>
      <c r="N418" s="260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259"/>
      <c r="K419" s="133"/>
      <c r="L419" s="85"/>
      <c r="M419" s="135"/>
      <c r="N419" s="260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259"/>
      <c r="K420" s="133"/>
      <c r="L420" s="85"/>
      <c r="M420" s="135"/>
      <c r="N420" s="260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259"/>
      <c r="K421" s="133"/>
      <c r="L421" s="85"/>
      <c r="M421" s="135"/>
      <c r="N421" s="260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259"/>
      <c r="K422" s="133"/>
      <c r="L422" s="85"/>
      <c r="M422" s="135"/>
      <c r="N422" s="260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259"/>
      <c r="K423" s="133"/>
      <c r="L423" s="85"/>
      <c r="M423" s="135"/>
      <c r="N423" s="260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259"/>
      <c r="K424" s="133"/>
      <c r="L424" s="85"/>
      <c r="M424" s="135"/>
      <c r="N424" s="260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259"/>
      <c r="K425" s="133"/>
      <c r="L425" s="85"/>
      <c r="M425" s="135"/>
      <c r="N425" s="260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259"/>
      <c r="K426" s="133"/>
      <c r="L426" s="85"/>
      <c r="M426" s="135"/>
      <c r="N426" s="260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259"/>
      <c r="K427" s="133"/>
      <c r="L427" s="85"/>
      <c r="M427" s="135"/>
      <c r="N427" s="260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259"/>
      <c r="K428" s="133"/>
      <c r="L428" s="85"/>
      <c r="M428" s="135"/>
      <c r="N428" s="260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259"/>
      <c r="K429" s="133"/>
      <c r="L429" s="85"/>
      <c r="M429" s="135"/>
      <c r="N429" s="260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259"/>
      <c r="K430" s="133"/>
      <c r="L430" s="85"/>
      <c r="M430" s="135"/>
      <c r="N430" s="260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259"/>
      <c r="K431" s="133"/>
      <c r="L431" s="85"/>
      <c r="M431" s="135"/>
      <c r="N431" s="260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259"/>
      <c r="K432" s="133"/>
      <c r="L432" s="85"/>
      <c r="M432" s="135"/>
      <c r="N432" s="260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259"/>
      <c r="K433" s="133"/>
      <c r="L433" s="85"/>
      <c r="M433" s="135"/>
      <c r="N433" s="260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259"/>
      <c r="K434" s="133"/>
      <c r="L434" s="85"/>
      <c r="M434" s="135"/>
      <c r="N434" s="260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259"/>
      <c r="K435" s="133"/>
      <c r="L435" s="85"/>
      <c r="M435" s="135"/>
      <c r="N435" s="260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259"/>
      <c r="K436" s="133"/>
      <c r="L436" s="85"/>
      <c r="M436" s="135"/>
      <c r="N436" s="260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259"/>
      <c r="K437" s="133"/>
      <c r="L437" s="85"/>
      <c r="M437" s="135"/>
      <c r="N437" s="260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259"/>
      <c r="K438" s="133"/>
      <c r="L438" s="85"/>
      <c r="M438" s="135"/>
      <c r="N438" s="260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259"/>
      <c r="K439" s="133"/>
      <c r="L439" s="85"/>
      <c r="M439" s="135"/>
      <c r="N439" s="260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259"/>
      <c r="K440" s="133"/>
      <c r="L440" s="85"/>
      <c r="M440" s="135"/>
      <c r="N440" s="260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259"/>
      <c r="K441" s="133"/>
      <c r="L441" s="85"/>
      <c r="M441" s="135"/>
      <c r="N441" s="260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259"/>
      <c r="K442" s="133"/>
      <c r="L442" s="85"/>
      <c r="M442" s="135"/>
      <c r="N442" s="260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259"/>
      <c r="K443" s="133"/>
      <c r="L443" s="85"/>
      <c r="M443" s="135"/>
      <c r="N443" s="260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259"/>
      <c r="K444" s="133"/>
      <c r="L444" s="85"/>
      <c r="M444" s="135"/>
      <c r="N444" s="260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259"/>
      <c r="K445" s="133"/>
      <c r="L445" s="85"/>
      <c r="M445" s="135"/>
      <c r="N445" s="260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259"/>
      <c r="K446" s="133"/>
      <c r="L446" s="85"/>
      <c r="M446" s="135"/>
      <c r="N446" s="260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259"/>
      <c r="K447" s="133"/>
      <c r="L447" s="85"/>
      <c r="M447" s="135"/>
      <c r="N447" s="260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259"/>
      <c r="K448" s="133"/>
      <c r="L448" s="85"/>
      <c r="M448" s="135"/>
      <c r="N448" s="260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259"/>
      <c r="K449" s="133"/>
      <c r="L449" s="85"/>
      <c r="M449" s="135"/>
      <c r="N449" s="260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259"/>
      <c r="K450" s="133"/>
      <c r="L450" s="85"/>
      <c r="M450" s="135"/>
      <c r="N450" s="260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259"/>
      <c r="K451" s="133"/>
      <c r="L451" s="85"/>
      <c r="M451" s="135"/>
      <c r="N451" s="260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259"/>
      <c r="K452" s="133"/>
      <c r="L452" s="85"/>
      <c r="M452" s="135"/>
      <c r="N452" s="260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259"/>
      <c r="K453" s="133"/>
      <c r="L453" s="85"/>
      <c r="M453" s="135"/>
      <c r="N453" s="260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259"/>
      <c r="K454" s="133"/>
      <c r="L454" s="85"/>
      <c r="M454" s="135"/>
      <c r="N454" s="260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259"/>
      <c r="K455" s="133"/>
      <c r="L455" s="85"/>
      <c r="M455" s="135"/>
      <c r="N455" s="260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259"/>
      <c r="K456" s="133"/>
      <c r="L456" s="85"/>
      <c r="M456" s="135"/>
      <c r="N456" s="260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259"/>
      <c r="K457" s="133"/>
      <c r="L457" s="85"/>
      <c r="M457" s="135"/>
      <c r="N457" s="260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259"/>
      <c r="K458" s="133"/>
      <c r="L458" s="85"/>
      <c r="M458" s="135"/>
      <c r="N458" s="260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259"/>
      <c r="K459" s="133"/>
      <c r="L459" s="85"/>
      <c r="M459" s="135"/>
      <c r="N459" s="260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259"/>
      <c r="K460" s="133"/>
      <c r="L460" s="85"/>
      <c r="M460" s="135"/>
      <c r="N460" s="260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259"/>
      <c r="K461" s="133"/>
      <c r="L461" s="85"/>
      <c r="M461" s="135"/>
      <c r="N461" s="260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259"/>
      <c r="K462" s="133"/>
      <c r="L462" s="85"/>
      <c r="M462" s="135"/>
      <c r="N462" s="260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259"/>
      <c r="K463" s="133"/>
      <c r="L463" s="85"/>
      <c r="M463" s="135"/>
      <c r="N463" s="260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259"/>
      <c r="K464" s="133"/>
      <c r="L464" s="85"/>
      <c r="M464" s="135"/>
      <c r="N464" s="260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259"/>
      <c r="K465" s="133"/>
      <c r="L465" s="85"/>
      <c r="M465" s="135"/>
      <c r="N465" s="260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259"/>
      <c r="K466" s="133"/>
      <c r="L466" s="85"/>
      <c r="M466" s="135"/>
      <c r="N466" s="260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259"/>
      <c r="K467" s="133"/>
      <c r="L467" s="85"/>
      <c r="M467" s="135"/>
      <c r="N467" s="260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259"/>
      <c r="K468" s="133"/>
      <c r="L468" s="85"/>
      <c r="M468" s="135"/>
      <c r="N468" s="260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259"/>
      <c r="K469" s="133"/>
      <c r="L469" s="85"/>
      <c r="M469" s="135"/>
      <c r="N469" s="260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259"/>
      <c r="K470" s="133"/>
      <c r="L470" s="85"/>
      <c r="M470" s="135"/>
      <c r="N470" s="260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259"/>
      <c r="K471" s="133"/>
      <c r="L471" s="85"/>
      <c r="M471" s="135"/>
      <c r="N471" s="260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259"/>
      <c r="K472" s="133"/>
      <c r="L472" s="85"/>
      <c r="M472" s="135"/>
      <c r="N472" s="260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259"/>
      <c r="K473" s="133"/>
      <c r="L473" s="85"/>
      <c r="M473" s="135"/>
      <c r="N473" s="260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259"/>
      <c r="K474" s="133"/>
      <c r="L474" s="85"/>
      <c r="M474" s="135"/>
      <c r="N474" s="260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259"/>
      <c r="K475" s="133"/>
      <c r="L475" s="85"/>
      <c r="M475" s="135"/>
      <c r="N475" s="260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259"/>
      <c r="K476" s="133"/>
      <c r="L476" s="85"/>
      <c r="M476" s="135"/>
      <c r="N476" s="260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259"/>
      <c r="K477" s="133"/>
      <c r="L477" s="85"/>
      <c r="M477" s="135"/>
      <c r="N477" s="260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259"/>
      <c r="K478" s="133"/>
      <c r="L478" s="85"/>
      <c r="M478" s="135"/>
      <c r="N478" s="260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259"/>
      <c r="K479" s="133"/>
      <c r="L479" s="85"/>
      <c r="M479" s="135"/>
      <c r="N479" s="260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259"/>
      <c r="K480" s="133"/>
      <c r="L480" s="85"/>
      <c r="M480" s="135"/>
      <c r="N480" s="260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259"/>
      <c r="K481" s="133"/>
      <c r="L481" s="85"/>
      <c r="M481" s="135"/>
      <c r="N481" s="260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259"/>
      <c r="K482" s="133"/>
      <c r="L482" s="85"/>
      <c r="M482" s="135"/>
      <c r="N482" s="260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259"/>
      <c r="K483" s="133"/>
      <c r="L483" s="85"/>
      <c r="M483" s="135"/>
      <c r="N483" s="260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259"/>
      <c r="K484" s="133"/>
      <c r="L484" s="85"/>
      <c r="M484" s="135"/>
      <c r="N484" s="260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259"/>
      <c r="K485" s="133"/>
      <c r="L485" s="85"/>
      <c r="M485" s="135"/>
      <c r="N485" s="260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259"/>
      <c r="K486" s="133"/>
      <c r="L486" s="85"/>
      <c r="M486" s="135"/>
      <c r="N486" s="260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259"/>
      <c r="K487" s="133"/>
      <c r="L487" s="85"/>
      <c r="M487" s="135"/>
      <c r="N487" s="260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259"/>
      <c r="K488" s="133"/>
      <c r="L488" s="85"/>
      <c r="M488" s="135"/>
      <c r="N488" s="260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259"/>
      <c r="K489" s="133"/>
      <c r="L489" s="85"/>
      <c r="M489" s="135"/>
      <c r="N489" s="260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259"/>
      <c r="K490" s="133"/>
      <c r="L490" s="85"/>
      <c r="M490" s="135"/>
      <c r="N490" s="260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259"/>
      <c r="K491" s="133"/>
      <c r="L491" s="85"/>
      <c r="M491" s="135"/>
      <c r="N491" s="260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259"/>
      <c r="K492" s="133"/>
      <c r="L492" s="85"/>
      <c r="M492" s="135"/>
      <c r="N492" s="260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259"/>
      <c r="K493" s="133"/>
      <c r="L493" s="85"/>
      <c r="M493" s="135"/>
      <c r="N493" s="260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259"/>
      <c r="K494" s="133"/>
      <c r="L494" s="85"/>
      <c r="M494" s="135"/>
      <c r="N494" s="260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259"/>
      <c r="K495" s="133"/>
      <c r="L495" s="85"/>
      <c r="M495" s="135"/>
      <c r="N495" s="260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259"/>
      <c r="K496" s="133"/>
      <c r="L496" s="85"/>
      <c r="M496" s="135"/>
      <c r="N496" s="260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259"/>
      <c r="K497" s="133"/>
      <c r="L497" s="85"/>
      <c r="M497" s="135"/>
      <c r="N497" s="260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259"/>
      <c r="K498" s="133"/>
      <c r="L498" s="85"/>
      <c r="M498" s="135"/>
      <c r="N498" s="260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259"/>
      <c r="K499" s="133"/>
      <c r="L499" s="85"/>
      <c r="M499" s="135"/>
      <c r="N499" s="260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259"/>
      <c r="K500" s="133"/>
      <c r="L500" s="85"/>
      <c r="M500" s="135"/>
      <c r="N500" s="260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259"/>
      <c r="K501" s="133"/>
      <c r="L501" s="85"/>
      <c r="M501" s="135"/>
      <c r="N501" s="260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259"/>
      <c r="K502" s="133"/>
      <c r="L502" s="85"/>
      <c r="M502" s="135"/>
      <c r="N502" s="260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259"/>
      <c r="K503" s="133"/>
      <c r="L503" s="85"/>
      <c r="M503" s="135"/>
      <c r="N503" s="260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259"/>
      <c r="K504" s="133"/>
      <c r="L504" s="85"/>
      <c r="M504" s="135"/>
      <c r="N504" s="260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259"/>
      <c r="K505" s="133"/>
      <c r="L505" s="85"/>
      <c r="M505" s="135"/>
      <c r="N505" s="260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259"/>
      <c r="K506" s="133"/>
      <c r="L506" s="85"/>
      <c r="M506" s="135"/>
      <c r="N506" s="260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259"/>
      <c r="K507" s="133"/>
      <c r="L507" s="85"/>
      <c r="M507" s="135"/>
      <c r="N507" s="260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259"/>
      <c r="K508" s="133"/>
      <c r="L508" s="85"/>
      <c r="M508" s="135"/>
      <c r="N508" s="260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259"/>
      <c r="K509" s="133"/>
      <c r="L509" s="85"/>
      <c r="M509" s="135"/>
      <c r="N509" s="260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259"/>
      <c r="K510" s="133"/>
      <c r="L510" s="85"/>
      <c r="M510" s="135"/>
      <c r="N510" s="260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259"/>
      <c r="K511" s="133"/>
      <c r="L511" s="85"/>
      <c r="M511" s="135"/>
      <c r="N511" s="260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259"/>
      <c r="K512" s="133"/>
      <c r="L512" s="85"/>
      <c r="M512" s="135"/>
      <c r="N512" s="260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259"/>
      <c r="K513" s="133"/>
      <c r="L513" s="85"/>
      <c r="M513" s="135"/>
      <c r="N513" s="260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259"/>
      <c r="K514" s="133"/>
      <c r="L514" s="85"/>
      <c r="M514" s="135"/>
      <c r="N514" s="260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259"/>
      <c r="K515" s="133"/>
      <c r="L515" s="85"/>
      <c r="M515" s="135"/>
      <c r="N515" s="260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259"/>
      <c r="K516" s="133"/>
      <c r="L516" s="85"/>
      <c r="M516" s="135"/>
      <c r="N516" s="260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259"/>
      <c r="K517" s="133"/>
      <c r="L517" s="85"/>
      <c r="M517" s="135"/>
      <c r="N517" s="260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259"/>
      <c r="K518" s="133"/>
      <c r="L518" s="85"/>
      <c r="M518" s="135"/>
      <c r="N518" s="260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259"/>
      <c r="K519" s="133"/>
      <c r="L519" s="85"/>
      <c r="M519" s="135"/>
      <c r="N519" s="260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259"/>
      <c r="K520" s="133"/>
      <c r="L520" s="85"/>
      <c r="M520" s="135"/>
      <c r="N520" s="260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259"/>
      <c r="K521" s="133"/>
      <c r="L521" s="85"/>
      <c r="M521" s="135"/>
      <c r="N521" s="260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259"/>
      <c r="K522" s="133"/>
      <c r="L522" s="85"/>
      <c r="M522" s="135"/>
      <c r="N522" s="260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259"/>
      <c r="K523" s="133"/>
      <c r="L523" s="85"/>
      <c r="M523" s="135"/>
      <c r="N523" s="260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259"/>
      <c r="K524" s="133"/>
      <c r="L524" s="85"/>
      <c r="M524" s="135"/>
      <c r="N524" s="260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259"/>
      <c r="K525" s="133"/>
      <c r="L525" s="85"/>
      <c r="M525" s="135"/>
      <c r="N525" s="260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259"/>
      <c r="K526" s="133"/>
      <c r="L526" s="85"/>
      <c r="M526" s="135"/>
      <c r="N526" s="260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259"/>
      <c r="K527" s="133"/>
      <c r="L527" s="85"/>
      <c r="M527" s="135"/>
      <c r="N527" s="260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259"/>
      <c r="K528" s="133"/>
      <c r="L528" s="85"/>
      <c r="M528" s="135"/>
      <c r="N528" s="260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259"/>
      <c r="K529" s="133"/>
      <c r="L529" s="85"/>
      <c r="M529" s="135"/>
      <c r="N529" s="260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259"/>
      <c r="K530" s="133"/>
      <c r="L530" s="85"/>
      <c r="M530" s="135"/>
      <c r="N530" s="260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259"/>
      <c r="K531" s="133"/>
      <c r="L531" s="85"/>
      <c r="M531" s="135"/>
      <c r="N531" s="260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259"/>
      <c r="K532" s="133"/>
      <c r="L532" s="85"/>
      <c r="M532" s="135"/>
      <c r="N532" s="260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259"/>
      <c r="K533" s="133"/>
      <c r="L533" s="85"/>
      <c r="M533" s="135"/>
      <c r="N533" s="260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259"/>
      <c r="K534" s="133"/>
      <c r="L534" s="85"/>
      <c r="M534" s="135"/>
      <c r="N534" s="260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259"/>
      <c r="K535" s="133"/>
      <c r="L535" s="85"/>
      <c r="M535" s="135"/>
      <c r="N535" s="260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259"/>
      <c r="K536" s="133"/>
      <c r="L536" s="85"/>
      <c r="M536" s="135"/>
      <c r="N536" s="260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259"/>
      <c r="K537" s="133"/>
      <c r="L537" s="85"/>
      <c r="M537" s="135"/>
      <c r="N537" s="260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259"/>
      <c r="K538" s="133"/>
      <c r="L538" s="85"/>
      <c r="M538" s="135"/>
      <c r="N538" s="260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259"/>
      <c r="K539" s="133"/>
      <c r="L539" s="85"/>
      <c r="M539" s="135"/>
      <c r="N539" s="260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259"/>
      <c r="K540" s="133"/>
      <c r="L540" s="85"/>
      <c r="M540" s="135"/>
      <c r="N540" s="260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259"/>
      <c r="K541" s="133"/>
      <c r="L541" s="85"/>
      <c r="M541" s="135"/>
      <c r="N541" s="260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259"/>
      <c r="K542" s="133"/>
      <c r="L542" s="85"/>
      <c r="M542" s="135"/>
      <c r="N542" s="260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259"/>
      <c r="K543" s="133"/>
      <c r="L543" s="85"/>
      <c r="M543" s="135"/>
      <c r="N543" s="260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259"/>
      <c r="K544" s="133"/>
      <c r="L544" s="85"/>
      <c r="M544" s="135"/>
      <c r="N544" s="260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259"/>
      <c r="K545" s="133"/>
      <c r="L545" s="85"/>
      <c r="M545" s="135"/>
      <c r="N545" s="260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259"/>
      <c r="K546" s="133"/>
      <c r="L546" s="85"/>
      <c r="M546" s="135"/>
      <c r="N546" s="260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259"/>
      <c r="K547" s="133"/>
      <c r="L547" s="85"/>
      <c r="M547" s="135"/>
      <c r="N547" s="260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259"/>
      <c r="K548" s="133"/>
      <c r="L548" s="85"/>
      <c r="M548" s="135"/>
      <c r="N548" s="260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259"/>
      <c r="K549" s="133"/>
      <c r="L549" s="85"/>
      <c r="M549" s="135"/>
      <c r="N549" s="260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259"/>
      <c r="K550" s="133"/>
      <c r="L550" s="85"/>
      <c r="M550" s="135"/>
      <c r="N550" s="260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259"/>
      <c r="K551" s="133"/>
      <c r="L551" s="85"/>
      <c r="M551" s="135"/>
      <c r="N551" s="260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259"/>
      <c r="K552" s="133"/>
      <c r="L552" s="85"/>
      <c r="M552" s="135"/>
      <c r="N552" s="260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259"/>
      <c r="K553" s="133"/>
      <c r="L553" s="85"/>
      <c r="M553" s="135"/>
      <c r="N553" s="260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259"/>
      <c r="K554" s="133"/>
      <c r="L554" s="85"/>
      <c r="M554" s="135"/>
      <c r="N554" s="260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259"/>
      <c r="K555" s="133"/>
      <c r="L555" s="85"/>
      <c r="M555" s="135"/>
      <c r="N555" s="260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259"/>
      <c r="K556" s="133"/>
      <c r="L556" s="85"/>
      <c r="M556" s="135"/>
      <c r="N556" s="260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259"/>
      <c r="K557" s="133"/>
      <c r="L557" s="85"/>
      <c r="M557" s="135"/>
      <c r="N557" s="260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259"/>
      <c r="K558" s="133"/>
      <c r="L558" s="85"/>
      <c r="M558" s="135"/>
      <c r="N558" s="260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259"/>
      <c r="K559" s="133"/>
      <c r="L559" s="85"/>
      <c r="M559" s="135"/>
      <c r="N559" s="260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259"/>
      <c r="K560" s="133"/>
      <c r="L560" s="85"/>
      <c r="M560" s="135"/>
      <c r="N560" s="260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259"/>
      <c r="K561" s="133"/>
      <c r="L561" s="85"/>
      <c r="M561" s="135"/>
      <c r="N561" s="260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259"/>
      <c r="K562" s="133"/>
      <c r="L562" s="85"/>
      <c r="M562" s="135"/>
      <c r="N562" s="260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259"/>
      <c r="K563" s="133"/>
      <c r="L563" s="85"/>
      <c r="M563" s="135"/>
      <c r="N563" s="260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259"/>
      <c r="K564" s="133"/>
      <c r="L564" s="85"/>
      <c r="M564" s="135"/>
      <c r="N564" s="260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259"/>
      <c r="K565" s="133"/>
      <c r="L565" s="85"/>
      <c r="M565" s="135"/>
      <c r="N565" s="260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259"/>
      <c r="K566" s="133"/>
      <c r="L566" s="85"/>
      <c r="M566" s="135"/>
      <c r="N566" s="260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259"/>
      <c r="K567" s="133"/>
      <c r="L567" s="85"/>
      <c r="M567" s="135"/>
      <c r="N567" s="260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259"/>
      <c r="K568" s="133"/>
      <c r="L568" s="85"/>
      <c r="M568" s="135"/>
      <c r="N568" s="260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259"/>
      <c r="K569" s="133"/>
      <c r="L569" s="85"/>
      <c r="M569" s="135"/>
      <c r="N569" s="260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259"/>
      <c r="K570" s="133"/>
      <c r="L570" s="85"/>
      <c r="M570" s="135"/>
      <c r="N570" s="260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259"/>
      <c r="K571" s="133"/>
      <c r="L571" s="85"/>
      <c r="M571" s="135"/>
      <c r="N571" s="260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259"/>
      <c r="K572" s="133"/>
      <c r="L572" s="85"/>
      <c r="M572" s="135"/>
      <c r="N572" s="260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259"/>
      <c r="K573" s="133"/>
      <c r="L573" s="85"/>
      <c r="M573" s="135"/>
      <c r="N573" s="260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259"/>
      <c r="K574" s="133"/>
      <c r="L574" s="85"/>
      <c r="M574" s="135"/>
      <c r="N574" s="260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259"/>
      <c r="K575" s="133"/>
      <c r="L575" s="85"/>
      <c r="M575" s="135"/>
      <c r="N575" s="260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259"/>
      <c r="K576" s="133"/>
      <c r="L576" s="85"/>
      <c r="M576" s="135"/>
      <c r="N576" s="260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259"/>
      <c r="K577" s="133"/>
      <c r="L577" s="85"/>
      <c r="M577" s="135"/>
      <c r="N577" s="260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259"/>
      <c r="K578" s="133"/>
      <c r="L578" s="85"/>
      <c r="M578" s="135"/>
      <c r="N578" s="260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259"/>
      <c r="K579" s="133"/>
      <c r="L579" s="85"/>
      <c r="M579" s="135"/>
      <c r="N579" s="260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259"/>
      <c r="K580" s="133"/>
      <c r="L580" s="85"/>
      <c r="M580" s="135"/>
      <c r="N580" s="260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259"/>
      <c r="K581" s="133"/>
      <c r="L581" s="85"/>
      <c r="M581" s="135"/>
      <c r="N581" s="260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259"/>
      <c r="K582" s="133"/>
      <c r="L582" s="85"/>
      <c r="M582" s="135"/>
      <c r="N582" s="260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259"/>
      <c r="K583" s="133"/>
      <c r="L583" s="85"/>
      <c r="M583" s="135"/>
      <c r="N583" s="260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259"/>
      <c r="K584" s="133"/>
      <c r="L584" s="85"/>
      <c r="M584" s="135"/>
      <c r="N584" s="260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259"/>
      <c r="K585" s="133"/>
      <c r="L585" s="85"/>
      <c r="M585" s="135"/>
      <c r="N585" s="260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259"/>
      <c r="K586" s="133"/>
      <c r="L586" s="85"/>
      <c r="M586" s="135"/>
      <c r="N586" s="260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259"/>
      <c r="K587" s="133"/>
      <c r="L587" s="85"/>
      <c r="M587" s="135"/>
      <c r="N587" s="260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259"/>
      <c r="K588" s="133"/>
      <c r="L588" s="85"/>
      <c r="M588" s="135"/>
      <c r="N588" s="260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259"/>
      <c r="K589" s="133"/>
      <c r="L589" s="85"/>
      <c r="M589" s="135"/>
      <c r="N589" s="260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259"/>
      <c r="K590" s="133"/>
      <c r="L590" s="85"/>
      <c r="M590" s="135"/>
      <c r="N590" s="260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259"/>
      <c r="K591" s="133"/>
      <c r="L591" s="85"/>
      <c r="M591" s="135"/>
      <c r="N591" s="260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259"/>
      <c r="K592" s="133"/>
      <c r="L592" s="85"/>
      <c r="M592" s="135"/>
      <c r="N592" s="260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259"/>
      <c r="K593" s="133"/>
      <c r="L593" s="85"/>
      <c r="M593" s="135"/>
      <c r="N593" s="260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259"/>
      <c r="K594" s="133"/>
      <c r="L594" s="85"/>
      <c r="M594" s="135"/>
      <c r="N594" s="260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259"/>
      <c r="K595" s="133"/>
      <c r="L595" s="85"/>
      <c r="M595" s="135"/>
      <c r="N595" s="260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259"/>
      <c r="K596" s="133"/>
      <c r="L596" s="85"/>
      <c r="M596" s="135"/>
      <c r="N596" s="260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259"/>
      <c r="K597" s="133"/>
      <c r="L597" s="85"/>
      <c r="M597" s="135"/>
      <c r="N597" s="260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259"/>
      <c r="K598" s="133"/>
      <c r="L598" s="85"/>
      <c r="M598" s="135"/>
      <c r="N598" s="260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259"/>
      <c r="K599" s="133"/>
      <c r="L599" s="85"/>
      <c r="M599" s="135"/>
      <c r="N599" s="260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259"/>
      <c r="K600" s="133"/>
      <c r="L600" s="85"/>
      <c r="M600" s="135"/>
      <c r="N600" s="260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259"/>
      <c r="K601" s="133"/>
      <c r="L601" s="85"/>
      <c r="M601" s="135"/>
      <c r="N601" s="260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259"/>
      <c r="K602" s="133"/>
      <c r="L602" s="85"/>
      <c r="M602" s="135"/>
      <c r="N602" s="260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259"/>
      <c r="K603" s="133"/>
      <c r="L603" s="85"/>
      <c r="M603" s="135"/>
      <c r="N603" s="260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259"/>
      <c r="K604" s="133"/>
      <c r="L604" s="85"/>
      <c r="M604" s="135"/>
      <c r="N604" s="260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259"/>
      <c r="K605" s="133"/>
      <c r="L605" s="85"/>
      <c r="M605" s="135"/>
      <c r="N605" s="260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259"/>
      <c r="K606" s="133"/>
      <c r="L606" s="85"/>
      <c r="M606" s="135"/>
      <c r="N606" s="260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259"/>
      <c r="K607" s="133"/>
      <c r="L607" s="85"/>
      <c r="M607" s="135"/>
      <c r="N607" s="260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259"/>
      <c r="K608" s="133"/>
      <c r="L608" s="85"/>
      <c r="M608" s="135"/>
      <c r="N608" s="260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259"/>
      <c r="K609" s="133"/>
      <c r="L609" s="85"/>
      <c r="M609" s="135"/>
      <c r="N609" s="260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259"/>
      <c r="K610" s="133"/>
      <c r="L610" s="85"/>
      <c r="M610" s="135"/>
      <c r="N610" s="260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259"/>
      <c r="K611" s="133"/>
      <c r="L611" s="85"/>
      <c r="M611" s="135"/>
      <c r="N611" s="260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259"/>
      <c r="K612" s="133"/>
      <c r="L612" s="85"/>
      <c r="M612" s="135"/>
      <c r="N612" s="260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259"/>
      <c r="K613" s="133"/>
      <c r="L613" s="85"/>
      <c r="M613" s="135"/>
      <c r="N613" s="260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259"/>
      <c r="K614" s="133"/>
      <c r="L614" s="85"/>
      <c r="M614" s="135"/>
      <c r="N614" s="260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259"/>
      <c r="K615" s="133"/>
      <c r="L615" s="85"/>
      <c r="M615" s="135"/>
      <c r="N615" s="260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259"/>
      <c r="K616" s="133"/>
      <c r="L616" s="85"/>
      <c r="M616" s="135"/>
      <c r="N616" s="260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259"/>
      <c r="K617" s="133"/>
      <c r="L617" s="85"/>
      <c r="M617" s="135"/>
      <c r="N617" s="260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259"/>
      <c r="K618" s="133"/>
      <c r="L618" s="85"/>
      <c r="M618" s="135"/>
      <c r="N618" s="260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259"/>
      <c r="K619" s="133"/>
      <c r="L619" s="85"/>
      <c r="M619" s="135"/>
      <c r="N619" s="260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259"/>
      <c r="K620" s="133"/>
      <c r="L620" s="85"/>
      <c r="M620" s="135"/>
      <c r="N620" s="260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259"/>
      <c r="K621" s="133"/>
      <c r="L621" s="85"/>
      <c r="M621" s="135"/>
      <c r="N621" s="260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259"/>
      <c r="K622" s="133"/>
      <c r="L622" s="85"/>
      <c r="M622" s="135"/>
      <c r="N622" s="260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259"/>
      <c r="K623" s="133"/>
      <c r="L623" s="85"/>
      <c r="M623" s="135"/>
      <c r="N623" s="260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259"/>
      <c r="K624" s="133"/>
      <c r="L624" s="85"/>
      <c r="M624" s="135"/>
      <c r="N624" s="260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259"/>
      <c r="K625" s="133"/>
      <c r="L625" s="85"/>
      <c r="M625" s="135"/>
      <c r="N625" s="260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259"/>
      <c r="K626" s="133"/>
      <c r="L626" s="85"/>
      <c r="M626" s="135"/>
      <c r="N626" s="260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259"/>
      <c r="K627" s="133"/>
      <c r="L627" s="85"/>
      <c r="M627" s="135"/>
      <c r="N627" s="260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259"/>
      <c r="K628" s="133"/>
      <c r="L628" s="85"/>
      <c r="M628" s="135"/>
      <c r="N628" s="260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259"/>
      <c r="K629" s="133"/>
      <c r="L629" s="85"/>
      <c r="M629" s="135"/>
      <c r="N629" s="260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259"/>
      <c r="K630" s="133"/>
      <c r="L630" s="85"/>
      <c r="M630" s="135"/>
      <c r="N630" s="260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259"/>
      <c r="K631" s="133"/>
      <c r="L631" s="85"/>
      <c r="M631" s="135"/>
      <c r="N631" s="260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259"/>
      <c r="K632" s="133"/>
      <c r="L632" s="85"/>
      <c r="M632" s="135"/>
      <c r="N632" s="260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259"/>
      <c r="K633" s="133"/>
      <c r="L633" s="85"/>
      <c r="M633" s="135"/>
      <c r="N633" s="260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259"/>
      <c r="K634" s="133"/>
      <c r="L634" s="85"/>
      <c r="M634" s="135"/>
      <c r="N634" s="260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259"/>
      <c r="K635" s="133"/>
      <c r="L635" s="85"/>
      <c r="M635" s="135"/>
      <c r="N635" s="260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259"/>
      <c r="K636" s="133"/>
      <c r="L636" s="85"/>
      <c r="M636" s="135"/>
      <c r="N636" s="260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259"/>
      <c r="K637" s="133"/>
      <c r="L637" s="85"/>
      <c r="M637" s="135"/>
      <c r="N637" s="260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259"/>
      <c r="K638" s="133"/>
      <c r="L638" s="85"/>
      <c r="M638" s="135"/>
      <c r="N638" s="260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259"/>
      <c r="K639" s="133"/>
      <c r="L639" s="85"/>
      <c r="M639" s="135"/>
      <c r="N639" s="260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259"/>
      <c r="K640" s="133"/>
      <c r="L640" s="85"/>
      <c r="M640" s="135"/>
      <c r="N640" s="260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259"/>
      <c r="K641" s="133"/>
      <c r="L641" s="85"/>
      <c r="M641" s="135"/>
      <c r="N641" s="260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259"/>
      <c r="K642" s="133"/>
      <c r="L642" s="85"/>
      <c r="M642" s="135"/>
      <c r="N642" s="260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259"/>
      <c r="K643" s="133"/>
      <c r="L643" s="85"/>
      <c r="M643" s="135"/>
      <c r="N643" s="260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259"/>
      <c r="K644" s="133"/>
      <c r="L644" s="85"/>
      <c r="M644" s="135"/>
      <c r="N644" s="260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259"/>
      <c r="K645" s="133"/>
      <c r="L645" s="85"/>
      <c r="M645" s="135"/>
      <c r="N645" s="260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259"/>
      <c r="K646" s="133"/>
      <c r="L646" s="85"/>
      <c r="M646" s="135"/>
      <c r="N646" s="260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259"/>
      <c r="K647" s="133"/>
      <c r="L647" s="85"/>
      <c r="M647" s="135"/>
      <c r="N647" s="260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259"/>
      <c r="K648" s="133"/>
      <c r="L648" s="85"/>
      <c r="M648" s="135"/>
      <c r="N648" s="260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259"/>
      <c r="K649" s="133"/>
      <c r="L649" s="85"/>
      <c r="M649" s="135"/>
      <c r="N649" s="260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259"/>
      <c r="K650" s="133"/>
      <c r="L650" s="85"/>
      <c r="M650" s="135"/>
      <c r="N650" s="260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259"/>
      <c r="K651" s="133"/>
      <c r="L651" s="85"/>
      <c r="M651" s="135"/>
      <c r="N651" s="260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259"/>
      <c r="K652" s="133"/>
      <c r="L652" s="85"/>
      <c r="M652" s="135"/>
      <c r="N652" s="260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259"/>
      <c r="K653" s="133"/>
      <c r="L653" s="85"/>
      <c r="M653" s="135"/>
      <c r="N653" s="260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259"/>
      <c r="K654" s="133"/>
      <c r="L654" s="85"/>
      <c r="M654" s="135"/>
      <c r="N654" s="260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259"/>
      <c r="K655" s="133"/>
      <c r="L655" s="85"/>
      <c r="M655" s="135"/>
      <c r="N655" s="260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259"/>
      <c r="K656" s="133"/>
      <c r="L656" s="85"/>
      <c r="M656" s="135"/>
      <c r="N656" s="260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259"/>
      <c r="K657" s="133"/>
      <c r="L657" s="85"/>
      <c r="M657" s="135"/>
      <c r="N657" s="260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259"/>
      <c r="K658" s="133"/>
      <c r="L658" s="85"/>
      <c r="M658" s="135"/>
      <c r="N658" s="260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259"/>
      <c r="K659" s="133"/>
      <c r="L659" s="85"/>
      <c r="M659" s="135"/>
      <c r="N659" s="260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259"/>
      <c r="K660" s="133"/>
      <c r="L660" s="85"/>
      <c r="M660" s="135"/>
      <c r="N660" s="260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259"/>
      <c r="K661" s="133"/>
      <c r="L661" s="85"/>
      <c r="M661" s="135"/>
      <c r="N661" s="260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259"/>
      <c r="K662" s="133"/>
      <c r="L662" s="85"/>
      <c r="M662" s="135"/>
      <c r="N662" s="260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259"/>
      <c r="K663" s="133"/>
      <c r="L663" s="85"/>
      <c r="M663" s="135"/>
      <c r="N663" s="260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259"/>
      <c r="K664" s="133"/>
      <c r="L664" s="85"/>
      <c r="M664" s="135"/>
      <c r="N664" s="260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259"/>
      <c r="K665" s="133"/>
      <c r="L665" s="85"/>
      <c r="M665" s="135"/>
      <c r="N665" s="260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259"/>
      <c r="K666" s="133"/>
      <c r="L666" s="85"/>
      <c r="M666" s="135"/>
      <c r="N666" s="260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259"/>
      <c r="K667" s="133"/>
      <c r="L667" s="85"/>
      <c r="M667" s="135"/>
      <c r="N667" s="260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259"/>
      <c r="K668" s="133"/>
      <c r="L668" s="85"/>
      <c r="M668" s="135"/>
      <c r="N668" s="260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259"/>
      <c r="K669" s="133"/>
      <c r="L669" s="85"/>
      <c r="M669" s="135"/>
      <c r="N669" s="260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259"/>
      <c r="K670" s="133"/>
      <c r="L670" s="85"/>
      <c r="M670" s="135"/>
      <c r="N670" s="260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259"/>
      <c r="K671" s="133"/>
      <c r="L671" s="85"/>
      <c r="M671" s="135"/>
      <c r="N671" s="260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259"/>
      <c r="K672" s="133"/>
      <c r="L672" s="85"/>
      <c r="M672" s="135"/>
      <c r="N672" s="260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259"/>
      <c r="K673" s="133"/>
      <c r="L673" s="85"/>
      <c r="M673" s="135"/>
      <c r="N673" s="260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259"/>
      <c r="K674" s="133"/>
      <c r="L674" s="85"/>
      <c r="M674" s="135"/>
      <c r="N674" s="260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259"/>
      <c r="K675" s="133"/>
      <c r="L675" s="85"/>
      <c r="M675" s="135"/>
      <c r="N675" s="260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259"/>
      <c r="K676" s="133"/>
      <c r="L676" s="85"/>
      <c r="M676" s="135"/>
      <c r="N676" s="260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259"/>
      <c r="K677" s="133"/>
      <c r="L677" s="85"/>
      <c r="M677" s="135"/>
      <c r="N677" s="260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259"/>
      <c r="K678" s="133"/>
      <c r="L678" s="85"/>
      <c r="M678" s="135"/>
      <c r="N678" s="260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259"/>
      <c r="K679" s="133"/>
      <c r="L679" s="85"/>
      <c r="M679" s="135"/>
      <c r="N679" s="260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259"/>
      <c r="K680" s="133"/>
      <c r="L680" s="85"/>
      <c r="M680" s="135"/>
      <c r="N680" s="260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259"/>
      <c r="K681" s="133"/>
      <c r="L681" s="85"/>
      <c r="M681" s="135"/>
      <c r="N681" s="260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259"/>
      <c r="K682" s="133"/>
      <c r="L682" s="85"/>
      <c r="M682" s="135"/>
      <c r="N682" s="260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259"/>
      <c r="K683" s="133"/>
      <c r="L683" s="85"/>
      <c r="M683" s="135"/>
      <c r="N683" s="260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259"/>
      <c r="K684" s="133"/>
      <c r="L684" s="85"/>
      <c r="M684" s="135"/>
      <c r="N684" s="260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259"/>
      <c r="K685" s="133"/>
      <c r="L685" s="85"/>
      <c r="M685" s="135"/>
      <c r="N685" s="260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259"/>
      <c r="K686" s="133"/>
      <c r="L686" s="85"/>
      <c r="M686" s="135"/>
      <c r="N686" s="260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259"/>
      <c r="K687" s="133"/>
      <c r="L687" s="85"/>
      <c r="M687" s="135"/>
      <c r="N687" s="260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259"/>
      <c r="K688" s="133"/>
      <c r="L688" s="85"/>
      <c r="M688" s="135"/>
      <c r="N688" s="260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259"/>
      <c r="K689" s="133"/>
      <c r="L689" s="85"/>
      <c r="M689" s="135"/>
      <c r="N689" s="260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259"/>
      <c r="K690" s="133"/>
      <c r="L690" s="85"/>
      <c r="M690" s="135"/>
      <c r="N690" s="260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259"/>
      <c r="K691" s="133"/>
      <c r="L691" s="85"/>
      <c r="M691" s="135"/>
      <c r="N691" s="260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259"/>
      <c r="K692" s="133"/>
      <c r="L692" s="85"/>
      <c r="M692" s="135"/>
      <c r="N692" s="260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259"/>
      <c r="K693" s="133"/>
      <c r="L693" s="85"/>
      <c r="M693" s="135"/>
      <c r="N693" s="260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259"/>
      <c r="K694" s="133"/>
      <c r="L694" s="85"/>
      <c r="M694" s="135"/>
      <c r="N694" s="260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259"/>
      <c r="K695" s="133"/>
      <c r="L695" s="85"/>
      <c r="M695" s="135"/>
      <c r="N695" s="260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259"/>
      <c r="K696" s="133"/>
      <c r="L696" s="85"/>
      <c r="M696" s="135"/>
      <c r="N696" s="260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259"/>
      <c r="K697" s="133"/>
      <c r="L697" s="85"/>
      <c r="M697" s="135"/>
      <c r="N697" s="260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259"/>
      <c r="K698" s="133"/>
      <c r="L698" s="85"/>
      <c r="M698" s="135"/>
      <c r="N698" s="260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259"/>
      <c r="K699" s="133"/>
      <c r="L699" s="85"/>
      <c r="M699" s="135"/>
      <c r="N699" s="260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259"/>
      <c r="K700" s="133"/>
      <c r="L700" s="85"/>
      <c r="M700" s="135"/>
      <c r="N700" s="260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259"/>
      <c r="K701" s="133"/>
      <c r="L701" s="85"/>
      <c r="M701" s="135"/>
      <c r="N701" s="260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259"/>
      <c r="K702" s="133"/>
      <c r="L702" s="85"/>
      <c r="M702" s="135"/>
      <c r="N702" s="260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259"/>
      <c r="K703" s="133"/>
      <c r="L703" s="85"/>
      <c r="M703" s="135"/>
      <c r="N703" s="260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259"/>
      <c r="K704" s="133"/>
      <c r="L704" s="85"/>
      <c r="M704" s="135"/>
      <c r="N704" s="260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259"/>
      <c r="K705" s="133"/>
      <c r="L705" s="85"/>
      <c r="M705" s="135"/>
      <c r="N705" s="260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259"/>
      <c r="K706" s="133"/>
      <c r="L706" s="85"/>
      <c r="M706" s="135"/>
      <c r="N706" s="260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259"/>
      <c r="K707" s="133"/>
      <c r="L707" s="85"/>
      <c r="M707" s="135"/>
      <c r="N707" s="260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259"/>
      <c r="K708" s="133"/>
      <c r="L708" s="85"/>
      <c r="M708" s="135"/>
      <c r="N708" s="260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259"/>
      <c r="K709" s="133"/>
      <c r="L709" s="85"/>
      <c r="M709" s="135"/>
      <c r="N709" s="260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259"/>
      <c r="K710" s="133"/>
      <c r="L710" s="85"/>
      <c r="M710" s="135"/>
      <c r="N710" s="260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259"/>
      <c r="K711" s="133"/>
      <c r="L711" s="85"/>
      <c r="M711" s="135"/>
      <c r="N711" s="260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259"/>
      <c r="K712" s="133"/>
      <c r="L712" s="85"/>
      <c r="M712" s="135"/>
      <c r="N712" s="260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259"/>
      <c r="K713" s="133"/>
      <c r="L713" s="85"/>
      <c r="M713" s="135"/>
      <c r="N713" s="260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259"/>
      <c r="K714" s="133"/>
      <c r="L714" s="85"/>
      <c r="M714" s="135"/>
      <c r="N714" s="260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259"/>
      <c r="K715" s="133"/>
      <c r="L715" s="85"/>
      <c r="M715" s="135"/>
      <c r="N715" s="260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259"/>
      <c r="K716" s="133"/>
      <c r="L716" s="85"/>
      <c r="M716" s="135"/>
      <c r="N716" s="260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259"/>
      <c r="K717" s="133"/>
      <c r="L717" s="85"/>
      <c r="M717" s="135"/>
      <c r="N717" s="260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259"/>
      <c r="K718" s="133"/>
      <c r="L718" s="85"/>
      <c r="M718" s="135"/>
      <c r="N718" s="260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259"/>
      <c r="K719" s="133"/>
      <c r="L719" s="85"/>
      <c r="M719" s="135"/>
      <c r="N719" s="260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259"/>
      <c r="K720" s="133"/>
      <c r="L720" s="85"/>
      <c r="M720" s="135"/>
      <c r="N720" s="260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259"/>
      <c r="K721" s="133"/>
      <c r="L721" s="85"/>
      <c r="M721" s="135"/>
      <c r="N721" s="260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259"/>
      <c r="K722" s="133"/>
      <c r="L722" s="85"/>
      <c r="M722" s="135"/>
      <c r="N722" s="260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259"/>
      <c r="K723" s="133"/>
      <c r="L723" s="85"/>
      <c r="M723" s="135"/>
      <c r="N723" s="260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259"/>
      <c r="K724" s="133"/>
      <c r="L724" s="85"/>
      <c r="M724" s="135"/>
      <c r="N724" s="260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259"/>
      <c r="K725" s="133"/>
      <c r="L725" s="85"/>
      <c r="M725" s="135"/>
      <c r="N725" s="260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259"/>
      <c r="K726" s="133"/>
      <c r="L726" s="85"/>
      <c r="M726" s="135"/>
      <c r="N726" s="260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259"/>
      <c r="K727" s="133"/>
      <c r="L727" s="85"/>
      <c r="M727" s="135"/>
      <c r="N727" s="260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259"/>
      <c r="K728" s="133"/>
      <c r="L728" s="85"/>
      <c r="M728" s="135"/>
      <c r="N728" s="260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259"/>
      <c r="K729" s="133"/>
      <c r="L729" s="85"/>
      <c r="M729" s="135"/>
      <c r="N729" s="260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259"/>
      <c r="K730" s="133"/>
      <c r="L730" s="85"/>
      <c r="M730" s="135"/>
      <c r="N730" s="260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259"/>
      <c r="K731" s="133"/>
      <c r="L731" s="85"/>
      <c r="M731" s="135"/>
      <c r="N731" s="260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259"/>
      <c r="K732" s="133"/>
      <c r="L732" s="85"/>
      <c r="M732" s="135"/>
      <c r="N732" s="260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259"/>
      <c r="K733" s="133"/>
      <c r="L733" s="85"/>
      <c r="M733" s="135"/>
      <c r="N733" s="260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259"/>
      <c r="K734" s="133"/>
      <c r="L734" s="85"/>
      <c r="M734" s="135"/>
      <c r="N734" s="260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259"/>
      <c r="K735" s="133"/>
      <c r="L735" s="85"/>
      <c r="M735" s="135"/>
      <c r="N735" s="260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259"/>
      <c r="K736" s="133"/>
      <c r="L736" s="85"/>
      <c r="M736" s="135"/>
      <c r="N736" s="260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259"/>
      <c r="K737" s="133"/>
      <c r="L737" s="85"/>
      <c r="M737" s="135"/>
      <c r="N737" s="260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259"/>
      <c r="K738" s="133"/>
      <c r="L738" s="85"/>
      <c r="M738" s="135"/>
      <c r="N738" s="260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259"/>
      <c r="K739" s="133"/>
      <c r="L739" s="85"/>
      <c r="M739" s="135"/>
      <c r="N739" s="260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259"/>
      <c r="K740" s="133"/>
      <c r="L740" s="85"/>
      <c r="M740" s="135"/>
      <c r="N740" s="260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259"/>
      <c r="K741" s="133"/>
      <c r="L741" s="85"/>
      <c r="M741" s="135"/>
      <c r="N741" s="260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259"/>
      <c r="K742" s="133"/>
      <c r="L742" s="85"/>
      <c r="M742" s="135"/>
      <c r="N742" s="260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259"/>
      <c r="K743" s="133"/>
      <c r="L743" s="85"/>
      <c r="M743" s="135"/>
      <c r="N743" s="260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259"/>
      <c r="K744" s="133"/>
      <c r="L744" s="85"/>
      <c r="M744" s="135"/>
      <c r="N744" s="260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259"/>
      <c r="K745" s="133"/>
      <c r="L745" s="85"/>
      <c r="M745" s="135"/>
      <c r="N745" s="260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259"/>
      <c r="K746" s="133"/>
      <c r="L746" s="85"/>
      <c r="M746" s="135"/>
      <c r="N746" s="260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259"/>
      <c r="K747" s="133"/>
      <c r="L747" s="85"/>
      <c r="M747" s="135"/>
      <c r="N747" s="260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259"/>
      <c r="K748" s="133"/>
      <c r="L748" s="85"/>
      <c r="M748" s="135"/>
      <c r="N748" s="260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259"/>
      <c r="K749" s="133"/>
      <c r="L749" s="85"/>
      <c r="M749" s="135"/>
      <c r="N749" s="260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259"/>
      <c r="K750" s="133"/>
      <c r="L750" s="85"/>
      <c r="M750" s="135"/>
      <c r="N750" s="260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259"/>
      <c r="K751" s="133"/>
      <c r="L751" s="85"/>
      <c r="M751" s="135"/>
      <c r="N751" s="260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259"/>
      <c r="K752" s="133"/>
      <c r="L752" s="85"/>
      <c r="M752" s="135"/>
      <c r="N752" s="260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259"/>
      <c r="K753" s="133"/>
      <c r="L753" s="85"/>
      <c r="M753" s="135"/>
      <c r="N753" s="260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259"/>
      <c r="K754" s="133"/>
      <c r="L754" s="85"/>
      <c r="M754" s="135"/>
      <c r="N754" s="260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259"/>
      <c r="K755" s="133"/>
      <c r="L755" s="85"/>
      <c r="M755" s="135"/>
      <c r="N755" s="260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259"/>
      <c r="K756" s="133"/>
      <c r="L756" s="85"/>
      <c r="M756" s="135"/>
      <c r="N756" s="260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259"/>
      <c r="K757" s="133"/>
      <c r="L757" s="85"/>
      <c r="M757" s="135"/>
      <c r="N757" s="260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259"/>
      <c r="K758" s="133"/>
      <c r="L758" s="85"/>
      <c r="M758" s="135"/>
      <c r="N758" s="260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259"/>
      <c r="K759" s="133"/>
      <c r="L759" s="85"/>
      <c r="M759" s="135"/>
      <c r="N759" s="260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259"/>
      <c r="K760" s="133"/>
      <c r="L760" s="85"/>
      <c r="M760" s="135"/>
      <c r="N760" s="260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259"/>
      <c r="K761" s="133"/>
      <c r="L761" s="85"/>
      <c r="M761" s="135"/>
      <c r="N761" s="260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259"/>
      <c r="K762" s="133"/>
      <c r="L762" s="85"/>
      <c r="M762" s="135"/>
      <c r="N762" s="260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259"/>
      <c r="K763" s="133"/>
      <c r="L763" s="85"/>
      <c r="M763" s="135"/>
      <c r="N763" s="260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259"/>
      <c r="K764" s="133"/>
      <c r="L764" s="85"/>
      <c r="M764" s="135"/>
      <c r="N764" s="260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259"/>
      <c r="K765" s="133"/>
      <c r="L765" s="85"/>
      <c r="M765" s="135"/>
      <c r="N765" s="260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259"/>
      <c r="K766" s="133"/>
      <c r="L766" s="85"/>
      <c r="M766" s="135"/>
      <c r="N766" s="260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259"/>
      <c r="K767" s="133"/>
      <c r="L767" s="85"/>
      <c r="M767" s="135"/>
      <c r="N767" s="260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259"/>
      <c r="K768" s="133"/>
      <c r="L768" s="85"/>
      <c r="M768" s="135"/>
      <c r="N768" s="260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259"/>
      <c r="K769" s="133"/>
      <c r="L769" s="85"/>
      <c r="M769" s="135"/>
      <c r="N769" s="260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259"/>
      <c r="K770" s="133"/>
      <c r="L770" s="85"/>
      <c r="M770" s="135"/>
      <c r="N770" s="260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259"/>
      <c r="K771" s="133"/>
      <c r="L771" s="85"/>
      <c r="M771" s="135"/>
      <c r="N771" s="260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259"/>
      <c r="K772" s="133"/>
      <c r="L772" s="85"/>
      <c r="M772" s="135"/>
      <c r="N772" s="260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259"/>
      <c r="K773" s="133"/>
      <c r="L773" s="85"/>
      <c r="M773" s="135"/>
      <c r="N773" s="260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259"/>
      <c r="K774" s="133"/>
      <c r="L774" s="85"/>
      <c r="M774" s="135"/>
      <c r="N774" s="260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259"/>
      <c r="K775" s="133"/>
      <c r="L775" s="85"/>
      <c r="M775" s="135"/>
      <c r="N775" s="260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259"/>
      <c r="K776" s="133"/>
      <c r="L776" s="85"/>
      <c r="M776" s="135"/>
      <c r="N776" s="260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259"/>
      <c r="K777" s="133"/>
      <c r="L777" s="85"/>
      <c r="M777" s="135"/>
      <c r="N777" s="260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259"/>
      <c r="K778" s="133"/>
      <c r="L778" s="85"/>
      <c r="M778" s="135"/>
      <c r="N778" s="260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259"/>
      <c r="K779" s="133"/>
      <c r="L779" s="85"/>
      <c r="M779" s="135"/>
      <c r="N779" s="260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259"/>
      <c r="K780" s="133"/>
      <c r="L780" s="85"/>
      <c r="M780" s="135"/>
      <c r="N780" s="260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259"/>
      <c r="K781" s="133"/>
      <c r="L781" s="85"/>
      <c r="M781" s="135"/>
      <c r="N781" s="260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259"/>
      <c r="K782" s="133"/>
      <c r="L782" s="85"/>
      <c r="M782" s="135"/>
      <c r="N782" s="260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259"/>
      <c r="K783" s="133"/>
      <c r="L783" s="85"/>
      <c r="M783" s="135"/>
      <c r="N783" s="260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259"/>
      <c r="K784" s="133"/>
      <c r="L784" s="85"/>
      <c r="M784" s="135"/>
      <c r="N784" s="260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259"/>
      <c r="K785" s="133"/>
      <c r="L785" s="85"/>
      <c r="M785" s="135"/>
      <c r="N785" s="260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259"/>
      <c r="K786" s="133"/>
      <c r="L786" s="85"/>
      <c r="M786" s="135"/>
      <c r="N786" s="260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259"/>
      <c r="K787" s="133"/>
      <c r="L787" s="85"/>
      <c r="M787" s="135"/>
      <c r="N787" s="260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259"/>
      <c r="K788" s="133"/>
      <c r="L788" s="85"/>
      <c r="M788" s="135"/>
      <c r="N788" s="260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259"/>
      <c r="K789" s="133"/>
      <c r="L789" s="85"/>
      <c r="M789" s="135"/>
      <c r="N789" s="260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259"/>
      <c r="K790" s="133"/>
      <c r="L790" s="85"/>
      <c r="M790" s="135"/>
      <c r="N790" s="260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259"/>
      <c r="K791" s="133"/>
      <c r="L791" s="85"/>
      <c r="M791" s="135"/>
      <c r="N791" s="260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259"/>
      <c r="K792" s="133"/>
      <c r="L792" s="85"/>
      <c r="M792" s="135"/>
      <c r="N792" s="260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259"/>
      <c r="K793" s="133"/>
      <c r="L793" s="85"/>
      <c r="M793" s="135"/>
      <c r="N793" s="260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259"/>
      <c r="K794" s="133"/>
      <c r="L794" s="85"/>
      <c r="M794" s="135"/>
      <c r="N794" s="260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259"/>
      <c r="K795" s="133"/>
      <c r="L795" s="85"/>
      <c r="M795" s="135"/>
      <c r="N795" s="260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259"/>
      <c r="K796" s="133"/>
      <c r="L796" s="85"/>
      <c r="M796" s="135"/>
      <c r="N796" s="260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259"/>
      <c r="K797" s="133"/>
      <c r="L797" s="85"/>
      <c r="M797" s="135"/>
      <c r="N797" s="260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259"/>
      <c r="K798" s="133"/>
      <c r="L798" s="85"/>
      <c r="M798" s="135"/>
      <c r="N798" s="260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259"/>
      <c r="K799" s="133"/>
      <c r="L799" s="85"/>
      <c r="M799" s="135"/>
      <c r="N799" s="260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259"/>
      <c r="K800" s="133"/>
      <c r="L800" s="85"/>
      <c r="M800" s="135"/>
      <c r="N800" s="260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259"/>
      <c r="K801" s="133"/>
      <c r="L801" s="85"/>
      <c r="M801" s="135"/>
      <c r="N801" s="260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259"/>
      <c r="K802" s="133"/>
      <c r="L802" s="85"/>
      <c r="M802" s="135"/>
      <c r="N802" s="260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259"/>
      <c r="K803" s="133"/>
      <c r="L803" s="85"/>
      <c r="M803" s="135"/>
      <c r="N803" s="260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259"/>
      <c r="K804" s="133"/>
      <c r="L804" s="85"/>
      <c r="M804" s="135"/>
      <c r="N804" s="260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259"/>
      <c r="K805" s="133"/>
      <c r="L805" s="85"/>
      <c r="M805" s="135"/>
      <c r="N805" s="260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259"/>
      <c r="K806" s="133"/>
      <c r="L806" s="85"/>
      <c r="M806" s="135"/>
      <c r="N806" s="260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259"/>
      <c r="K807" s="133"/>
      <c r="L807" s="85"/>
      <c r="M807" s="135"/>
      <c r="N807" s="260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259"/>
      <c r="K808" s="133"/>
      <c r="L808" s="85"/>
      <c r="M808" s="135"/>
      <c r="N808" s="260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259"/>
      <c r="K809" s="133"/>
      <c r="L809" s="85"/>
      <c r="M809" s="135"/>
      <c r="N809" s="260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259"/>
      <c r="K810" s="133"/>
      <c r="L810" s="85"/>
      <c r="M810" s="135"/>
      <c r="N810" s="260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259"/>
      <c r="K811" s="133"/>
      <c r="L811" s="85"/>
      <c r="M811" s="135"/>
      <c r="N811" s="260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259"/>
      <c r="K812" s="133"/>
      <c r="L812" s="85"/>
      <c r="M812" s="135"/>
      <c r="N812" s="260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259"/>
      <c r="K813" s="133"/>
      <c r="L813" s="85"/>
      <c r="M813" s="135"/>
      <c r="N813" s="260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259"/>
      <c r="K814" s="133"/>
      <c r="L814" s="85"/>
      <c r="M814" s="135"/>
      <c r="N814" s="260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259"/>
      <c r="K815" s="133"/>
      <c r="L815" s="85"/>
      <c r="M815" s="135"/>
      <c r="N815" s="260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259"/>
      <c r="K816" s="133"/>
      <c r="L816" s="85"/>
      <c r="M816" s="135"/>
      <c r="N816" s="260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259"/>
      <c r="K817" s="133"/>
      <c r="L817" s="85"/>
      <c r="M817" s="135"/>
      <c r="N817" s="260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259"/>
      <c r="K818" s="133"/>
      <c r="L818" s="85"/>
      <c r="M818" s="135"/>
      <c r="N818" s="260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259"/>
      <c r="K819" s="133"/>
      <c r="L819" s="85"/>
      <c r="M819" s="135"/>
      <c r="N819" s="260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259"/>
      <c r="K820" s="133"/>
      <c r="L820" s="85"/>
      <c r="M820" s="135"/>
      <c r="N820" s="260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259"/>
      <c r="K821" s="133"/>
      <c r="L821" s="85"/>
      <c r="M821" s="135"/>
      <c r="N821" s="260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259"/>
      <c r="K822" s="133"/>
      <c r="L822" s="85"/>
      <c r="M822" s="135"/>
      <c r="N822" s="260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259"/>
      <c r="K823" s="133"/>
      <c r="L823" s="85"/>
      <c r="M823" s="135"/>
      <c r="N823" s="260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259"/>
      <c r="K824" s="133"/>
      <c r="L824" s="85"/>
      <c r="M824" s="135"/>
      <c r="N824" s="260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259"/>
      <c r="K825" s="133"/>
      <c r="L825" s="85"/>
      <c r="M825" s="135"/>
      <c r="N825" s="260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259"/>
      <c r="K826" s="133"/>
      <c r="L826" s="85"/>
      <c r="M826" s="135"/>
      <c r="N826" s="260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259"/>
      <c r="K827" s="133"/>
      <c r="L827" s="85"/>
      <c r="M827" s="135"/>
      <c r="N827" s="260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259"/>
      <c r="K828" s="133"/>
      <c r="L828" s="85"/>
      <c r="M828" s="135"/>
      <c r="N828" s="260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259"/>
      <c r="K829" s="133"/>
      <c r="L829" s="85"/>
      <c r="M829" s="135"/>
      <c r="N829" s="260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259"/>
      <c r="K830" s="133"/>
      <c r="L830" s="85"/>
      <c r="M830" s="135"/>
      <c r="N830" s="260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259"/>
      <c r="K831" s="133"/>
      <c r="L831" s="85"/>
      <c r="M831" s="135"/>
      <c r="N831" s="260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259"/>
      <c r="K832" s="133"/>
      <c r="L832" s="85"/>
      <c r="M832" s="135"/>
      <c r="N832" s="260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259"/>
      <c r="K833" s="133"/>
      <c r="L833" s="85"/>
      <c r="M833" s="135"/>
      <c r="N833" s="260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259"/>
      <c r="K834" s="133"/>
      <c r="L834" s="85"/>
      <c r="M834" s="135"/>
      <c r="N834" s="260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259"/>
      <c r="K835" s="133"/>
      <c r="L835" s="85"/>
      <c r="M835" s="135"/>
      <c r="N835" s="260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259"/>
      <c r="K836" s="133"/>
      <c r="L836" s="85"/>
      <c r="M836" s="135"/>
      <c r="N836" s="260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259"/>
      <c r="K837" s="133"/>
      <c r="L837" s="85"/>
      <c r="M837" s="135"/>
      <c r="N837" s="260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259"/>
      <c r="K838" s="133"/>
      <c r="L838" s="85"/>
      <c r="M838" s="135"/>
      <c r="N838" s="260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259"/>
      <c r="K839" s="133"/>
      <c r="L839" s="85"/>
      <c r="M839" s="135"/>
      <c r="N839" s="260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259"/>
      <c r="K840" s="133"/>
      <c r="L840" s="85"/>
      <c r="M840" s="135"/>
      <c r="N840" s="260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259"/>
      <c r="K841" s="133"/>
      <c r="L841" s="85"/>
      <c r="M841" s="135"/>
      <c r="N841" s="260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259"/>
      <c r="K842" s="133"/>
      <c r="L842" s="85"/>
      <c r="M842" s="135"/>
      <c r="N842" s="260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259"/>
      <c r="K843" s="133"/>
      <c r="L843" s="85"/>
      <c r="M843" s="135"/>
      <c r="N843" s="260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259"/>
      <c r="K844" s="133"/>
      <c r="L844" s="85"/>
      <c r="M844" s="135"/>
      <c r="N844" s="260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259"/>
      <c r="K845" s="133"/>
      <c r="L845" s="85"/>
      <c r="M845" s="135"/>
      <c r="N845" s="260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259"/>
      <c r="K846" s="133"/>
      <c r="L846" s="85"/>
      <c r="M846" s="135"/>
      <c r="N846" s="260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259"/>
      <c r="K847" s="133"/>
      <c r="L847" s="85"/>
      <c r="M847" s="135"/>
      <c r="N847" s="260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259"/>
      <c r="K848" s="133"/>
      <c r="L848" s="85"/>
      <c r="M848" s="135"/>
      <c r="N848" s="260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259"/>
      <c r="K849" s="133"/>
      <c r="L849" s="85"/>
      <c r="M849" s="135"/>
      <c r="N849" s="260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259"/>
      <c r="K850" s="133"/>
      <c r="L850" s="85"/>
      <c r="M850" s="135"/>
      <c r="N850" s="260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259"/>
      <c r="K851" s="133"/>
      <c r="L851" s="85"/>
      <c r="M851" s="135"/>
      <c r="N851" s="260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259"/>
      <c r="K852" s="133"/>
      <c r="L852" s="85"/>
      <c r="M852" s="135"/>
      <c r="N852" s="260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259"/>
      <c r="K853" s="133"/>
      <c r="L853" s="85"/>
      <c r="M853" s="135"/>
      <c r="N853" s="260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259"/>
      <c r="K854" s="133"/>
      <c r="L854" s="85"/>
      <c r="M854" s="135"/>
      <c r="N854" s="260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259"/>
      <c r="K855" s="133"/>
      <c r="L855" s="85"/>
      <c r="M855" s="135"/>
      <c r="N855" s="260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259"/>
      <c r="K856" s="133"/>
      <c r="L856" s="85"/>
      <c r="M856" s="135"/>
      <c r="N856" s="260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259"/>
      <c r="K857" s="133"/>
      <c r="L857" s="85"/>
      <c r="M857" s="135"/>
      <c r="N857" s="260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259"/>
      <c r="K858" s="133"/>
      <c r="L858" s="85"/>
      <c r="M858" s="135"/>
      <c r="N858" s="260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259"/>
      <c r="K859" s="133"/>
      <c r="L859" s="85"/>
      <c r="M859" s="135"/>
      <c r="N859" s="260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259"/>
      <c r="K860" s="133"/>
      <c r="L860" s="85"/>
      <c r="M860" s="135"/>
      <c r="N860" s="260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259"/>
      <c r="K861" s="133"/>
      <c r="L861" s="85"/>
      <c r="M861" s="135"/>
      <c r="N861" s="260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259"/>
      <c r="K862" s="133"/>
      <c r="L862" s="85"/>
      <c r="M862" s="135"/>
      <c r="N862" s="260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259"/>
      <c r="K863" s="133"/>
      <c r="L863" s="85"/>
      <c r="M863" s="135"/>
      <c r="N863" s="260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259"/>
      <c r="K864" s="133"/>
      <c r="L864" s="85"/>
      <c r="M864" s="135"/>
      <c r="N864" s="260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259"/>
      <c r="K865" s="133"/>
      <c r="L865" s="85"/>
      <c r="M865" s="135"/>
      <c r="N865" s="260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259"/>
      <c r="K866" s="133"/>
      <c r="L866" s="85"/>
      <c r="M866" s="135"/>
      <c r="N866" s="260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259"/>
      <c r="K867" s="133"/>
      <c r="L867" s="85"/>
      <c r="M867" s="135"/>
      <c r="N867" s="260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259"/>
      <c r="K868" s="133"/>
      <c r="L868" s="85"/>
      <c r="M868" s="135"/>
      <c r="N868" s="260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259"/>
      <c r="K869" s="133"/>
      <c r="L869" s="85"/>
      <c r="M869" s="135"/>
      <c r="N869" s="260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259"/>
      <c r="K870" s="133"/>
      <c r="L870" s="85"/>
      <c r="M870" s="135"/>
      <c r="N870" s="260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259"/>
      <c r="K871" s="133"/>
      <c r="L871" s="85"/>
      <c r="M871" s="135"/>
      <c r="N871" s="260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259"/>
      <c r="K872" s="133"/>
      <c r="L872" s="85"/>
      <c r="M872" s="135"/>
      <c r="N872" s="260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259"/>
      <c r="K873" s="133"/>
      <c r="L873" s="85"/>
      <c r="M873" s="135"/>
      <c r="N873" s="260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259"/>
      <c r="K874" s="133"/>
      <c r="L874" s="85"/>
      <c r="M874" s="135"/>
      <c r="N874" s="260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259"/>
      <c r="K875" s="133"/>
      <c r="L875" s="85"/>
      <c r="M875" s="135"/>
      <c r="N875" s="260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259"/>
      <c r="K876" s="133"/>
      <c r="L876" s="85"/>
      <c r="M876" s="135"/>
      <c r="N876" s="260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259"/>
      <c r="K877" s="133"/>
      <c r="L877" s="85"/>
      <c r="M877" s="135"/>
      <c r="N877" s="260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259"/>
      <c r="K878" s="133"/>
      <c r="L878" s="85"/>
      <c r="M878" s="135"/>
      <c r="N878" s="260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259"/>
      <c r="K879" s="133"/>
      <c r="L879" s="85"/>
      <c r="M879" s="135"/>
      <c r="N879" s="260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259"/>
      <c r="K880" s="133"/>
      <c r="L880" s="85"/>
      <c r="M880" s="135"/>
      <c r="N880" s="260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259"/>
      <c r="K881" s="133"/>
      <c r="L881" s="85"/>
      <c r="M881" s="135"/>
      <c r="N881" s="260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259"/>
      <c r="K882" s="133"/>
      <c r="L882" s="85"/>
      <c r="M882" s="135"/>
      <c r="N882" s="260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259"/>
      <c r="K883" s="133"/>
      <c r="L883" s="85"/>
      <c r="M883" s="135"/>
      <c r="N883" s="260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259"/>
      <c r="K884" s="133"/>
      <c r="L884" s="85"/>
      <c r="M884" s="135"/>
      <c r="N884" s="260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259"/>
      <c r="K885" s="133"/>
      <c r="L885" s="85"/>
      <c r="M885" s="135"/>
      <c r="N885" s="260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259"/>
      <c r="K886" s="133"/>
      <c r="L886" s="85"/>
      <c r="M886" s="135"/>
      <c r="N886" s="260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259"/>
      <c r="K887" s="133"/>
      <c r="L887" s="85"/>
      <c r="M887" s="135"/>
      <c r="N887" s="260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259"/>
      <c r="K888" s="133"/>
      <c r="L888" s="85"/>
      <c r="M888" s="135"/>
      <c r="N888" s="260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259"/>
      <c r="K889" s="133"/>
      <c r="L889" s="85"/>
      <c r="M889" s="135"/>
      <c r="N889" s="260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259"/>
      <c r="K890" s="133"/>
      <c r="L890" s="85"/>
      <c r="M890" s="135"/>
      <c r="N890" s="260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259"/>
      <c r="K891" s="133"/>
      <c r="L891" s="85"/>
      <c r="M891" s="135"/>
      <c r="N891" s="260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259"/>
      <c r="K892" s="133"/>
      <c r="L892" s="85"/>
      <c r="M892" s="135"/>
      <c r="N892" s="260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259"/>
      <c r="K893" s="133"/>
      <c r="L893" s="85"/>
      <c r="M893" s="135"/>
      <c r="N893" s="260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259"/>
      <c r="K894" s="133"/>
      <c r="L894" s="85"/>
      <c r="M894" s="135"/>
      <c r="N894" s="260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259"/>
      <c r="K895" s="133"/>
      <c r="L895" s="85"/>
      <c r="M895" s="135"/>
      <c r="N895" s="260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259"/>
      <c r="K896" s="133"/>
      <c r="L896" s="85"/>
      <c r="M896" s="135"/>
      <c r="N896" s="260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259"/>
      <c r="K897" s="133"/>
      <c r="L897" s="85"/>
      <c r="M897" s="135"/>
      <c r="N897" s="260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259"/>
      <c r="K898" s="133"/>
      <c r="L898" s="85"/>
      <c r="M898" s="135"/>
      <c r="N898" s="260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259"/>
      <c r="K899" s="133"/>
      <c r="L899" s="85"/>
      <c r="M899" s="135"/>
      <c r="N899" s="260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259"/>
      <c r="K900" s="133"/>
      <c r="L900" s="85"/>
      <c r="M900" s="135"/>
      <c r="N900" s="260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259"/>
      <c r="K901" s="133"/>
      <c r="L901" s="85"/>
      <c r="M901" s="135"/>
      <c r="N901" s="260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259"/>
      <c r="K902" s="133"/>
      <c r="L902" s="85"/>
      <c r="M902" s="135"/>
      <c r="N902" s="260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259"/>
      <c r="K903" s="133"/>
      <c r="L903" s="85"/>
      <c r="M903" s="135"/>
      <c r="N903" s="260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259"/>
      <c r="K904" s="133"/>
      <c r="L904" s="85"/>
      <c r="M904" s="135"/>
      <c r="N904" s="260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259"/>
      <c r="K905" s="133"/>
      <c r="L905" s="85"/>
      <c r="M905" s="135"/>
      <c r="N905" s="260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259"/>
      <c r="K906" s="133"/>
      <c r="L906" s="85"/>
      <c r="M906" s="135"/>
      <c r="N906" s="260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259"/>
      <c r="K907" s="133"/>
      <c r="L907" s="85"/>
      <c r="M907" s="135"/>
      <c r="N907" s="260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259"/>
      <c r="K908" s="133"/>
      <c r="L908" s="85"/>
      <c r="M908" s="135"/>
      <c r="N908" s="260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259"/>
      <c r="K909" s="133"/>
      <c r="L909" s="85"/>
      <c r="M909" s="135"/>
      <c r="N909" s="260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259"/>
      <c r="K910" s="133"/>
      <c r="L910" s="85"/>
      <c r="M910" s="135"/>
      <c r="N910" s="260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259"/>
      <c r="K911" s="133"/>
      <c r="L911" s="85"/>
      <c r="M911" s="135"/>
      <c r="N911" s="260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259"/>
      <c r="K912" s="133"/>
      <c r="L912" s="85"/>
      <c r="M912" s="135"/>
      <c r="N912" s="260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259"/>
      <c r="K913" s="133"/>
      <c r="L913" s="85"/>
      <c r="M913" s="135"/>
      <c r="N913" s="260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259"/>
      <c r="K914" s="133"/>
      <c r="L914" s="85"/>
      <c r="M914" s="135"/>
      <c r="N914" s="260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259"/>
      <c r="K915" s="133"/>
      <c r="L915" s="85"/>
      <c r="M915" s="135"/>
      <c r="N915" s="260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259"/>
      <c r="K916" s="133"/>
      <c r="L916" s="85"/>
      <c r="M916" s="135"/>
      <c r="N916" s="260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259"/>
      <c r="K917" s="133"/>
      <c r="L917" s="85"/>
      <c r="M917" s="135"/>
      <c r="N917" s="260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259"/>
      <c r="K918" s="133"/>
      <c r="L918" s="85"/>
      <c r="M918" s="135"/>
      <c r="N918" s="260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259"/>
      <c r="K919" s="133"/>
      <c r="L919" s="85"/>
      <c r="M919" s="135"/>
      <c r="N919" s="260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259"/>
      <c r="K920" s="133"/>
      <c r="L920" s="85"/>
      <c r="M920" s="135"/>
      <c r="N920" s="260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259"/>
      <c r="K921" s="133"/>
      <c r="L921" s="85"/>
      <c r="M921" s="135"/>
      <c r="N921" s="260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259"/>
      <c r="K922" s="133"/>
      <c r="L922" s="85"/>
      <c r="M922" s="135"/>
      <c r="N922" s="260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259"/>
      <c r="K923" s="133"/>
      <c r="L923" s="85"/>
      <c r="M923" s="135"/>
      <c r="N923" s="260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259"/>
      <c r="K924" s="133"/>
      <c r="L924" s="85"/>
      <c r="M924" s="135"/>
      <c r="N924" s="260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259"/>
      <c r="K925" s="133"/>
      <c r="L925" s="85"/>
      <c r="M925" s="135"/>
      <c r="N925" s="260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259"/>
      <c r="K926" s="133"/>
      <c r="L926" s="85"/>
      <c r="M926" s="135"/>
      <c r="N926" s="260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259"/>
      <c r="K927" s="133"/>
      <c r="L927" s="85"/>
      <c r="M927" s="135"/>
      <c r="N927" s="260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259"/>
      <c r="K928" s="133"/>
      <c r="L928" s="85"/>
      <c r="M928" s="135"/>
      <c r="N928" s="260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259"/>
      <c r="K929" s="133"/>
      <c r="L929" s="85"/>
      <c r="M929" s="135"/>
      <c r="N929" s="260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259"/>
      <c r="K930" s="133"/>
      <c r="L930" s="85"/>
      <c r="M930" s="135"/>
      <c r="N930" s="260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259"/>
      <c r="K931" s="133"/>
      <c r="L931" s="85"/>
      <c r="M931" s="135"/>
      <c r="N931" s="260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259"/>
      <c r="K932" s="133"/>
      <c r="L932" s="85"/>
      <c r="M932" s="135"/>
      <c r="N932" s="260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259"/>
      <c r="K933" s="133"/>
      <c r="L933" s="85"/>
      <c r="M933" s="135"/>
      <c r="N933" s="260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259"/>
      <c r="K934" s="133"/>
      <c r="L934" s="85"/>
      <c r="M934" s="135"/>
      <c r="N934" s="260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259"/>
      <c r="K935" s="133"/>
      <c r="L935" s="85"/>
      <c r="M935" s="135"/>
      <c r="N935" s="260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259"/>
      <c r="K936" s="133"/>
      <c r="L936" s="85"/>
      <c r="M936" s="135"/>
      <c r="N936" s="260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259"/>
      <c r="K937" s="133"/>
      <c r="L937" s="85"/>
      <c r="M937" s="135"/>
      <c r="N937" s="260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259"/>
      <c r="K938" s="133"/>
      <c r="L938" s="85"/>
      <c r="M938" s="135"/>
      <c r="N938" s="260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259"/>
      <c r="K939" s="133"/>
      <c r="L939" s="85"/>
      <c r="M939" s="135"/>
      <c r="N939" s="260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259"/>
      <c r="K940" s="133"/>
      <c r="L940" s="85"/>
      <c r="M940" s="135"/>
      <c r="N940" s="260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259"/>
      <c r="K941" s="133"/>
      <c r="L941" s="85"/>
      <c r="M941" s="135"/>
      <c r="N941" s="260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259"/>
      <c r="K942" s="133"/>
      <c r="L942" s="85"/>
      <c r="M942" s="135"/>
      <c r="N942" s="260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259"/>
      <c r="K943" s="133"/>
      <c r="L943" s="85"/>
      <c r="M943" s="135"/>
      <c r="N943" s="260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259"/>
      <c r="K944" s="133"/>
      <c r="L944" s="85"/>
      <c r="M944" s="135"/>
      <c r="N944" s="260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259"/>
      <c r="K945" s="133"/>
      <c r="L945" s="85"/>
      <c r="M945" s="135"/>
      <c r="N945" s="260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259"/>
      <c r="K946" s="133"/>
      <c r="L946" s="85"/>
      <c r="M946" s="135"/>
      <c r="N946" s="260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259"/>
      <c r="K947" s="133"/>
      <c r="L947" s="85"/>
      <c r="M947" s="135"/>
      <c r="N947" s="260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259"/>
      <c r="K948" s="133"/>
      <c r="L948" s="85"/>
      <c r="M948" s="135"/>
      <c r="N948" s="260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259"/>
      <c r="K949" s="133"/>
      <c r="L949" s="85"/>
      <c r="M949" s="135"/>
      <c r="N949" s="260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259"/>
      <c r="K950" s="133"/>
      <c r="L950" s="85"/>
      <c r="M950" s="135"/>
      <c r="N950" s="260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259"/>
      <c r="K951" s="133"/>
      <c r="L951" s="85"/>
      <c r="M951" s="135"/>
      <c r="N951" s="260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259"/>
      <c r="K952" s="133"/>
      <c r="L952" s="85"/>
      <c r="M952" s="135"/>
      <c r="N952" s="260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259"/>
      <c r="K953" s="133"/>
      <c r="L953" s="85"/>
      <c r="M953" s="135"/>
      <c r="N953" s="260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259"/>
      <c r="K954" s="133"/>
      <c r="L954" s="85"/>
      <c r="M954" s="135"/>
      <c r="N954" s="260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259"/>
      <c r="K955" s="133"/>
      <c r="L955" s="85"/>
      <c r="M955" s="135"/>
      <c r="N955" s="260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259"/>
      <c r="K956" s="133"/>
      <c r="L956" s="85"/>
      <c r="M956" s="135"/>
      <c r="N956" s="260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259"/>
      <c r="K957" s="133"/>
      <c r="L957" s="85"/>
      <c r="M957" s="135"/>
      <c r="N957" s="260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259"/>
      <c r="K958" s="133"/>
      <c r="L958" s="85"/>
      <c r="M958" s="135"/>
      <c r="N958" s="260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259"/>
      <c r="K959" s="133"/>
      <c r="L959" s="85"/>
      <c r="M959" s="135"/>
      <c r="N959" s="260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259"/>
      <c r="K960" s="133"/>
      <c r="L960" s="85"/>
      <c r="M960" s="135"/>
      <c r="N960" s="260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259"/>
      <c r="K961" s="133"/>
      <c r="L961" s="85"/>
      <c r="M961" s="135"/>
      <c r="N961" s="260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259"/>
      <c r="K962" s="133"/>
      <c r="L962" s="85"/>
      <c r="M962" s="135"/>
      <c r="N962" s="260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259"/>
      <c r="K963" s="133"/>
      <c r="L963" s="85"/>
      <c r="M963" s="135"/>
      <c r="N963" s="260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259"/>
      <c r="K964" s="133"/>
      <c r="L964" s="85"/>
      <c r="M964" s="135"/>
      <c r="N964" s="260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259"/>
      <c r="K965" s="133"/>
      <c r="L965" s="85"/>
      <c r="M965" s="135"/>
      <c r="N965" s="260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259"/>
      <c r="K966" s="133"/>
      <c r="L966" s="85"/>
      <c r="M966" s="135"/>
      <c r="N966" s="260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259"/>
      <c r="K967" s="133"/>
      <c r="L967" s="85"/>
      <c r="M967" s="135"/>
      <c r="N967" s="260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259"/>
      <c r="K968" s="133"/>
      <c r="L968" s="85"/>
      <c r="M968" s="135"/>
      <c r="N968" s="260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259"/>
      <c r="K969" s="133"/>
      <c r="L969" s="85"/>
      <c r="M969" s="135"/>
      <c r="N969" s="260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259"/>
      <c r="K970" s="133"/>
      <c r="L970" s="85"/>
      <c r="M970" s="135"/>
      <c r="N970" s="260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259"/>
      <c r="K971" s="133"/>
      <c r="L971" s="85"/>
      <c r="M971" s="135"/>
      <c r="N971" s="260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259"/>
      <c r="K972" s="133"/>
      <c r="L972" s="85"/>
      <c r="M972" s="135"/>
      <c r="N972" s="260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259"/>
      <c r="K973" s="133"/>
      <c r="L973" s="85"/>
      <c r="M973" s="135"/>
      <c r="N973" s="260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259"/>
      <c r="K974" s="133"/>
      <c r="L974" s="85"/>
      <c r="M974" s="135"/>
      <c r="N974" s="260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259"/>
      <c r="K975" s="133"/>
      <c r="L975" s="85"/>
      <c r="M975" s="135"/>
      <c r="N975" s="260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259"/>
      <c r="K976" s="133"/>
      <c r="L976" s="85"/>
      <c r="M976" s="135"/>
      <c r="N976" s="260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259"/>
      <c r="K977" s="133"/>
      <c r="L977" s="85"/>
      <c r="M977" s="135"/>
      <c r="N977" s="260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259"/>
      <c r="K978" s="133"/>
      <c r="L978" s="85"/>
      <c r="M978" s="135"/>
      <c r="N978" s="260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259"/>
      <c r="K979" s="133"/>
      <c r="L979" s="85"/>
      <c r="M979" s="135"/>
      <c r="N979" s="260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259"/>
      <c r="K980" s="133"/>
      <c r="L980" s="85"/>
      <c r="M980" s="135"/>
      <c r="N980" s="260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259"/>
      <c r="K981" s="133"/>
      <c r="L981" s="85"/>
      <c r="M981" s="135"/>
      <c r="N981" s="260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259"/>
      <c r="K982" s="133"/>
      <c r="L982" s="85"/>
      <c r="M982" s="135"/>
      <c r="N982" s="260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259"/>
      <c r="K983" s="133"/>
      <c r="L983" s="85"/>
      <c r="M983" s="135"/>
      <c r="N983" s="260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259"/>
      <c r="K984" s="133"/>
      <c r="L984" s="85"/>
      <c r="M984" s="135"/>
      <c r="N984" s="260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259"/>
      <c r="K985" s="133"/>
      <c r="L985" s="85"/>
      <c r="M985" s="135"/>
      <c r="N985" s="260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259"/>
      <c r="K986" s="133"/>
      <c r="L986" s="85"/>
      <c r="M986" s="135"/>
      <c r="N986" s="260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259"/>
      <c r="K987" s="133"/>
      <c r="L987" s="85"/>
      <c r="M987" s="135"/>
      <c r="N987" s="260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259"/>
      <c r="K988" s="133"/>
      <c r="L988" s="85"/>
      <c r="M988" s="135"/>
      <c r="N988" s="260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259"/>
      <c r="K989" s="133"/>
      <c r="L989" s="85"/>
      <c r="M989" s="135"/>
      <c r="N989" s="260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259"/>
      <c r="K990" s="133"/>
      <c r="L990" s="85"/>
      <c r="M990" s="135"/>
      <c r="N990" s="260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259"/>
      <c r="K991" s="133"/>
      <c r="L991" s="85"/>
      <c r="M991" s="135"/>
      <c r="N991" s="260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259"/>
      <c r="K992" s="133"/>
      <c r="L992" s="85"/>
      <c r="M992" s="135"/>
      <c r="N992" s="260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259"/>
      <c r="K993" s="133"/>
      <c r="L993" s="85"/>
      <c r="M993" s="135"/>
      <c r="N993" s="260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259"/>
      <c r="K994" s="133"/>
      <c r="L994" s="85"/>
      <c r="M994" s="135"/>
      <c r="N994" s="260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259"/>
      <c r="K995" s="133"/>
      <c r="L995" s="85"/>
      <c r="M995" s="135"/>
      <c r="N995" s="260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259"/>
      <c r="K996" s="133"/>
      <c r="L996" s="85"/>
      <c r="M996" s="135"/>
      <c r="N996" s="260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259"/>
      <c r="K997" s="133"/>
      <c r="L997" s="85"/>
      <c r="M997" s="135"/>
      <c r="N997" s="260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259"/>
      <c r="K998" s="133"/>
      <c r="L998" s="85"/>
      <c r="M998" s="135"/>
      <c r="N998" s="260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259"/>
      <c r="K999" s="133"/>
      <c r="L999" s="85"/>
      <c r="M999" s="135"/>
      <c r="N999" s="260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259"/>
      <c r="K1000" s="133"/>
      <c r="L1000" s="85"/>
      <c r="M1000" s="135"/>
      <c r="N1000" s="260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23.0"/>
    <col customWidth="1" min="20" max="20" width="17.63"/>
    <col customWidth="1" min="21" max="21" width="12.25"/>
    <col customWidth="1" min="22" max="22" width="10.13"/>
    <col customWidth="1" min="23" max="23" width="26.13"/>
    <col customWidth="1" min="24" max="24" width="11.88"/>
    <col customWidth="1" min="25" max="28" width="6.88"/>
  </cols>
  <sheetData>
    <row r="1" ht="48.75" customHeight="1">
      <c r="A1" s="9"/>
      <c r="B1" s="2"/>
      <c r="C1" s="3" t="s">
        <v>2238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>
        <f>SUM(S4:S19)-S4-S8</f>
        <v>2064249.38</v>
      </c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2239</v>
      </c>
      <c r="D4" s="21"/>
      <c r="E4" s="20"/>
      <c r="F4" s="21"/>
      <c r="G4" s="23" t="s">
        <v>2240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109">
        <f>SUMIF(M:M,"后勤转入",N:N)</f>
        <v>20000</v>
      </c>
      <c r="T4" s="26" t="s">
        <v>2241</v>
      </c>
      <c r="U4" s="186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248">
        <f>SUMIF(M:M,"广告配套",N:N)</f>
        <v>4760.6</v>
      </c>
      <c r="T5" s="26" t="s">
        <v>20</v>
      </c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248">
        <f>SUMIF(M:M,"凤凰&amp;洛阳&amp;15+1（1200）&amp;8+1（60）",N:N)</f>
        <v>1882214.57</v>
      </c>
      <c r="T6" s="26" t="s">
        <v>2076</v>
      </c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450</v>
      </c>
      <c r="D7" s="54" t="s">
        <v>16</v>
      </c>
      <c r="E7" s="29"/>
      <c r="F7" s="30"/>
      <c r="G7" s="55">
        <v>1.0</v>
      </c>
      <c r="H7" s="241">
        <v>45536.0</v>
      </c>
      <c r="I7" s="57" t="s">
        <v>451</v>
      </c>
      <c r="J7" s="58">
        <f>'8月收支财务报表'!C25</f>
        <v>14888.89249</v>
      </c>
      <c r="K7" s="59"/>
      <c r="L7" s="60"/>
      <c r="M7" s="61" t="s">
        <v>2076</v>
      </c>
      <c r="N7" s="62">
        <v>11900.0</v>
      </c>
      <c r="O7" s="63" t="s">
        <v>2242</v>
      </c>
      <c r="P7" s="64">
        <v>0.4909722222222222</v>
      </c>
      <c r="Q7" s="41"/>
      <c r="R7" s="39"/>
      <c r="S7" s="109">
        <f>SUMIF(M:M,"账单户广告费",N:N)</f>
        <v>41506.79</v>
      </c>
      <c r="T7" s="26" t="s">
        <v>1829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45536.0</v>
      </c>
      <c r="I8" s="68" t="s">
        <v>2243</v>
      </c>
      <c r="J8" s="69">
        <v>8000.0</v>
      </c>
      <c r="K8" s="70"/>
      <c r="L8" s="71">
        <v>0.030555555555555555</v>
      </c>
      <c r="M8" s="103"/>
      <c r="N8" s="103"/>
      <c r="O8" s="103"/>
      <c r="P8" s="75"/>
      <c r="Q8" s="41"/>
      <c r="R8" s="39"/>
      <c r="S8" s="109">
        <f>SUMIF(M:M,"深圳团队备用金",N:N)</f>
        <v>20000</v>
      </c>
      <c r="T8" s="26" t="s">
        <v>2244</v>
      </c>
      <c r="U8" s="76" t="s">
        <v>2245</v>
      </c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2214195.802</v>
      </c>
      <c r="D9" s="30"/>
      <c r="E9" s="29"/>
      <c r="F9" s="30"/>
      <c r="G9" s="66">
        <v>3.0</v>
      </c>
      <c r="H9" s="153">
        <v>45536.0</v>
      </c>
      <c r="I9" s="68" t="s">
        <v>856</v>
      </c>
      <c r="J9" s="69">
        <v>100000.0</v>
      </c>
      <c r="K9" s="70" t="s">
        <v>1988</v>
      </c>
      <c r="L9" s="71">
        <v>0.7326388888888888</v>
      </c>
      <c r="M9" s="72" t="s">
        <v>2076</v>
      </c>
      <c r="N9" s="90">
        <v>11900.0</v>
      </c>
      <c r="O9" s="74" t="s">
        <v>2242</v>
      </c>
      <c r="P9" s="75">
        <v>0.7340277777777777</v>
      </c>
      <c r="Q9" s="41"/>
      <c r="R9" s="39"/>
      <c r="S9" s="109">
        <f>SUMIF(M:M,"启航广告费",N:N)</f>
        <v>104251.42</v>
      </c>
      <c r="T9" s="26" t="s">
        <v>827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45536.0</v>
      </c>
      <c r="I10" s="68" t="s">
        <v>2246</v>
      </c>
      <c r="J10" s="69">
        <v>100.0</v>
      </c>
      <c r="K10" s="70" t="s">
        <v>2247</v>
      </c>
      <c r="L10" s="71">
        <v>0.76875</v>
      </c>
      <c r="M10" s="72"/>
      <c r="N10" s="90"/>
      <c r="O10" s="74"/>
      <c r="P10" s="75"/>
      <c r="Q10" s="41"/>
      <c r="R10" s="39"/>
      <c r="S10" s="190">
        <f>SUMIF(M:M,"推特代投",N:N)-J71</f>
        <v>7480</v>
      </c>
      <c r="T10" s="26" t="s">
        <v>2248</v>
      </c>
      <c r="V10" s="41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2141855.38</v>
      </c>
      <c r="D11" s="30"/>
      <c r="E11" s="29"/>
      <c r="F11" s="30"/>
      <c r="G11" s="66">
        <v>5.0</v>
      </c>
      <c r="H11" s="153">
        <v>45536.0</v>
      </c>
      <c r="I11" s="68" t="s">
        <v>2246</v>
      </c>
      <c r="J11" s="69">
        <v>49900.0</v>
      </c>
      <c r="K11" s="70" t="s">
        <v>2247</v>
      </c>
      <c r="L11" s="71">
        <v>0.7715277777777778</v>
      </c>
      <c r="M11" s="72" t="s">
        <v>2076</v>
      </c>
      <c r="N11" s="90">
        <v>23800.0</v>
      </c>
      <c r="O11" s="74" t="s">
        <v>2242</v>
      </c>
      <c r="P11" s="75">
        <v>0.7756944444444445</v>
      </c>
      <c r="Q11" s="41"/>
      <c r="R11" s="39"/>
      <c r="S11" s="109">
        <f>SUMIF(M:M,"户对接-Nancy",N:N)</f>
        <v>1110</v>
      </c>
      <c r="T11" s="26" t="s">
        <v>2249</v>
      </c>
      <c r="V11" s="41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45536.0</v>
      </c>
      <c r="I12" s="68"/>
      <c r="J12" s="69"/>
      <c r="K12" s="87"/>
      <c r="L12" s="71"/>
      <c r="M12" s="72" t="s">
        <v>2076</v>
      </c>
      <c r="N12" s="90">
        <v>23800.0</v>
      </c>
      <c r="O12" s="74" t="s">
        <v>2242</v>
      </c>
      <c r="P12" s="75">
        <v>0.9034722222222222</v>
      </c>
      <c r="Q12" s="41"/>
      <c r="R12" s="39"/>
      <c r="S12" s="109">
        <f>SUMIF(M:M,"印度 金融，测户Old K",N:N)</f>
        <v>2280</v>
      </c>
      <c r="T12" s="26" t="s">
        <v>2096</v>
      </c>
      <c r="V12" s="41"/>
      <c r="W12" s="40"/>
      <c r="X12" s="41"/>
      <c r="Y12" s="30"/>
      <c r="Z12" s="30"/>
      <c r="AA12" s="30"/>
      <c r="AB12" s="72"/>
    </row>
    <row r="13" ht="27.75" customHeight="1">
      <c r="A13" s="29"/>
      <c r="B13" s="30"/>
      <c r="C13" s="82">
        <f>C9-C11</f>
        <v>72340.42249</v>
      </c>
      <c r="D13" s="30"/>
      <c r="E13" s="29"/>
      <c r="F13" s="30"/>
      <c r="G13" s="66">
        <v>7.0</v>
      </c>
      <c r="H13" s="153">
        <v>45537.0</v>
      </c>
      <c r="I13" s="68"/>
      <c r="J13" s="69"/>
      <c r="K13" s="70"/>
      <c r="L13" s="88"/>
      <c r="M13" s="72" t="s">
        <v>1829</v>
      </c>
      <c r="N13" s="90">
        <v>5000.9</v>
      </c>
      <c r="O13" s="74" t="s">
        <v>2250</v>
      </c>
      <c r="P13" s="75">
        <v>0.07916666666666666</v>
      </c>
      <c r="Q13" s="41"/>
      <c r="R13" s="39"/>
      <c r="S13" s="109">
        <f>SUMIF(M:M,"FF139-KE户-对接",N:N)</f>
        <v>1100</v>
      </c>
      <c r="T13" s="26" t="s">
        <v>2251</v>
      </c>
      <c r="V13" s="41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45537.0</v>
      </c>
      <c r="I14" s="68"/>
      <c r="J14" s="69"/>
      <c r="K14" s="85"/>
      <c r="L14" s="71"/>
      <c r="M14" s="72" t="s">
        <v>1829</v>
      </c>
      <c r="N14" s="90">
        <v>5000.95</v>
      </c>
      <c r="O14" s="74" t="s">
        <v>2250</v>
      </c>
      <c r="P14" s="75">
        <v>0.08055555555555556</v>
      </c>
      <c r="Q14" s="41"/>
      <c r="R14" s="39"/>
      <c r="S14" s="109">
        <f>SUMIF(M:M,"土耳其的代投",N:N)</f>
        <v>2000</v>
      </c>
      <c r="T14" s="26" t="s">
        <v>2252</v>
      </c>
      <c r="V14" s="125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45537.0</v>
      </c>
      <c r="I15" s="68"/>
      <c r="J15" s="69"/>
      <c r="K15" s="87"/>
      <c r="L15" s="71"/>
      <c r="M15" s="72" t="s">
        <v>2076</v>
      </c>
      <c r="N15" s="90">
        <v>23800.0</v>
      </c>
      <c r="O15" s="74" t="s">
        <v>2242</v>
      </c>
      <c r="P15" s="75">
        <v>0.6458333333333334</v>
      </c>
      <c r="Q15" s="41"/>
      <c r="R15" s="39"/>
      <c r="S15" s="109">
        <f>SUMIF(M:M,"fafa土耳其代投",N:N)</f>
        <v>9680</v>
      </c>
      <c r="T15" s="26" t="s">
        <v>2253</v>
      </c>
      <c r="V15" s="41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45537.0</v>
      </c>
      <c r="I16" s="68"/>
      <c r="J16" s="69"/>
      <c r="K16" s="92"/>
      <c r="L16" s="71"/>
      <c r="M16" s="72" t="s">
        <v>2076</v>
      </c>
      <c r="N16" s="90">
        <v>11900.0</v>
      </c>
      <c r="O16" s="74" t="s">
        <v>2242</v>
      </c>
      <c r="P16" s="75">
        <v>0.9111111111111111</v>
      </c>
      <c r="Q16" s="41"/>
      <c r="R16" s="39"/>
      <c r="S16" s="109">
        <f>SUMIF(M:M,"BM户对接点一点",N:N)</f>
        <v>66</v>
      </c>
      <c r="T16" s="26" t="s">
        <v>2254</v>
      </c>
      <c r="V16" s="41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45537.0</v>
      </c>
      <c r="I17" s="68"/>
      <c r="J17" s="69"/>
      <c r="K17" s="92"/>
      <c r="L17" s="71"/>
      <c r="M17" s="72" t="s">
        <v>2076</v>
      </c>
      <c r="N17" s="90">
        <v>11900.0</v>
      </c>
      <c r="O17" s="74" t="s">
        <v>2078</v>
      </c>
      <c r="P17" s="75">
        <v>0.9784722222222222</v>
      </c>
      <c r="Q17" s="41"/>
      <c r="R17" s="39"/>
      <c r="S17" s="109">
        <f>SUMIF(M:M,"FF139&amp;星辰-欧元户5%",N:N)</f>
        <v>2100</v>
      </c>
      <c r="T17" s="26" t="s">
        <v>2195</v>
      </c>
      <c r="U17" s="95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45538.0</v>
      </c>
      <c r="I18" s="68"/>
      <c r="J18" s="69"/>
      <c r="K18" s="92"/>
      <c r="L18" s="71"/>
      <c r="M18" s="72" t="s">
        <v>1829</v>
      </c>
      <c r="N18" s="90">
        <v>5000.76</v>
      </c>
      <c r="O18" s="74" t="s">
        <v>2250</v>
      </c>
      <c r="P18" s="75">
        <v>0.08402777777777778</v>
      </c>
      <c r="Q18" s="41"/>
      <c r="R18" s="39"/>
      <c r="S18" s="109">
        <f>SUMIF(M:M,"印度粉测试",N:N)</f>
        <v>5250</v>
      </c>
      <c r="T18" s="26" t="s">
        <v>2100</v>
      </c>
      <c r="U18" s="95"/>
      <c r="W18" s="40"/>
      <c r="X18" s="41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45538.0</v>
      </c>
      <c r="I19" s="154"/>
      <c r="J19" s="17"/>
      <c r="K19" s="93"/>
      <c r="L19" s="155"/>
      <c r="M19" s="72" t="s">
        <v>2076</v>
      </c>
      <c r="N19" s="90">
        <v>11900.0</v>
      </c>
      <c r="O19" s="74" t="s">
        <v>2242</v>
      </c>
      <c r="P19" s="75">
        <v>0.4395833333333333</v>
      </c>
      <c r="Q19" s="41"/>
      <c r="R19" s="39"/>
      <c r="S19" s="109">
        <f>SUMIF(M:M,"BM户测试",N:N)</f>
        <v>450</v>
      </c>
      <c r="T19" s="26" t="s">
        <v>2090</v>
      </c>
      <c r="W19" s="40"/>
      <c r="X19" s="41"/>
      <c r="AB19" s="4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45538.0</v>
      </c>
      <c r="I20" s="68" t="s">
        <v>2255</v>
      </c>
      <c r="J20" s="69">
        <v>20000.0</v>
      </c>
      <c r="K20" s="70" t="s">
        <v>1966</v>
      </c>
      <c r="L20" s="71">
        <v>0.44166666666666665</v>
      </c>
      <c r="M20" s="72" t="s">
        <v>20</v>
      </c>
      <c r="N20" s="90">
        <v>0.26</v>
      </c>
      <c r="O20" s="74" t="s">
        <v>2256</v>
      </c>
      <c r="P20" s="75">
        <v>0.5305555555555556</v>
      </c>
      <c r="Q20" s="41"/>
      <c r="R20" s="39"/>
      <c r="S20" s="95" t="s">
        <v>450</v>
      </c>
      <c r="U20" s="183" t="s">
        <v>2257</v>
      </c>
      <c r="V20" s="125" t="s">
        <v>2258</v>
      </c>
      <c r="W20" s="40"/>
      <c r="X20" s="41"/>
      <c r="AB20" s="40"/>
    </row>
    <row r="21" ht="27.75" customHeight="1">
      <c r="A21" s="29"/>
      <c r="B21" s="30"/>
      <c r="C21" s="77">
        <f>SUMIFS(J:J,H:H,"&gt;="&amp;$C$17,H:H,"&lt;="&amp;$C$19)</f>
        <v>2214195.802</v>
      </c>
      <c r="D21" s="30"/>
      <c r="E21" s="29"/>
      <c r="F21" s="30"/>
      <c r="G21" s="66">
        <v>15.0</v>
      </c>
      <c r="H21" s="153">
        <v>45538.0</v>
      </c>
      <c r="I21" s="68" t="s">
        <v>2259</v>
      </c>
      <c r="J21" s="69">
        <v>50000.0</v>
      </c>
      <c r="K21" s="70" t="s">
        <v>1966</v>
      </c>
      <c r="L21" s="71">
        <v>0.5888888888888889</v>
      </c>
      <c r="M21" s="72" t="s">
        <v>20</v>
      </c>
      <c r="N21" s="90">
        <v>0.26</v>
      </c>
      <c r="O21" s="74" t="s">
        <v>2256</v>
      </c>
      <c r="P21" s="75">
        <v>0.6236111111111111</v>
      </c>
      <c r="Q21" s="41"/>
      <c r="R21" s="39"/>
      <c r="S21" s="109">
        <f>SUMIF(I:I,"wade 美国户6+1",J:J)</f>
        <v>1198.6</v>
      </c>
      <c r="T21" s="26" t="s">
        <v>2260</v>
      </c>
      <c r="W21" s="40"/>
      <c r="X21" s="41"/>
      <c r="AA21" s="182"/>
      <c r="AB21" s="4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45538.0</v>
      </c>
      <c r="I22" s="68"/>
      <c r="J22" s="17"/>
      <c r="K22" s="93"/>
      <c r="L22" s="155"/>
      <c r="M22" s="72" t="s">
        <v>2076</v>
      </c>
      <c r="N22" s="90">
        <v>23800.0</v>
      </c>
      <c r="O22" s="74" t="s">
        <v>2242</v>
      </c>
      <c r="P22" s="75">
        <v>0.6305555555555555</v>
      </c>
      <c r="Q22" s="41"/>
      <c r="R22" s="39"/>
      <c r="S22" s="109">
        <f>SUMIF(I:I,"wade- 海外户对接nancy",J:J)</f>
        <v>13430</v>
      </c>
      <c r="T22" s="26" t="s">
        <v>2261</v>
      </c>
      <c r="W22" s="40"/>
      <c r="X22" s="41"/>
      <c r="AB22" s="40"/>
    </row>
    <row r="23" ht="27.75" customHeight="1">
      <c r="A23" s="29"/>
      <c r="B23" s="30"/>
      <c r="C23" s="79">
        <f>SUMIFS(N:N,H:H,"&gt;="&amp;$C$17,H:H,"&lt;="&amp;$C$19)</f>
        <v>2141855.38</v>
      </c>
      <c r="D23" s="30"/>
      <c r="E23" s="29"/>
      <c r="F23" s="30"/>
      <c r="G23" s="66">
        <v>17.0</v>
      </c>
      <c r="H23" s="153">
        <v>45538.0</v>
      </c>
      <c r="I23" s="68"/>
      <c r="J23" s="69"/>
      <c r="K23" s="87"/>
      <c r="L23" s="71"/>
      <c r="M23" s="72" t="s">
        <v>2262</v>
      </c>
      <c r="N23" s="90">
        <v>21550.0</v>
      </c>
      <c r="O23" s="74" t="s">
        <v>2263</v>
      </c>
      <c r="P23" s="75">
        <v>0.7979166666666667</v>
      </c>
      <c r="Q23" s="41"/>
      <c r="R23" s="39"/>
      <c r="S23" s="109">
        <f>SUMIF(I:I,"fb广告费充值",J:J)</f>
        <v>2562.2</v>
      </c>
      <c r="T23" s="26" t="s">
        <v>2264</v>
      </c>
      <c r="W23" s="40"/>
      <c r="X23" s="41"/>
      <c r="AB23" s="4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45538.0</v>
      </c>
      <c r="I24" s="68"/>
      <c r="J24" s="69"/>
      <c r="K24" s="85"/>
      <c r="L24" s="71"/>
      <c r="M24" s="72" t="s">
        <v>2076</v>
      </c>
      <c r="N24" s="90">
        <v>23800.0</v>
      </c>
      <c r="O24" s="74" t="s">
        <v>2242</v>
      </c>
      <c r="P24" s="75">
        <v>0.8569444444444444</v>
      </c>
      <c r="Q24" s="41"/>
      <c r="R24" s="39"/>
      <c r="S24" s="109">
        <f>SUMIF(I:I,"FF139-KE户-对接",J:J)</f>
        <v>1100</v>
      </c>
      <c r="T24" s="26" t="s">
        <v>2265</v>
      </c>
      <c r="W24" s="40"/>
      <c r="X24" s="41"/>
      <c r="AB24" s="41"/>
    </row>
    <row r="25" ht="27.75" customHeight="1">
      <c r="A25" s="29"/>
      <c r="B25" s="30"/>
      <c r="C25" s="82">
        <f>C21-C23</f>
        <v>72340.42249</v>
      </c>
      <c r="D25" s="30"/>
      <c r="E25" s="29"/>
      <c r="F25" s="30"/>
      <c r="G25" s="66">
        <v>19.0</v>
      </c>
      <c r="H25" s="153">
        <v>45538.0</v>
      </c>
      <c r="I25" s="68" t="s">
        <v>2266</v>
      </c>
      <c r="J25" s="69">
        <v>6132.0</v>
      </c>
      <c r="K25" s="70" t="s">
        <v>155</v>
      </c>
      <c r="L25" s="71">
        <v>0.8722222222222222</v>
      </c>
      <c r="M25" s="72" t="s">
        <v>1829</v>
      </c>
      <c r="N25" s="90">
        <v>5000.4</v>
      </c>
      <c r="O25" s="74" t="s">
        <v>2250</v>
      </c>
      <c r="P25" s="75">
        <v>0.95625</v>
      </c>
      <c r="Q25" s="41"/>
      <c r="R25" s="39"/>
      <c r="S25" s="109">
        <f>SUMIF(I:I,"户对接-Nancy",J:J)</f>
        <v>896.11</v>
      </c>
      <c r="T25" s="26" t="s">
        <v>2267</v>
      </c>
      <c r="U25" s="40"/>
      <c r="W25" s="40"/>
      <c r="X25" s="41"/>
      <c r="AA25" s="182"/>
      <c r="AB25" s="41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45539.0</v>
      </c>
      <c r="I26" s="68"/>
      <c r="J26" s="69"/>
      <c r="K26" s="70"/>
      <c r="L26" s="71"/>
      <c r="M26" s="72" t="s">
        <v>2076</v>
      </c>
      <c r="N26" s="90">
        <v>11900.0</v>
      </c>
      <c r="O26" s="74" t="s">
        <v>2242</v>
      </c>
      <c r="P26" s="75">
        <v>0.46458333333333335</v>
      </c>
      <c r="Q26" s="41"/>
      <c r="R26" s="39"/>
      <c r="S26" s="109">
        <f>SUMIF(I:I,"13期上粉（20000)",J:J)</f>
        <v>42233</v>
      </c>
      <c r="T26" s="26" t="s">
        <v>2268</v>
      </c>
      <c r="U26" s="40">
        <f>S26+'8月收支财务报表'!S42</f>
        <v>192233</v>
      </c>
      <c r="W26" s="40"/>
      <c r="AA26" s="40"/>
      <c r="AB26" s="41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45539.0</v>
      </c>
      <c r="I27" s="68"/>
      <c r="J27" s="69"/>
      <c r="K27" s="70"/>
      <c r="L27" s="71"/>
      <c r="M27" s="72" t="s">
        <v>2076</v>
      </c>
      <c r="N27" s="90">
        <v>11900.0</v>
      </c>
      <c r="O27" s="74" t="s">
        <v>2078</v>
      </c>
      <c r="P27" s="75">
        <v>0.475</v>
      </c>
      <c r="Q27" s="41"/>
      <c r="R27" s="39"/>
      <c r="S27" s="109">
        <f>SUMIF(I:I,"印度14期",J:J)</f>
        <v>200000</v>
      </c>
      <c r="T27" s="26" t="s">
        <v>856</v>
      </c>
      <c r="U27" s="40">
        <f>S27+'8月收支财务报表'!S45</f>
        <v>200000</v>
      </c>
      <c r="V27" s="41">
        <f>U27- 283868</f>
        <v>-83868</v>
      </c>
      <c r="W27" s="40"/>
      <c r="AA27" s="182"/>
      <c r="AB27" s="41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45539.0</v>
      </c>
      <c r="I28" s="68" t="s">
        <v>856</v>
      </c>
      <c r="J28" s="69">
        <v>100000.0</v>
      </c>
      <c r="K28" s="70" t="s">
        <v>1988</v>
      </c>
      <c r="L28" s="71">
        <v>0.5631944444444444</v>
      </c>
      <c r="M28" s="72" t="s">
        <v>20</v>
      </c>
      <c r="N28" s="90">
        <v>9.0</v>
      </c>
      <c r="O28" s="74" t="s">
        <v>2269</v>
      </c>
      <c r="P28" s="75">
        <v>0.5965277777777778</v>
      </c>
      <c r="Q28" s="41"/>
      <c r="R28" s="39"/>
      <c r="S28" s="109">
        <f>SUMIF(I:I,"印度15期",J:J)</f>
        <v>400000</v>
      </c>
      <c r="T28" s="26" t="s">
        <v>673</v>
      </c>
      <c r="W28" s="40"/>
      <c r="AA28" s="40"/>
      <c r="AB28" s="41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45539.0</v>
      </c>
      <c r="I29" s="68"/>
      <c r="J29" s="69"/>
      <c r="K29" s="70"/>
      <c r="L29" s="71"/>
      <c r="M29" s="72" t="s">
        <v>2076</v>
      </c>
      <c r="N29" s="90">
        <v>11900.0</v>
      </c>
      <c r="O29" s="74" t="s">
        <v>2242</v>
      </c>
      <c r="P29" s="75">
        <v>0.6597222222222222</v>
      </c>
      <c r="Q29" s="41"/>
      <c r="R29" s="39"/>
      <c r="S29" s="109">
        <f>SUMIF(I:I,"印度粉 FB 李修缘",J:J)</f>
        <v>88636</v>
      </c>
      <c r="T29" s="26" t="s">
        <v>2246</v>
      </c>
      <c r="U29" s="40">
        <f>S29+'8月收支财务报表'!S39</f>
        <v>188636</v>
      </c>
      <c r="W29" s="40"/>
      <c r="AA29" s="40"/>
      <c r="AB29" s="41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45539.0</v>
      </c>
      <c r="I30" s="68"/>
      <c r="J30" s="69"/>
      <c r="K30" s="85"/>
      <c r="L30" s="71"/>
      <c r="M30" s="72" t="s">
        <v>2076</v>
      </c>
      <c r="N30" s="90">
        <v>11900.0</v>
      </c>
      <c r="O30" s="74" t="s">
        <v>2270</v>
      </c>
      <c r="P30" s="75">
        <v>0.6625</v>
      </c>
      <c r="Q30" s="41"/>
      <c r="R30" s="39"/>
      <c r="S30" s="109">
        <f>SUMIF(I:I,"凯旋城-印度-阿荣",J:J)</f>
        <v>120000</v>
      </c>
      <c r="T30" s="26" t="s">
        <v>2271</v>
      </c>
      <c r="W30" s="40"/>
      <c r="AA30" s="40"/>
      <c r="AB30" s="41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45539.0</v>
      </c>
      <c r="I31" s="68" t="s">
        <v>2268</v>
      </c>
      <c r="J31" s="69">
        <v>27038.0</v>
      </c>
      <c r="K31" s="70" t="s">
        <v>1988</v>
      </c>
      <c r="L31" s="71">
        <v>0.7145833333333333</v>
      </c>
      <c r="M31" s="72"/>
      <c r="N31" s="90"/>
      <c r="O31" s="74"/>
      <c r="P31" s="75"/>
      <c r="Q31" s="41"/>
      <c r="R31" s="39"/>
      <c r="S31" s="109">
        <f>SUMIF(I:I,"凯旋城二期印度",J:J)</f>
        <v>95000</v>
      </c>
      <c r="T31" s="26" t="s">
        <v>2272</v>
      </c>
      <c r="W31" s="40"/>
      <c r="X31" s="41"/>
      <c r="AB31" s="4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45539.0</v>
      </c>
      <c r="I32" s="68" t="s">
        <v>2273</v>
      </c>
      <c r="J32" s="69">
        <v>100000.0</v>
      </c>
      <c r="K32" s="70" t="s">
        <v>2274</v>
      </c>
      <c r="L32" s="71">
        <v>0.7659722222222223</v>
      </c>
      <c r="M32" s="72" t="s">
        <v>20</v>
      </c>
      <c r="N32" s="90">
        <v>210.75</v>
      </c>
      <c r="O32" s="74" t="s">
        <v>2256</v>
      </c>
      <c r="P32" s="75">
        <v>0.7944444444444444</v>
      </c>
      <c r="Q32" s="41"/>
      <c r="R32" s="39"/>
      <c r="S32" s="109">
        <f>SUMIF(I:I,"凯旋城三期印度",J:J)</f>
        <v>150000</v>
      </c>
      <c r="T32" s="26" t="s">
        <v>2080</v>
      </c>
      <c r="U32" s="103">
        <f>S32+'10月收支财务报表'!V24</f>
        <v>329526</v>
      </c>
      <c r="W32" s="3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45539.0</v>
      </c>
      <c r="I33" s="68"/>
      <c r="J33" s="69"/>
      <c r="K33" s="70"/>
      <c r="L33" s="71"/>
      <c r="M33" s="72" t="s">
        <v>2076</v>
      </c>
      <c r="N33" s="90">
        <v>47600.0</v>
      </c>
      <c r="O33" s="74" t="s">
        <v>2275</v>
      </c>
      <c r="P33" s="75">
        <v>0.8145833333333333</v>
      </c>
      <c r="Q33" s="41"/>
      <c r="R33" s="39"/>
      <c r="S33" s="109">
        <f>SUMIF(I:I,"天叶印度引流",J:J)</f>
        <v>50000</v>
      </c>
      <c r="T33" s="26" t="s">
        <v>2276</v>
      </c>
      <c r="U33" s="182">
        <f>S33+'8月收支财务报表'!S42</f>
        <v>200000</v>
      </c>
      <c r="W33" s="3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45539.0</v>
      </c>
      <c r="I34" s="154"/>
      <c r="J34" s="69"/>
      <c r="K34" s="87"/>
      <c r="L34" s="71"/>
      <c r="M34" s="72" t="s">
        <v>2244</v>
      </c>
      <c r="N34" s="90">
        <v>20000.0</v>
      </c>
      <c r="O34" s="74" t="s">
        <v>2277</v>
      </c>
      <c r="P34" s="75">
        <v>0.8208333333333333</v>
      </c>
      <c r="Q34" s="41"/>
      <c r="R34" s="39"/>
      <c r="S34" s="109">
        <f>SUMIF(I:I,"土耳期（金边）",J:J)</f>
        <v>20000</v>
      </c>
      <c r="T34" s="26" t="s">
        <v>2255</v>
      </c>
      <c r="U34" s="40">
        <f>S34+'8月收支财务报表'!S44</f>
        <v>120000</v>
      </c>
      <c r="W34" s="3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45539.0</v>
      </c>
      <c r="I35" s="68"/>
      <c r="J35" s="69"/>
      <c r="K35" s="85"/>
      <c r="L35" s="71"/>
      <c r="M35" s="72" t="s">
        <v>2076</v>
      </c>
      <c r="N35" s="90">
        <v>11900.0</v>
      </c>
      <c r="O35" s="74" t="s">
        <v>2078</v>
      </c>
      <c r="P35" s="75">
        <v>0.95625</v>
      </c>
      <c r="Q35" s="41"/>
      <c r="R35" s="39"/>
      <c r="S35" s="109">
        <f>SUMIF(I:I,"土耳其打粉群1",J:J)</f>
        <v>198660</v>
      </c>
      <c r="T35" s="26" t="s">
        <v>2278</v>
      </c>
      <c r="U35" s="40">
        <f>S35+'8月收支财务报表'!S38</f>
        <v>435300</v>
      </c>
      <c r="W35" s="3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45540.0</v>
      </c>
      <c r="I36" s="68" t="s">
        <v>2243</v>
      </c>
      <c r="J36" s="69">
        <v>5430.0</v>
      </c>
      <c r="K36" s="70"/>
      <c r="L36" s="71"/>
      <c r="M36" s="72" t="s">
        <v>2076</v>
      </c>
      <c r="N36" s="90">
        <v>23800.0</v>
      </c>
      <c r="O36" s="74" t="s">
        <v>2078</v>
      </c>
      <c r="P36" s="75">
        <v>0.4048611111111111</v>
      </c>
      <c r="Q36" s="41"/>
      <c r="R36" s="39"/>
      <c r="S36" s="109">
        <f>SUMIF(I:I,"美国股票粉（2）菲菲西港回款",J:J)</f>
        <v>12092</v>
      </c>
      <c r="T36" s="26" t="s">
        <v>2279</v>
      </c>
      <c r="U36" s="103">
        <f>S36+10000</f>
        <v>22092</v>
      </c>
      <c r="V36" s="125" t="s">
        <v>2280</v>
      </c>
      <c r="W36" s="3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45540.0</v>
      </c>
      <c r="I37" s="68"/>
      <c r="J37" s="69"/>
      <c r="K37" s="70"/>
      <c r="L37" s="71"/>
      <c r="M37" s="72" t="s">
        <v>20</v>
      </c>
      <c r="N37" s="90">
        <v>45.0</v>
      </c>
      <c r="O37" s="74" t="s">
        <v>1986</v>
      </c>
      <c r="P37" s="75">
        <v>0.49722222222222223</v>
      </c>
      <c r="Q37" s="41"/>
      <c r="R37" s="39"/>
      <c r="S37" s="109">
        <f>SUMIF(I:I,"土耳其西港2期",J:J)</f>
        <v>350000</v>
      </c>
      <c r="T37" s="26" t="s">
        <v>2281</v>
      </c>
      <c r="V37" s="41"/>
      <c r="W37" s="3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45540.0</v>
      </c>
      <c r="I38" s="68"/>
      <c r="J38" s="69"/>
      <c r="K38" s="70"/>
      <c r="L38" s="71"/>
      <c r="M38" s="72" t="s">
        <v>20</v>
      </c>
      <c r="N38" s="90">
        <v>211.33</v>
      </c>
      <c r="O38" s="74" t="s">
        <v>267</v>
      </c>
      <c r="P38" s="75">
        <v>0.5694444444444444</v>
      </c>
      <c r="Q38" s="41"/>
      <c r="R38" s="39"/>
      <c r="S38" s="109">
        <f>SUMIF(I:I,"印度一期9/19",J:J)</f>
        <v>300000</v>
      </c>
      <c r="T38" s="26" t="s">
        <v>2087</v>
      </c>
      <c r="U38" s="267">
        <f>S38+'10月收支财务报表'!J14</f>
        <v>300000</v>
      </c>
      <c r="V38" s="41"/>
      <c r="W38" s="3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45540.0</v>
      </c>
      <c r="I39" s="68"/>
      <c r="J39" s="69"/>
      <c r="K39" s="70"/>
      <c r="L39" s="71"/>
      <c r="M39" s="72" t="s">
        <v>1968</v>
      </c>
      <c r="N39" s="90">
        <v>20000.0</v>
      </c>
      <c r="O39" s="74"/>
      <c r="P39" s="75">
        <v>0.6069444444444444</v>
      </c>
      <c r="Q39" s="41"/>
      <c r="R39" s="39"/>
      <c r="S39" s="190">
        <f>SUMIF(I:I,"海哥-印度粉9/22",J:J)-'10月收支财务报表'!N13</f>
        <v>109160</v>
      </c>
      <c r="T39" s="26" t="s">
        <v>2084</v>
      </c>
      <c r="U39" s="40"/>
      <c r="V39" s="41"/>
      <c r="W39" s="3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45540.0</v>
      </c>
      <c r="I40" s="68"/>
      <c r="J40" s="69"/>
      <c r="K40" s="70"/>
      <c r="L40" s="88"/>
      <c r="M40" s="72" t="s">
        <v>20</v>
      </c>
      <c r="N40" s="90">
        <v>300.0</v>
      </c>
      <c r="O40" s="74" t="s">
        <v>2282</v>
      </c>
      <c r="P40" s="75">
        <v>0.65</v>
      </c>
      <c r="Q40" s="41"/>
      <c r="R40" s="39"/>
      <c r="S40" s="40">
        <f>SUM(S21:S39)</f>
        <v>2154967.91</v>
      </c>
      <c r="T40" s="40"/>
      <c r="U40" s="40"/>
      <c r="V40" s="41"/>
      <c r="W40" s="3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45540.0</v>
      </c>
      <c r="I41" s="68"/>
      <c r="J41" s="69"/>
      <c r="K41" s="70"/>
      <c r="L41" s="88"/>
      <c r="M41" s="72" t="s">
        <v>2076</v>
      </c>
      <c r="N41" s="90">
        <f>28800-N42</f>
        <v>23800</v>
      </c>
      <c r="O41" s="74" t="s">
        <v>2283</v>
      </c>
      <c r="P41" s="75">
        <v>0.7284722222222222</v>
      </c>
      <c r="Q41" s="41"/>
      <c r="R41" s="39"/>
      <c r="S41" s="76" t="s">
        <v>2284</v>
      </c>
      <c r="T41" s="40"/>
      <c r="U41" s="40"/>
      <c r="V41" s="41"/>
      <c r="W41" s="3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45540.0</v>
      </c>
      <c r="I42" s="68"/>
      <c r="J42" s="69"/>
      <c r="K42" s="70"/>
      <c r="L42" s="88"/>
      <c r="M42" s="72" t="s">
        <v>2076</v>
      </c>
      <c r="N42" s="90">
        <v>5000.0</v>
      </c>
      <c r="O42" s="74" t="s">
        <v>2285</v>
      </c>
      <c r="P42" s="75">
        <v>0.7284722222222222</v>
      </c>
      <c r="Q42" s="41"/>
      <c r="R42" s="39"/>
      <c r="S42" s="76" t="s">
        <v>2284</v>
      </c>
      <c r="T42" s="76" t="s">
        <v>2285</v>
      </c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45541.0</v>
      </c>
      <c r="I43" s="68"/>
      <c r="J43" s="69"/>
      <c r="K43" s="87"/>
      <c r="L43" s="71"/>
      <c r="M43" s="151" t="s">
        <v>1829</v>
      </c>
      <c r="N43" s="268">
        <v>3000.28</v>
      </c>
      <c r="O43" s="269" t="s">
        <v>2250</v>
      </c>
      <c r="P43" s="94" t="s">
        <v>2286</v>
      </c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45541.0</v>
      </c>
      <c r="I44" s="84"/>
      <c r="J44" s="17"/>
      <c r="K44" s="85"/>
      <c r="L44" s="86"/>
      <c r="M44" s="72" t="s">
        <v>827</v>
      </c>
      <c r="N44" s="90">
        <v>11325.43</v>
      </c>
      <c r="O44" s="74" t="s">
        <v>43</v>
      </c>
      <c r="P44" s="75">
        <v>0.3736111111111111</v>
      </c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45541.0</v>
      </c>
      <c r="I45" s="68"/>
      <c r="J45" s="69"/>
      <c r="K45" s="85"/>
      <c r="L45" s="71"/>
      <c r="M45" s="72" t="s">
        <v>2076</v>
      </c>
      <c r="N45" s="90">
        <v>11900.0</v>
      </c>
      <c r="O45" s="74" t="s">
        <v>2270</v>
      </c>
      <c r="P45" s="94" t="s">
        <v>2287</v>
      </c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45541.0</v>
      </c>
      <c r="I46" s="68"/>
      <c r="J46" s="69"/>
      <c r="K46" s="85"/>
      <c r="L46" s="71"/>
      <c r="M46" s="72" t="s">
        <v>2076</v>
      </c>
      <c r="N46" s="90">
        <v>23800.0</v>
      </c>
      <c r="O46" s="74" t="s">
        <v>2078</v>
      </c>
      <c r="P46" s="75">
        <v>0.7395833333333334</v>
      </c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45541.0</v>
      </c>
      <c r="I47" s="68"/>
      <c r="J47" s="69"/>
      <c r="K47" s="70"/>
      <c r="L47" s="71"/>
      <c r="M47" s="72" t="s">
        <v>20</v>
      </c>
      <c r="N47" s="90">
        <v>45.0</v>
      </c>
      <c r="O47" s="74" t="s">
        <v>1986</v>
      </c>
      <c r="P47" s="75">
        <v>0.825</v>
      </c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45541.0</v>
      </c>
      <c r="I48" s="68"/>
      <c r="J48" s="69"/>
      <c r="K48" s="70"/>
      <c r="L48" s="71"/>
      <c r="M48" s="72" t="s">
        <v>20</v>
      </c>
      <c r="N48" s="90">
        <v>10.0</v>
      </c>
      <c r="O48" s="74" t="s">
        <v>2288</v>
      </c>
      <c r="P48" s="75">
        <v>0.8625</v>
      </c>
      <c r="Q48" s="41"/>
      <c r="R48" s="39"/>
      <c r="S48" s="76" t="s">
        <v>2289</v>
      </c>
      <c r="T48" s="76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45541.0</v>
      </c>
      <c r="I49" s="68"/>
      <c r="J49" s="69"/>
      <c r="K49" s="85"/>
      <c r="L49" s="71"/>
      <c r="M49" s="72" t="s">
        <v>20</v>
      </c>
      <c r="N49" s="90">
        <f>2465-N48</f>
        <v>2455</v>
      </c>
      <c r="O49" s="74" t="s">
        <v>2288</v>
      </c>
      <c r="P49" s="75">
        <v>0.8638888888888889</v>
      </c>
      <c r="Q49" s="41"/>
      <c r="R49" s="39"/>
      <c r="S49" s="76" t="s">
        <v>2289</v>
      </c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45541.0</v>
      </c>
      <c r="I50" s="68"/>
      <c r="J50" s="69"/>
      <c r="K50" s="70"/>
      <c r="L50" s="71"/>
      <c r="M50" s="72" t="s">
        <v>1829</v>
      </c>
      <c r="N50" s="90">
        <v>3000.38</v>
      </c>
      <c r="O50" s="74" t="s">
        <v>2250</v>
      </c>
      <c r="P50" s="94" t="s">
        <v>731</v>
      </c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45542.0</v>
      </c>
      <c r="I51" s="68" t="s">
        <v>2290</v>
      </c>
      <c r="J51" s="69">
        <v>50000.0</v>
      </c>
      <c r="K51" s="70" t="s">
        <v>2291</v>
      </c>
      <c r="L51" s="88" t="s">
        <v>2292</v>
      </c>
      <c r="M51" s="72" t="s">
        <v>2076</v>
      </c>
      <c r="N51" s="90">
        <v>23800.0</v>
      </c>
      <c r="O51" s="74" t="s">
        <v>2078</v>
      </c>
      <c r="P51" s="75">
        <v>0.5791666666666667</v>
      </c>
      <c r="Q51" s="41"/>
      <c r="R51" s="39"/>
      <c r="S51" s="76" t="s">
        <v>2284</v>
      </c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45542.0</v>
      </c>
      <c r="I52" s="68"/>
      <c r="J52" s="69"/>
      <c r="K52" s="87"/>
      <c r="L52" s="71"/>
      <c r="M52" s="72" t="s">
        <v>2076</v>
      </c>
      <c r="N52" s="90">
        <v>23800.0</v>
      </c>
      <c r="O52" s="74" t="s">
        <v>2270</v>
      </c>
      <c r="P52" s="75">
        <v>0.5791666666666667</v>
      </c>
      <c r="Q52" s="41"/>
      <c r="R52" s="39"/>
      <c r="S52" s="76" t="s">
        <v>2284</v>
      </c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45542.0</v>
      </c>
      <c r="I53" s="68" t="s">
        <v>1968</v>
      </c>
      <c r="J53" s="69">
        <v>20000.0</v>
      </c>
      <c r="K53" s="70"/>
      <c r="L53" s="88" t="s">
        <v>2293</v>
      </c>
      <c r="M53" s="72" t="s">
        <v>2076</v>
      </c>
      <c r="N53" s="90">
        <v>23800.0</v>
      </c>
      <c r="O53" s="74" t="s">
        <v>2078</v>
      </c>
      <c r="P53" s="75">
        <v>0.5791666666666667</v>
      </c>
      <c r="Q53" s="41"/>
      <c r="R53" s="39"/>
      <c r="S53" s="76" t="s">
        <v>2284</v>
      </c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45542.0</v>
      </c>
      <c r="I54" s="68" t="s">
        <v>2246</v>
      </c>
      <c r="J54" s="69">
        <v>36.0</v>
      </c>
      <c r="K54" s="70" t="s">
        <v>2247</v>
      </c>
      <c r="L54" s="88" t="s">
        <v>2294</v>
      </c>
      <c r="M54" s="72"/>
      <c r="N54" s="90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45542.0</v>
      </c>
      <c r="I55" s="68" t="s">
        <v>2246</v>
      </c>
      <c r="J55" s="69">
        <v>38600.0</v>
      </c>
      <c r="K55" s="70" t="s">
        <v>2247</v>
      </c>
      <c r="L55" s="88" t="s">
        <v>343</v>
      </c>
      <c r="M55" s="72" t="s">
        <v>20</v>
      </c>
      <c r="N55" s="90">
        <v>45.0</v>
      </c>
      <c r="O55" s="74" t="s">
        <v>1986</v>
      </c>
      <c r="P55" s="75">
        <v>0.8055555555555556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45542.0</v>
      </c>
      <c r="I56" s="68"/>
      <c r="J56" s="69"/>
      <c r="K56" s="87"/>
      <c r="L56" s="71"/>
      <c r="M56" s="72" t="s">
        <v>2076</v>
      </c>
      <c r="N56" s="90">
        <v>23800.0</v>
      </c>
      <c r="O56" s="74" t="s">
        <v>2078</v>
      </c>
      <c r="P56" s="75">
        <v>0.81875</v>
      </c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45542.0</v>
      </c>
      <c r="I57" s="68"/>
      <c r="J57" s="69"/>
      <c r="K57" s="70"/>
      <c r="L57" s="71"/>
      <c r="M57" s="72" t="s">
        <v>2076</v>
      </c>
      <c r="N57" s="90">
        <v>11900.0</v>
      </c>
      <c r="O57" s="74" t="s">
        <v>2078</v>
      </c>
      <c r="P57" s="75">
        <v>0.9340277777777778</v>
      </c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45543.0</v>
      </c>
      <c r="I58" s="68" t="s">
        <v>673</v>
      </c>
      <c r="J58" s="69">
        <v>100000.0</v>
      </c>
      <c r="K58" s="70" t="s">
        <v>1988</v>
      </c>
      <c r="L58" s="71">
        <v>0.7368055555555556</v>
      </c>
      <c r="M58" s="72" t="s">
        <v>2076</v>
      </c>
      <c r="N58" s="90">
        <v>23800.0</v>
      </c>
      <c r="O58" s="74" t="s">
        <v>2078</v>
      </c>
      <c r="P58" s="75">
        <v>0.7388888888888889</v>
      </c>
      <c r="Q58" s="41"/>
      <c r="R58" s="39"/>
      <c r="S58" s="76" t="s">
        <v>2284</v>
      </c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45543.0</v>
      </c>
      <c r="I59" s="103"/>
      <c r="J59" s="103"/>
      <c r="K59" s="103"/>
      <c r="L59" s="103"/>
      <c r="M59" s="72" t="s">
        <v>2076</v>
      </c>
      <c r="N59" s="90">
        <v>23800.0</v>
      </c>
      <c r="O59" s="74" t="s">
        <v>2078</v>
      </c>
      <c r="P59" s="75">
        <v>0.7388888888888889</v>
      </c>
      <c r="Q59" s="41"/>
      <c r="R59" s="39"/>
      <c r="S59" s="76" t="s">
        <v>2284</v>
      </c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45543.0</v>
      </c>
      <c r="I60" s="68"/>
      <c r="J60" s="69"/>
      <c r="K60" s="70"/>
      <c r="L60" s="71"/>
      <c r="M60" s="72" t="s">
        <v>2076</v>
      </c>
      <c r="N60" s="90">
        <v>23800.0</v>
      </c>
      <c r="O60" s="74" t="s">
        <v>2078</v>
      </c>
      <c r="P60" s="75">
        <v>0.90625</v>
      </c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45544.0</v>
      </c>
      <c r="I61" s="68"/>
      <c r="J61" s="69"/>
      <c r="K61" s="70"/>
      <c r="L61" s="71"/>
      <c r="M61" s="72" t="s">
        <v>1829</v>
      </c>
      <c r="N61" s="90">
        <v>3000.63</v>
      </c>
      <c r="O61" s="74" t="s">
        <v>2250</v>
      </c>
      <c r="P61" s="94" t="s">
        <v>2295</v>
      </c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45544.0</v>
      </c>
      <c r="I62" s="68" t="s">
        <v>2296</v>
      </c>
      <c r="J62" s="69">
        <v>2562.2</v>
      </c>
      <c r="K62" s="70" t="s">
        <v>2264</v>
      </c>
      <c r="L62" s="88" t="s">
        <v>2297</v>
      </c>
      <c r="M62" s="72" t="s">
        <v>2248</v>
      </c>
      <c r="N62" s="90">
        <v>2890.0</v>
      </c>
      <c r="O62" s="74" t="s">
        <v>2248</v>
      </c>
      <c r="P62" s="94" t="s">
        <v>2298</v>
      </c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45544.0</v>
      </c>
      <c r="I63" s="68"/>
      <c r="J63" s="69"/>
      <c r="K63" s="70"/>
      <c r="L63" s="71"/>
      <c r="M63" s="72" t="s">
        <v>2076</v>
      </c>
      <c r="N63" s="90">
        <v>23800.0</v>
      </c>
      <c r="O63" s="74" t="s">
        <v>2078</v>
      </c>
      <c r="P63" s="94" t="s">
        <v>311</v>
      </c>
      <c r="Q63" s="41"/>
      <c r="R63" s="39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45544.0</v>
      </c>
      <c r="I64" s="68" t="s">
        <v>2268</v>
      </c>
      <c r="J64" s="69">
        <v>15195.0</v>
      </c>
      <c r="K64" s="70" t="s">
        <v>1988</v>
      </c>
      <c r="L64" s="88" t="s">
        <v>713</v>
      </c>
      <c r="M64" s="72" t="s">
        <v>1829</v>
      </c>
      <c r="N64" s="90">
        <v>3000.37</v>
      </c>
      <c r="O64" s="74" t="s">
        <v>2250</v>
      </c>
      <c r="P64" s="75">
        <v>0.8152777777777778</v>
      </c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45544.0</v>
      </c>
      <c r="I65" s="68"/>
      <c r="J65" s="69"/>
      <c r="K65" s="70"/>
      <c r="L65" s="71"/>
      <c r="M65" s="72" t="s">
        <v>2248</v>
      </c>
      <c r="N65" s="90">
        <v>10285.0</v>
      </c>
      <c r="O65" s="74" t="s">
        <v>2299</v>
      </c>
      <c r="P65" s="94" t="s">
        <v>2300</v>
      </c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45545.0</v>
      </c>
      <c r="I66" s="68" t="s">
        <v>2259</v>
      </c>
      <c r="J66" s="69">
        <v>10.0</v>
      </c>
      <c r="K66" s="70" t="s">
        <v>1966</v>
      </c>
      <c r="L66" s="71">
        <v>0.03194444444444444</v>
      </c>
      <c r="M66" s="72" t="s">
        <v>2076</v>
      </c>
      <c r="N66" s="90">
        <v>23800.0</v>
      </c>
      <c r="O66" s="74" t="s">
        <v>2270</v>
      </c>
      <c r="P66" s="75">
        <v>0.09513888888888888</v>
      </c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45545.0</v>
      </c>
      <c r="I67" s="68" t="s">
        <v>2259</v>
      </c>
      <c r="J67" s="69">
        <v>49990.0</v>
      </c>
      <c r="K67" s="70" t="s">
        <v>1966</v>
      </c>
      <c r="L67" s="71">
        <v>0.04513888888888889</v>
      </c>
      <c r="M67" s="72" t="s">
        <v>2076</v>
      </c>
      <c r="N67" s="90">
        <v>11900.0</v>
      </c>
      <c r="O67" s="74" t="s">
        <v>2078</v>
      </c>
      <c r="P67" s="75">
        <v>0.09513888888888888</v>
      </c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45545.0</v>
      </c>
      <c r="I68" s="84"/>
      <c r="J68" s="17"/>
      <c r="K68" s="85"/>
      <c r="L68" s="86"/>
      <c r="M68" s="72" t="s">
        <v>2076</v>
      </c>
      <c r="N68" s="90">
        <v>23800.0</v>
      </c>
      <c r="O68" s="74" t="s">
        <v>2078</v>
      </c>
      <c r="P68" s="94" t="s">
        <v>696</v>
      </c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45545.0</v>
      </c>
      <c r="I69" s="68"/>
      <c r="J69" s="69"/>
      <c r="K69" s="85"/>
      <c r="L69" s="71"/>
      <c r="M69" s="72" t="s">
        <v>1829</v>
      </c>
      <c r="N69" s="90">
        <v>500.86</v>
      </c>
      <c r="O69" s="74" t="s">
        <v>2250</v>
      </c>
      <c r="P69" s="94" t="s">
        <v>2301</v>
      </c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45545.0</v>
      </c>
      <c r="I70" s="154" t="s">
        <v>2259</v>
      </c>
      <c r="J70" s="69">
        <v>20000.0</v>
      </c>
      <c r="K70" s="92" t="s">
        <v>1966</v>
      </c>
      <c r="L70" s="71">
        <v>0.8701388888888889</v>
      </c>
      <c r="M70" s="72" t="s">
        <v>20</v>
      </c>
      <c r="N70" s="90">
        <v>75.0</v>
      </c>
      <c r="O70" s="74" t="s">
        <v>2302</v>
      </c>
      <c r="P70" s="75">
        <v>0.9486111111111111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45545.0</v>
      </c>
      <c r="I71" s="68" t="s">
        <v>2248</v>
      </c>
      <c r="J71" s="69">
        <v>5695.0</v>
      </c>
      <c r="K71" s="70" t="s">
        <v>2303</v>
      </c>
      <c r="L71" s="88" t="s">
        <v>2304</v>
      </c>
      <c r="M71" s="72" t="s">
        <v>2076</v>
      </c>
      <c r="N71" s="90">
        <v>23800.0</v>
      </c>
      <c r="O71" s="74" t="s">
        <v>2078</v>
      </c>
      <c r="P71" s="75">
        <v>0.99375</v>
      </c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45546.0</v>
      </c>
      <c r="I72" s="68"/>
      <c r="J72" s="69"/>
      <c r="K72" s="85"/>
      <c r="L72" s="71"/>
      <c r="M72" s="72" t="s">
        <v>2076</v>
      </c>
      <c r="N72" s="90">
        <v>23800.0</v>
      </c>
      <c r="O72" s="74" t="s">
        <v>2078</v>
      </c>
      <c r="P72" s="75">
        <v>0.7048611111111112</v>
      </c>
      <c r="Q72" s="41"/>
      <c r="R72" s="39"/>
      <c r="S72" s="270" t="s">
        <v>2284</v>
      </c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45546.0</v>
      </c>
      <c r="I73" s="68"/>
      <c r="J73" s="69"/>
      <c r="K73" s="93"/>
      <c r="L73" s="71"/>
      <c r="M73" s="72" t="s">
        <v>1829</v>
      </c>
      <c r="N73" s="90">
        <v>2000.62</v>
      </c>
      <c r="O73" s="74" t="s">
        <v>2250</v>
      </c>
      <c r="P73" s="94" t="s">
        <v>2305</v>
      </c>
      <c r="Q73" s="41"/>
      <c r="R73" s="39"/>
      <c r="S73" s="271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45546.0</v>
      </c>
      <c r="I74" s="68" t="s">
        <v>2279</v>
      </c>
      <c r="J74" s="69">
        <v>12092.0</v>
      </c>
      <c r="K74" s="70" t="s">
        <v>2306</v>
      </c>
      <c r="L74" s="88" t="s">
        <v>2307</v>
      </c>
      <c r="M74" s="72" t="s">
        <v>1829</v>
      </c>
      <c r="N74" s="90">
        <v>5000.57</v>
      </c>
      <c r="O74" s="74" t="s">
        <v>2250</v>
      </c>
      <c r="P74" s="94" t="s">
        <v>2308</v>
      </c>
      <c r="Q74" s="41"/>
      <c r="R74" s="39"/>
      <c r="S74" s="272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45547.0</v>
      </c>
      <c r="I75" s="154"/>
      <c r="J75" s="69"/>
      <c r="K75" s="87"/>
      <c r="L75" s="71"/>
      <c r="M75" s="103"/>
      <c r="N75" s="103"/>
      <c r="O75" s="103"/>
      <c r="P75" s="103"/>
      <c r="Q75" s="41"/>
      <c r="R75" s="39"/>
      <c r="S75" s="271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45547.0</v>
      </c>
      <c r="I76" s="68" t="s">
        <v>2281</v>
      </c>
      <c r="J76" s="69">
        <v>100000.0</v>
      </c>
      <c r="K76" s="70" t="s">
        <v>1988</v>
      </c>
      <c r="L76" s="71">
        <v>0.7027777777777777</v>
      </c>
      <c r="M76" s="72" t="s">
        <v>2076</v>
      </c>
      <c r="N76" s="90">
        <v>23800.0</v>
      </c>
      <c r="O76" s="74" t="s">
        <v>2078</v>
      </c>
      <c r="P76" s="75">
        <v>0.7048611111111112</v>
      </c>
      <c r="Q76" s="41"/>
      <c r="R76" s="39"/>
      <c r="S76" s="270" t="s">
        <v>2284</v>
      </c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45547.0</v>
      </c>
      <c r="I77" s="68"/>
      <c r="J77" s="69"/>
      <c r="K77" s="87"/>
      <c r="L77" s="71"/>
      <c r="M77" s="72" t="s">
        <v>2249</v>
      </c>
      <c r="N77" s="90">
        <v>1110.0</v>
      </c>
      <c r="O77" s="74" t="s">
        <v>2309</v>
      </c>
      <c r="P77" s="94" t="s">
        <v>740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45547.0</v>
      </c>
      <c r="I78" s="68"/>
      <c r="J78" s="69"/>
      <c r="K78" s="87"/>
      <c r="L78" s="71"/>
      <c r="M78" s="72" t="s">
        <v>2096</v>
      </c>
      <c r="N78" s="90">
        <v>2280.0</v>
      </c>
      <c r="O78" s="74" t="s">
        <v>2310</v>
      </c>
      <c r="P78" s="75">
        <v>0.7597222222222222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45547.0</v>
      </c>
      <c r="I79" s="68"/>
      <c r="J79" s="69"/>
      <c r="K79" s="70"/>
      <c r="L79" s="71"/>
      <c r="M79" s="72" t="s">
        <v>2076</v>
      </c>
      <c r="N79" s="90">
        <v>23800.0</v>
      </c>
      <c r="O79" s="74" t="s">
        <v>2078</v>
      </c>
      <c r="P79" s="75">
        <v>0.7902777777777777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45547.0</v>
      </c>
      <c r="I80" s="68"/>
      <c r="J80" s="69"/>
      <c r="K80" s="92"/>
      <c r="L80" s="71"/>
      <c r="M80" s="72" t="s">
        <v>2076</v>
      </c>
      <c r="N80" s="90">
        <v>23800.0</v>
      </c>
      <c r="O80" s="74" t="s">
        <v>2078</v>
      </c>
      <c r="P80" s="75">
        <v>0.9979166666666667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45548.0</v>
      </c>
      <c r="I81" s="68" t="s">
        <v>2272</v>
      </c>
      <c r="J81" s="69">
        <v>20000.0</v>
      </c>
      <c r="K81" s="70" t="s">
        <v>1966</v>
      </c>
      <c r="L81" s="88" t="s">
        <v>1852</v>
      </c>
      <c r="M81" s="72" t="s">
        <v>2076</v>
      </c>
      <c r="N81" s="90">
        <v>23800.0</v>
      </c>
      <c r="O81" s="74" t="s">
        <v>2078</v>
      </c>
      <c r="P81" s="75">
        <v>0.8805555555555555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45549.0</v>
      </c>
      <c r="I82" s="154" t="s">
        <v>673</v>
      </c>
      <c r="J82" s="17">
        <v>100000.0</v>
      </c>
      <c r="K82" s="92" t="s">
        <v>1988</v>
      </c>
      <c r="L82" s="71">
        <v>0.7326388888888888</v>
      </c>
      <c r="M82" s="72" t="s">
        <v>2076</v>
      </c>
      <c r="N82" s="90">
        <v>23800.0</v>
      </c>
      <c r="O82" s="74" t="s">
        <v>2078</v>
      </c>
      <c r="P82" s="94" t="s">
        <v>2311</v>
      </c>
      <c r="Q82" s="41"/>
      <c r="R82" s="39"/>
      <c r="S82" s="76" t="s">
        <v>2284</v>
      </c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45549.0</v>
      </c>
      <c r="I83" s="68"/>
      <c r="J83" s="69"/>
      <c r="K83" s="87"/>
      <c r="L83" s="71"/>
      <c r="M83" s="72" t="s">
        <v>2076</v>
      </c>
      <c r="N83" s="90">
        <v>23800.0</v>
      </c>
      <c r="O83" s="74" t="s">
        <v>2078</v>
      </c>
      <c r="P83" s="94" t="s">
        <v>2311</v>
      </c>
      <c r="Q83" s="41"/>
      <c r="R83" s="39"/>
      <c r="S83" s="76" t="s">
        <v>2284</v>
      </c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45549.0</v>
      </c>
      <c r="I84" s="68"/>
      <c r="J84" s="69"/>
      <c r="K84" s="70"/>
      <c r="L84" s="88"/>
      <c r="M84" s="72" t="s">
        <v>2076</v>
      </c>
      <c r="N84" s="90">
        <v>23800.0</v>
      </c>
      <c r="O84" s="74" t="s">
        <v>2078</v>
      </c>
      <c r="P84" s="75">
        <v>0.7590277777777777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45549.0</v>
      </c>
      <c r="I85" s="68"/>
      <c r="J85" s="69"/>
      <c r="K85" s="70"/>
      <c r="L85" s="71"/>
      <c r="M85" s="72" t="s">
        <v>2076</v>
      </c>
      <c r="N85" s="90">
        <v>1500.0</v>
      </c>
      <c r="O85" s="74" t="s">
        <v>2312</v>
      </c>
      <c r="P85" s="94" t="s">
        <v>2313</v>
      </c>
      <c r="Q85" s="41"/>
      <c r="R85" s="39"/>
      <c r="S85" s="273" t="s">
        <v>2314</v>
      </c>
      <c r="T85" s="95"/>
      <c r="U85" s="95"/>
      <c r="V85" s="95"/>
      <c r="W85" s="95"/>
      <c r="X85" s="95"/>
      <c r="Y85" s="274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45549.0</v>
      </c>
      <c r="I86" s="68"/>
      <c r="J86" s="69"/>
      <c r="K86" s="85"/>
      <c r="L86" s="71"/>
      <c r="M86" s="72" t="s">
        <v>2076</v>
      </c>
      <c r="N86" s="90">
        <v>2000.0</v>
      </c>
      <c r="O86" s="74" t="s">
        <v>427</v>
      </c>
      <c r="P86" s="94" t="s">
        <v>2313</v>
      </c>
      <c r="Q86" s="41"/>
      <c r="R86" s="39"/>
      <c r="T86" s="95"/>
      <c r="U86" s="95"/>
      <c r="V86" s="95"/>
      <c r="W86" s="95"/>
      <c r="X86" s="95"/>
      <c r="Y86" s="274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45549.0</v>
      </c>
      <c r="I87" s="68"/>
      <c r="J87" s="69"/>
      <c r="K87" s="70"/>
      <c r="L87" s="71"/>
      <c r="M87" s="72" t="s">
        <v>2076</v>
      </c>
      <c r="N87" s="90">
        <v>10951.57</v>
      </c>
      <c r="O87" s="74" t="s">
        <v>2315</v>
      </c>
      <c r="P87" s="94" t="s">
        <v>2313</v>
      </c>
      <c r="Q87" s="41"/>
      <c r="R87" s="39"/>
      <c r="S87" s="107"/>
      <c r="T87" s="275"/>
      <c r="U87" s="275"/>
      <c r="V87" s="275"/>
      <c r="W87" s="275"/>
      <c r="X87" s="275"/>
      <c r="Y87" s="276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45549.0</v>
      </c>
      <c r="I88" s="68"/>
      <c r="J88" s="69"/>
      <c r="K88" s="70"/>
      <c r="L88" s="71"/>
      <c r="M88" s="72" t="s">
        <v>20</v>
      </c>
      <c r="N88" s="90">
        <v>200.0</v>
      </c>
      <c r="O88" s="74" t="s">
        <v>211</v>
      </c>
      <c r="P88" s="94" t="s">
        <v>2316</v>
      </c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45549.0</v>
      </c>
      <c r="I89" s="68"/>
      <c r="J89" s="69"/>
      <c r="K89" s="70"/>
      <c r="L89" s="88"/>
      <c r="M89" s="72" t="s">
        <v>1829</v>
      </c>
      <c r="N89" s="90">
        <v>2000.07</v>
      </c>
      <c r="O89" s="74" t="s">
        <v>2250</v>
      </c>
      <c r="P89" s="75">
        <v>0.5847222222222223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45550.0</v>
      </c>
      <c r="I90" s="84"/>
      <c r="J90" s="17"/>
      <c r="K90" s="85"/>
      <c r="L90" s="86"/>
      <c r="M90" s="72" t="s">
        <v>827</v>
      </c>
      <c r="N90" s="90">
        <v>7465.22</v>
      </c>
      <c r="O90" s="74" t="s">
        <v>43</v>
      </c>
      <c r="P90" s="75">
        <v>0.5868055555555556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45550.0</v>
      </c>
      <c r="I91" s="68" t="s">
        <v>2272</v>
      </c>
      <c r="J91" s="69">
        <v>20000.0</v>
      </c>
      <c r="K91" s="70" t="s">
        <v>1966</v>
      </c>
      <c r="L91" s="88" t="s">
        <v>2317</v>
      </c>
      <c r="M91" s="72" t="s">
        <v>2076</v>
      </c>
      <c r="N91" s="90">
        <v>23800.0</v>
      </c>
      <c r="O91" s="74" t="s">
        <v>2078</v>
      </c>
      <c r="P91" s="75">
        <v>0.7534722222222222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45550.0</v>
      </c>
      <c r="I92" s="154" t="s">
        <v>673</v>
      </c>
      <c r="J92" s="17">
        <v>100000.0</v>
      </c>
      <c r="K92" s="92" t="s">
        <v>1988</v>
      </c>
      <c r="L92" s="88" t="s">
        <v>2318</v>
      </c>
      <c r="M92" s="72" t="s">
        <v>2076</v>
      </c>
      <c r="N92" s="90">
        <v>23800.0</v>
      </c>
      <c r="O92" s="74" t="s">
        <v>2078</v>
      </c>
      <c r="P92" s="94" t="s">
        <v>2319</v>
      </c>
      <c r="Q92" s="41"/>
      <c r="R92" s="39"/>
      <c r="S92" s="76" t="s">
        <v>2284</v>
      </c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45550.0</v>
      </c>
      <c r="I93" s="68"/>
      <c r="J93" s="69"/>
      <c r="K93" s="70"/>
      <c r="L93" s="71"/>
      <c r="M93" s="72" t="s">
        <v>2076</v>
      </c>
      <c r="N93" s="90">
        <v>23800.0</v>
      </c>
      <c r="O93" s="74" t="s">
        <v>2078</v>
      </c>
      <c r="P93" s="94" t="s">
        <v>2319</v>
      </c>
      <c r="Q93" s="41"/>
      <c r="R93" s="39"/>
      <c r="S93" s="76" t="s">
        <v>2284</v>
      </c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45551.0</v>
      </c>
      <c r="I94" s="68"/>
      <c r="J94" s="69"/>
      <c r="K94" s="70"/>
      <c r="L94" s="71"/>
      <c r="M94" s="72" t="s">
        <v>2076</v>
      </c>
      <c r="N94" s="90">
        <v>23800.0</v>
      </c>
      <c r="O94" s="74" t="s">
        <v>2078</v>
      </c>
      <c r="P94" s="75">
        <v>0.5763888888888888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45551.0</v>
      </c>
      <c r="I95" s="68"/>
      <c r="J95" s="69"/>
      <c r="K95" s="87"/>
      <c r="L95" s="71"/>
      <c r="M95" s="72" t="s">
        <v>2076</v>
      </c>
      <c r="N95" s="90">
        <v>23800.0</v>
      </c>
      <c r="O95" s="74" t="s">
        <v>2078</v>
      </c>
      <c r="P95" s="94" t="s">
        <v>2219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45551.0</v>
      </c>
      <c r="I96" s="68" t="s">
        <v>2320</v>
      </c>
      <c r="J96" s="69">
        <v>2000.0</v>
      </c>
      <c r="K96" s="70" t="s">
        <v>2306</v>
      </c>
      <c r="L96" s="71">
        <v>0.9006944444444445</v>
      </c>
      <c r="M96" s="72" t="s">
        <v>2076</v>
      </c>
      <c r="N96" s="90">
        <v>11900.0</v>
      </c>
      <c r="O96" s="74" t="s">
        <v>2078</v>
      </c>
      <c r="P96" s="94" t="s">
        <v>2321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45552.0</v>
      </c>
      <c r="I97" s="84"/>
      <c r="J97" s="17"/>
      <c r="K97" s="85"/>
      <c r="L97" s="86"/>
      <c r="M97" s="72" t="s">
        <v>20</v>
      </c>
      <c r="N97" s="90">
        <v>5.0</v>
      </c>
      <c r="O97" s="74" t="s">
        <v>2322</v>
      </c>
      <c r="P97" s="94" t="s">
        <v>2323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45552.0</v>
      </c>
      <c r="I98" s="154" t="s">
        <v>673</v>
      </c>
      <c r="J98" s="17">
        <v>100000.0</v>
      </c>
      <c r="K98" s="92" t="s">
        <v>1988</v>
      </c>
      <c r="L98" s="71">
        <v>0.7034722222222223</v>
      </c>
      <c r="M98" s="72" t="s">
        <v>2076</v>
      </c>
      <c r="N98" s="90">
        <v>23800.0</v>
      </c>
      <c r="O98" s="74" t="s">
        <v>2078</v>
      </c>
      <c r="P98" s="94" t="s">
        <v>2220</v>
      </c>
      <c r="Q98" s="41"/>
      <c r="R98" s="39"/>
      <c r="S98" s="76" t="s">
        <v>2284</v>
      </c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45552.0</v>
      </c>
      <c r="I99" s="154"/>
      <c r="J99" s="17"/>
      <c r="K99" s="92"/>
      <c r="L99" s="173"/>
      <c r="M99" s="72" t="s">
        <v>2076</v>
      </c>
      <c r="N99" s="90">
        <v>23800.0</v>
      </c>
      <c r="O99" s="74" t="s">
        <v>2078</v>
      </c>
      <c r="P99" s="94" t="s">
        <v>2220</v>
      </c>
      <c r="Q99" s="41"/>
      <c r="R99" s="39"/>
      <c r="S99" s="76" t="s">
        <v>2284</v>
      </c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45552.0</v>
      </c>
      <c r="I100" s="68"/>
      <c r="J100" s="69"/>
      <c r="K100" s="70"/>
      <c r="L100" s="71"/>
      <c r="M100" s="72" t="s">
        <v>2076</v>
      </c>
      <c r="N100" s="90">
        <v>23800.0</v>
      </c>
      <c r="O100" s="74" t="s">
        <v>2078</v>
      </c>
      <c r="P100" s="75">
        <v>0.8604166666666667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45553.0</v>
      </c>
      <c r="I101" s="68"/>
      <c r="J101" s="69"/>
      <c r="K101" s="70"/>
      <c r="L101" s="71"/>
      <c r="M101" s="72" t="s">
        <v>20</v>
      </c>
      <c r="N101" s="90">
        <v>228.0</v>
      </c>
      <c r="O101" s="74" t="s">
        <v>2324</v>
      </c>
      <c r="P101" s="75">
        <v>0.5513888888888889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45553.0</v>
      </c>
      <c r="I102" s="68"/>
      <c r="J102" s="69"/>
      <c r="K102" s="70"/>
      <c r="L102" s="71"/>
      <c r="M102" s="72" t="s">
        <v>20</v>
      </c>
      <c r="N102" s="90">
        <v>90.0</v>
      </c>
      <c r="O102" s="74" t="s">
        <v>2155</v>
      </c>
      <c r="P102" s="75">
        <v>0.8354166666666667</v>
      </c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45553.0</v>
      </c>
      <c r="I103" s="68"/>
      <c r="J103" s="69"/>
      <c r="K103" s="87"/>
      <c r="L103" s="71"/>
      <c r="M103" s="72" t="s">
        <v>2076</v>
      </c>
      <c r="N103" s="90">
        <v>5950.0</v>
      </c>
      <c r="O103" s="74" t="s">
        <v>2082</v>
      </c>
      <c r="P103" s="94" t="s">
        <v>2325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45554.0</v>
      </c>
      <c r="I104" s="68" t="s">
        <v>2326</v>
      </c>
      <c r="J104" s="69">
        <v>1198.6</v>
      </c>
      <c r="K104" s="70" t="s">
        <v>2327</v>
      </c>
      <c r="L104" s="88" t="s">
        <v>2328</v>
      </c>
      <c r="M104" s="72" t="s">
        <v>827</v>
      </c>
      <c r="N104" s="90">
        <v>1189.59</v>
      </c>
      <c r="O104" s="74" t="s">
        <v>43</v>
      </c>
      <c r="P104" s="75">
        <v>0.46041666666666664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45554.0</v>
      </c>
      <c r="I105" s="68"/>
      <c r="J105" s="69"/>
      <c r="K105" s="87"/>
      <c r="L105" s="71"/>
      <c r="M105" s="72" t="s">
        <v>827</v>
      </c>
      <c r="N105" s="90">
        <v>10191.05</v>
      </c>
      <c r="O105" s="74" t="s">
        <v>43</v>
      </c>
      <c r="P105" s="94" t="s">
        <v>2329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45554.0</v>
      </c>
      <c r="I106" s="68"/>
      <c r="J106" s="69"/>
      <c r="K106" s="93"/>
      <c r="L106" s="71"/>
      <c r="M106" s="72" t="s">
        <v>2076</v>
      </c>
      <c r="N106" s="90">
        <v>5950.0</v>
      </c>
      <c r="O106" s="74" t="s">
        <v>2082</v>
      </c>
      <c r="P106" s="94" t="s">
        <v>2330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45555.0</v>
      </c>
      <c r="I107" s="84"/>
      <c r="J107" s="17"/>
      <c r="K107" s="93"/>
      <c r="L107" s="155"/>
      <c r="M107" s="72" t="s">
        <v>2251</v>
      </c>
      <c r="N107" s="90">
        <v>1100.0</v>
      </c>
      <c r="O107" s="74" t="s">
        <v>2331</v>
      </c>
      <c r="P107" s="94" t="s">
        <v>2332</v>
      </c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45555.0</v>
      </c>
      <c r="I108" s="68" t="s">
        <v>2087</v>
      </c>
      <c r="J108" s="69">
        <v>100000.0</v>
      </c>
      <c r="K108" s="70" t="s">
        <v>1988</v>
      </c>
      <c r="L108" s="88" t="s">
        <v>2333</v>
      </c>
      <c r="M108" s="72" t="s">
        <v>2076</v>
      </c>
      <c r="N108" s="90">
        <v>23800.0</v>
      </c>
      <c r="O108" s="74" t="s">
        <v>2078</v>
      </c>
      <c r="P108" s="94" t="s">
        <v>363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45555.0</v>
      </c>
      <c r="I109" s="103"/>
      <c r="J109" s="69"/>
      <c r="K109" s="70"/>
      <c r="L109" s="71"/>
      <c r="M109" s="72" t="s">
        <v>2076</v>
      </c>
      <c r="N109" s="90">
        <v>11900.0</v>
      </c>
      <c r="O109" s="74" t="s">
        <v>2082</v>
      </c>
      <c r="P109" s="94" t="s">
        <v>2334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45555.0</v>
      </c>
      <c r="I110" s="68"/>
      <c r="J110" s="69"/>
      <c r="K110" s="70"/>
      <c r="L110" s="71"/>
      <c r="M110" s="72" t="s">
        <v>2076</v>
      </c>
      <c r="N110" s="90">
        <v>23800.0</v>
      </c>
      <c r="O110" s="74" t="s">
        <v>2078</v>
      </c>
      <c r="P110" s="75">
        <v>0.6159722222222223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45555.0</v>
      </c>
      <c r="I111" s="154"/>
      <c r="J111" s="17"/>
      <c r="K111" s="92"/>
      <c r="L111" s="173"/>
      <c r="M111" s="72" t="s">
        <v>2076</v>
      </c>
      <c r="N111" s="90">
        <f>11900-13</f>
        <v>11887</v>
      </c>
      <c r="O111" s="74" t="s">
        <v>2082</v>
      </c>
      <c r="P111" s="75">
        <v>0.6215277777777778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45555.0</v>
      </c>
      <c r="I112" s="84"/>
      <c r="J112" s="17"/>
      <c r="K112" s="85"/>
      <c r="L112" s="86"/>
      <c r="M112" s="72" t="s">
        <v>20</v>
      </c>
      <c r="N112" s="90">
        <v>300.0</v>
      </c>
      <c r="O112" s="74" t="s">
        <v>2335</v>
      </c>
      <c r="P112" s="75">
        <v>0.6854166666666667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45555.0</v>
      </c>
      <c r="I113" s="154"/>
      <c r="J113" s="17"/>
      <c r="K113" s="93"/>
      <c r="L113" s="155"/>
      <c r="M113" s="72" t="s">
        <v>2076</v>
      </c>
      <c r="N113" s="90">
        <v>11900.0</v>
      </c>
      <c r="O113" s="74" t="s">
        <v>2078</v>
      </c>
      <c r="P113" s="75">
        <v>0.7194444444444444</v>
      </c>
      <c r="Q113" s="41"/>
      <c r="R113" s="39"/>
      <c r="S113" s="76" t="s">
        <v>2284</v>
      </c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45555.0</v>
      </c>
      <c r="I114" s="68"/>
      <c r="J114" s="69"/>
      <c r="K114" s="70"/>
      <c r="L114" s="71"/>
      <c r="M114" s="72" t="s">
        <v>2076</v>
      </c>
      <c r="N114" s="90">
        <v>11900.0</v>
      </c>
      <c r="O114" s="74" t="s">
        <v>2082</v>
      </c>
      <c r="P114" s="75">
        <v>0.7194444444444444</v>
      </c>
      <c r="Q114" s="41"/>
      <c r="R114" s="39"/>
      <c r="S114" s="76" t="s">
        <v>2284</v>
      </c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45555.0</v>
      </c>
      <c r="I115" s="68"/>
      <c r="J115" s="69"/>
      <c r="K115" s="70"/>
      <c r="L115" s="71"/>
      <c r="M115" s="72" t="s">
        <v>2076</v>
      </c>
      <c r="N115" s="90">
        <v>23800.0</v>
      </c>
      <c r="O115" s="74" t="s">
        <v>2078</v>
      </c>
      <c r="P115" s="75">
        <v>0.9645833333333333</v>
      </c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45555.0</v>
      </c>
      <c r="I116" s="68" t="s">
        <v>2272</v>
      </c>
      <c r="J116" s="69">
        <v>15000.0</v>
      </c>
      <c r="K116" s="70" t="s">
        <v>1966</v>
      </c>
      <c r="L116" s="88" t="s">
        <v>2336</v>
      </c>
      <c r="M116" s="80" t="s">
        <v>2076</v>
      </c>
      <c r="N116" s="102">
        <v>11900.0</v>
      </c>
      <c r="O116" s="180" t="s">
        <v>2082</v>
      </c>
      <c r="P116" s="181">
        <v>0.6333333333333333</v>
      </c>
      <c r="Q116" s="41"/>
      <c r="R116" s="39"/>
      <c r="S116" s="277">
        <v>45556.0</v>
      </c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45556.0</v>
      </c>
      <c r="I117" s="68" t="s">
        <v>2251</v>
      </c>
      <c r="J117" s="69">
        <v>1100.0</v>
      </c>
      <c r="K117" s="70" t="s">
        <v>155</v>
      </c>
      <c r="L117" s="71">
        <v>0.5770833333333333</v>
      </c>
      <c r="M117" s="278" t="s">
        <v>2076</v>
      </c>
      <c r="N117" s="279">
        <v>11900.0</v>
      </c>
      <c r="O117" s="280" t="s">
        <v>2078</v>
      </c>
      <c r="P117" s="281">
        <v>0.6333333333333333</v>
      </c>
      <c r="Q117" s="41"/>
      <c r="R117" s="39"/>
      <c r="S117" s="277">
        <v>45556.0</v>
      </c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45556.0</v>
      </c>
      <c r="I118" s="68" t="s">
        <v>2087</v>
      </c>
      <c r="J118" s="69">
        <v>100000.0</v>
      </c>
      <c r="K118" s="70" t="s">
        <v>1988</v>
      </c>
      <c r="L118" s="71">
        <v>0.6291666666666667</v>
      </c>
      <c r="M118" s="80" t="s">
        <v>2076</v>
      </c>
      <c r="N118" s="102">
        <v>944.0</v>
      </c>
      <c r="O118" s="180" t="s">
        <v>2337</v>
      </c>
      <c r="P118" s="181">
        <v>0.6333333333333333</v>
      </c>
      <c r="R118" s="39"/>
      <c r="S118" s="282" t="s">
        <v>2289</v>
      </c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45556.0</v>
      </c>
      <c r="I119" s="103"/>
      <c r="J119" s="103"/>
      <c r="K119" s="103"/>
      <c r="L119" s="103"/>
      <c r="M119" s="80" t="s">
        <v>2076</v>
      </c>
      <c r="N119" s="102">
        <v>23800.0</v>
      </c>
      <c r="O119" s="180" t="s">
        <v>2082</v>
      </c>
      <c r="P119" s="181">
        <v>0.6333333333333333</v>
      </c>
      <c r="R119" s="39"/>
      <c r="S119" s="282" t="s">
        <v>2289</v>
      </c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45556.0</v>
      </c>
      <c r="I120" s="103"/>
      <c r="J120" s="103"/>
      <c r="K120" s="103"/>
      <c r="L120" s="103"/>
      <c r="M120" s="80" t="s">
        <v>2076</v>
      </c>
      <c r="N120" s="102">
        <v>23800.0</v>
      </c>
      <c r="O120" s="180" t="s">
        <v>2078</v>
      </c>
      <c r="P120" s="181">
        <v>0.6333333333333333</v>
      </c>
      <c r="R120" s="39"/>
      <c r="S120" s="282" t="s">
        <v>2289</v>
      </c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45556.0</v>
      </c>
      <c r="I121" s="103"/>
      <c r="J121" s="103"/>
      <c r="K121" s="103"/>
      <c r="L121" s="103"/>
      <c r="M121" s="80" t="s">
        <v>2076</v>
      </c>
      <c r="N121" s="102">
        <v>5600.0</v>
      </c>
      <c r="O121" s="180" t="s">
        <v>2338</v>
      </c>
      <c r="P121" s="181">
        <v>0.6333333333333333</v>
      </c>
      <c r="R121" s="39"/>
      <c r="S121" s="282" t="s">
        <v>2289</v>
      </c>
      <c r="T121" s="40"/>
      <c r="U121" s="40"/>
      <c r="V121" s="40"/>
      <c r="W121" s="267">
        <f>N103+N106+N109+N111+N114+N116+N119+N123+N133+N133+N136+N141+N146+N152+N155</f>
        <v>297487</v>
      </c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45556.0</v>
      </c>
      <c r="I122" s="68"/>
      <c r="J122" s="69"/>
      <c r="K122" s="70"/>
      <c r="L122" s="71"/>
      <c r="M122" s="72" t="s">
        <v>827</v>
      </c>
      <c r="N122" s="90">
        <v>10000.0</v>
      </c>
      <c r="O122" s="74" t="s">
        <v>43</v>
      </c>
      <c r="P122" s="181">
        <v>0.7048611111111112</v>
      </c>
      <c r="R122" s="39"/>
      <c r="S122" s="76" t="s">
        <v>2284</v>
      </c>
      <c r="T122" s="40"/>
      <c r="U122" s="40"/>
      <c r="V122" s="40"/>
      <c r="W122" s="267">
        <f>'10月收支财务报表'!AB14</f>
        <v>47600</v>
      </c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45556.0</v>
      </c>
      <c r="I123" s="68" t="s">
        <v>2281</v>
      </c>
      <c r="J123" s="69">
        <v>100000.0</v>
      </c>
      <c r="K123" s="70" t="s">
        <v>1988</v>
      </c>
      <c r="L123" s="71">
        <v>0.7340277777777777</v>
      </c>
      <c r="M123" s="229" t="s">
        <v>2076</v>
      </c>
      <c r="N123" s="146">
        <v>47600.0</v>
      </c>
      <c r="O123" s="283" t="s">
        <v>2082</v>
      </c>
      <c r="P123" s="284">
        <v>0.7402777777777778</v>
      </c>
      <c r="R123" s="39"/>
      <c r="S123" s="76" t="s">
        <v>2284</v>
      </c>
      <c r="T123" s="40"/>
      <c r="U123" s="40"/>
      <c r="V123" s="40"/>
      <c r="W123" s="267">
        <f>W121+W122</f>
        <v>345087</v>
      </c>
      <c r="X123" s="285">
        <f>W123/1.1+25000</f>
        <v>338715.4545</v>
      </c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45556.0</v>
      </c>
      <c r="I124" s="103"/>
      <c r="J124" s="103"/>
      <c r="K124" s="103"/>
      <c r="L124" s="103"/>
      <c r="M124" s="147" t="s">
        <v>2076</v>
      </c>
      <c r="N124" s="19">
        <v>47600.0</v>
      </c>
      <c r="O124" s="126" t="s">
        <v>2078</v>
      </c>
      <c r="P124" s="284">
        <v>0.7402777777777778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45557.0</v>
      </c>
      <c r="I125" s="84"/>
      <c r="J125" s="17"/>
      <c r="K125" s="85"/>
      <c r="L125" s="86"/>
      <c r="M125" s="80" t="s">
        <v>2076</v>
      </c>
      <c r="N125" s="102">
        <v>20000.0</v>
      </c>
      <c r="O125" s="180" t="s">
        <v>2078</v>
      </c>
      <c r="P125" s="75">
        <v>0.925</v>
      </c>
      <c r="Q125" s="41"/>
      <c r="R125" s="39"/>
      <c r="S125" s="286">
        <v>45557.72777777778</v>
      </c>
      <c r="T125" s="76" t="s">
        <v>2339</v>
      </c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45557.0</v>
      </c>
      <c r="I126" s="84"/>
      <c r="J126" s="17"/>
      <c r="K126" s="85"/>
      <c r="L126" s="86"/>
      <c r="M126" s="80" t="s">
        <v>2076</v>
      </c>
      <c r="N126" s="102">
        <v>20000.0</v>
      </c>
      <c r="O126" s="283" t="s">
        <v>2082</v>
      </c>
      <c r="P126" s="75">
        <v>0.925</v>
      </c>
      <c r="Q126" s="41"/>
      <c r="R126" s="39"/>
      <c r="S126" s="286">
        <v>45557.77013888889</v>
      </c>
      <c r="T126" s="76" t="s">
        <v>2339</v>
      </c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45557.0</v>
      </c>
      <c r="I127" s="103"/>
      <c r="J127" s="103"/>
      <c r="K127" s="103"/>
      <c r="L127" s="88"/>
      <c r="M127" s="72" t="s">
        <v>20</v>
      </c>
      <c r="N127" s="90">
        <v>36.0</v>
      </c>
      <c r="O127" s="74" t="s">
        <v>2340</v>
      </c>
      <c r="P127" s="75">
        <v>0.7854166666666667</v>
      </c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45557.0</v>
      </c>
      <c r="I128" s="68" t="s">
        <v>2084</v>
      </c>
      <c r="J128" s="69">
        <v>21000.0</v>
      </c>
      <c r="K128" s="70" t="s">
        <v>2341</v>
      </c>
      <c r="L128" s="71">
        <v>0.925</v>
      </c>
      <c r="M128" s="80"/>
      <c r="N128" s="102"/>
      <c r="O128" s="180"/>
      <c r="P128" s="75"/>
      <c r="Q128" s="41"/>
      <c r="R128" s="39"/>
      <c r="S128" s="206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45558.0</v>
      </c>
      <c r="I129" s="68" t="s">
        <v>2273</v>
      </c>
      <c r="J129" s="69">
        <v>98660.0</v>
      </c>
      <c r="K129" s="70" t="s">
        <v>2274</v>
      </c>
      <c r="L129" s="71">
        <v>0.5652777777777778</v>
      </c>
      <c r="M129" s="229" t="s">
        <v>2076</v>
      </c>
      <c r="N129" s="102">
        <v>67100.0</v>
      </c>
      <c r="O129" s="180" t="s">
        <v>2342</v>
      </c>
      <c r="P129" s="75">
        <v>0.5701388888888889</v>
      </c>
      <c r="Q129" s="41"/>
      <c r="R129" s="39"/>
      <c r="S129" s="40">
        <f>3800*2+23800+11900+23800</f>
        <v>67100</v>
      </c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45558.0</v>
      </c>
      <c r="I130" s="68"/>
      <c r="J130" s="69"/>
      <c r="K130" s="70"/>
      <c r="L130" s="71"/>
      <c r="M130" s="72" t="s">
        <v>827</v>
      </c>
      <c r="N130" s="90">
        <v>10000.0</v>
      </c>
      <c r="O130" s="74" t="s">
        <v>43</v>
      </c>
      <c r="P130" s="75">
        <v>0.5868055555555556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45558.0</v>
      </c>
      <c r="I131" s="68"/>
      <c r="J131" s="69"/>
      <c r="K131" s="87"/>
      <c r="L131" s="71"/>
      <c r="M131" s="80" t="s">
        <v>2076</v>
      </c>
      <c r="N131" s="102">
        <v>23800.0</v>
      </c>
      <c r="O131" s="180" t="s">
        <v>2078</v>
      </c>
      <c r="P131" s="75">
        <v>0.7458333333333333</v>
      </c>
      <c r="Q131" s="41"/>
      <c r="R131" s="39"/>
      <c r="S131" s="76" t="s">
        <v>2284</v>
      </c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45558.0</v>
      </c>
      <c r="I132" s="68" t="s">
        <v>2272</v>
      </c>
      <c r="J132" s="69">
        <v>20000.0</v>
      </c>
      <c r="K132" s="70" t="s">
        <v>1966</v>
      </c>
      <c r="L132" s="71">
        <v>0.7375</v>
      </c>
      <c r="M132" s="72" t="s">
        <v>2076</v>
      </c>
      <c r="N132" s="90">
        <v>5600.0</v>
      </c>
      <c r="O132" s="74" t="s">
        <v>2338</v>
      </c>
      <c r="P132" s="75">
        <v>0.7458333333333333</v>
      </c>
      <c r="Q132" s="41"/>
      <c r="R132" s="39"/>
      <c r="S132" s="76" t="s">
        <v>2284</v>
      </c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45558.0</v>
      </c>
      <c r="I133" s="68" t="s">
        <v>2084</v>
      </c>
      <c r="J133" s="69">
        <v>16800.0</v>
      </c>
      <c r="K133" s="70" t="s">
        <v>2341</v>
      </c>
      <c r="L133" s="71">
        <v>0.8625</v>
      </c>
      <c r="M133" s="80" t="s">
        <v>2076</v>
      </c>
      <c r="N133" s="102">
        <v>23800.0</v>
      </c>
      <c r="O133" s="283" t="s">
        <v>2082</v>
      </c>
      <c r="P133" s="75">
        <v>0.8645833333333334</v>
      </c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45559.0</v>
      </c>
      <c r="I134" s="68" t="s">
        <v>2087</v>
      </c>
      <c r="J134" s="69">
        <v>100000.0</v>
      </c>
      <c r="K134" s="70" t="s">
        <v>1988</v>
      </c>
      <c r="L134" s="71">
        <v>0.5465277777777777</v>
      </c>
      <c r="M134" s="80" t="s">
        <v>2076</v>
      </c>
      <c r="N134" s="102">
        <v>23800.0</v>
      </c>
      <c r="O134" s="180" t="s">
        <v>2078</v>
      </c>
      <c r="P134" s="75">
        <v>0.5527777777777778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45559.0</v>
      </c>
      <c r="I135" s="68"/>
      <c r="J135" s="69"/>
      <c r="K135" s="85"/>
      <c r="L135" s="71"/>
      <c r="M135" s="72" t="s">
        <v>2076</v>
      </c>
      <c r="N135" s="90">
        <v>5600.0</v>
      </c>
      <c r="O135" s="74" t="s">
        <v>2338</v>
      </c>
      <c r="P135" s="75">
        <v>0.5527777777777778</v>
      </c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45559.0</v>
      </c>
      <c r="I136" s="68"/>
      <c r="J136" s="69"/>
      <c r="K136" s="70"/>
      <c r="L136" s="71"/>
      <c r="M136" s="80" t="s">
        <v>2076</v>
      </c>
      <c r="N136" s="102">
        <v>23800.0</v>
      </c>
      <c r="O136" s="283" t="s">
        <v>2082</v>
      </c>
      <c r="P136" s="75">
        <v>0.5527777777777778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45559.0</v>
      </c>
      <c r="I137" s="84"/>
      <c r="J137" s="17"/>
      <c r="K137" s="85"/>
      <c r="L137" s="86"/>
      <c r="M137" s="72" t="s">
        <v>827</v>
      </c>
      <c r="N137" s="90">
        <v>9953.61</v>
      </c>
      <c r="O137" s="74" t="s">
        <v>43</v>
      </c>
      <c r="P137" s="75">
        <v>0.5541666666666667</v>
      </c>
      <c r="Q137" s="41"/>
      <c r="R137" s="39"/>
      <c r="S137" s="76"/>
      <c r="T137" s="40"/>
      <c r="U137" s="76" t="s">
        <v>2078</v>
      </c>
      <c r="V137" s="267">
        <f>N134+N138+N147</f>
        <v>71400</v>
      </c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45559.0</v>
      </c>
      <c r="I138" s="84"/>
      <c r="J138" s="17"/>
      <c r="K138" s="85"/>
      <c r="L138" s="86"/>
      <c r="M138" s="80" t="s">
        <v>2076</v>
      </c>
      <c r="N138" s="102">
        <v>23800.0</v>
      </c>
      <c r="O138" s="180" t="s">
        <v>2078</v>
      </c>
      <c r="P138" s="75">
        <v>0.6791666666666667</v>
      </c>
      <c r="Q138" s="41"/>
      <c r="R138" s="39"/>
      <c r="S138" s="40"/>
      <c r="T138" s="40"/>
      <c r="U138" s="76" t="s">
        <v>2082</v>
      </c>
      <c r="V138" s="267">
        <f>N136+N142+N141+N146</f>
        <v>71400</v>
      </c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45559.0</v>
      </c>
      <c r="I139" s="68"/>
      <c r="J139" s="69"/>
      <c r="K139" s="70"/>
      <c r="L139" s="71"/>
      <c r="M139" s="72" t="s">
        <v>2252</v>
      </c>
      <c r="N139" s="90">
        <v>2000.0</v>
      </c>
      <c r="O139" s="74" t="s">
        <v>2343</v>
      </c>
      <c r="P139" s="75">
        <v>0.6833333333333333</v>
      </c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45559.0</v>
      </c>
      <c r="I140" s="68" t="s">
        <v>2249</v>
      </c>
      <c r="J140" s="69">
        <v>896.11</v>
      </c>
      <c r="K140" s="87">
        <v>0.6569444444444444</v>
      </c>
      <c r="L140" s="88" t="s">
        <v>155</v>
      </c>
      <c r="M140" s="72" t="s">
        <v>20</v>
      </c>
      <c r="N140" s="90">
        <v>45.0</v>
      </c>
      <c r="O140" s="74" t="s">
        <v>1986</v>
      </c>
      <c r="P140" s="75">
        <v>0.7347222222222223</v>
      </c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>
        <v>45559.0</v>
      </c>
      <c r="I141" s="68" t="s">
        <v>2272</v>
      </c>
      <c r="J141" s="69">
        <v>20000.0</v>
      </c>
      <c r="K141" s="70" t="s">
        <v>1966</v>
      </c>
      <c r="L141" s="88" t="s">
        <v>2344</v>
      </c>
      <c r="M141" s="80" t="s">
        <v>2076</v>
      </c>
      <c r="N141" s="102">
        <v>23800.0</v>
      </c>
      <c r="O141" s="283" t="s">
        <v>2082</v>
      </c>
      <c r="P141" s="75">
        <v>0.7659722222222223</v>
      </c>
      <c r="Q141" s="41"/>
      <c r="R141" s="39"/>
      <c r="S141" s="40"/>
      <c r="T141" s="40"/>
      <c r="U141" s="40"/>
      <c r="V141" s="40"/>
      <c r="W141" s="40"/>
      <c r="X141" s="287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>
        <v>45559.0</v>
      </c>
      <c r="I142" s="68" t="s">
        <v>2281</v>
      </c>
      <c r="J142" s="69">
        <v>100000.0</v>
      </c>
      <c r="K142" s="70" t="s">
        <v>1988</v>
      </c>
      <c r="L142" s="71">
        <v>0.7659722222222223</v>
      </c>
      <c r="M142" s="80"/>
      <c r="N142" s="102"/>
      <c r="O142" s="283"/>
      <c r="P142" s="75"/>
      <c r="Q142" s="41"/>
      <c r="R142" s="39"/>
      <c r="S142" s="40"/>
      <c r="T142" s="40"/>
      <c r="U142" s="40"/>
      <c r="V142" s="288">
        <v>45559.0</v>
      </c>
      <c r="W142" s="109" t="str">
        <f>M134</f>
        <v>凤凰&amp;洛阳&amp;15+1（1200）&amp;8+1（60）</v>
      </c>
      <c r="X142" s="190">
        <f>N134+N135+N136+N138+N141+N146+N147+N148</f>
        <v>150640</v>
      </c>
      <c r="Y142" s="41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>
        <v>45559.0</v>
      </c>
      <c r="I143" s="68" t="s">
        <v>2084</v>
      </c>
      <c r="J143" s="69">
        <v>28000.0</v>
      </c>
      <c r="K143" s="70" t="s">
        <v>2341</v>
      </c>
      <c r="L143" s="71">
        <v>0.76875</v>
      </c>
      <c r="M143" s="72" t="s">
        <v>2345</v>
      </c>
      <c r="N143" s="90">
        <v>1279.0</v>
      </c>
      <c r="O143" s="74"/>
      <c r="P143" s="75">
        <v>0.7993055555555556</v>
      </c>
      <c r="Q143" s="41"/>
      <c r="R143" s="39"/>
      <c r="S143" s="40"/>
      <c r="T143" s="40"/>
      <c r="U143" s="40"/>
      <c r="V143" s="288">
        <v>45559.0</v>
      </c>
      <c r="W143" s="109" t="str">
        <f>M149</f>
        <v>启航广告费</v>
      </c>
      <c r="X143" s="190">
        <f>N137+N149</f>
        <v>28234.21</v>
      </c>
      <c r="Y143" s="41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>
        <v>45559.0</v>
      </c>
      <c r="I144" s="68" t="s">
        <v>2346</v>
      </c>
      <c r="J144" s="69">
        <v>6279.0</v>
      </c>
      <c r="K144" s="70" t="s">
        <v>2306</v>
      </c>
      <c r="L144" s="88" t="s">
        <v>2347</v>
      </c>
      <c r="M144" s="72" t="s">
        <v>2345</v>
      </c>
      <c r="N144" s="90">
        <v>100.0</v>
      </c>
      <c r="O144" s="74" t="s">
        <v>2348</v>
      </c>
      <c r="P144" s="75">
        <v>0.8631944444444445</v>
      </c>
      <c r="Q144" s="41"/>
      <c r="R144" s="39"/>
      <c r="S144" s="40"/>
      <c r="T144" s="40"/>
      <c r="U144" s="40"/>
      <c r="V144" s="288">
        <v>45559.0</v>
      </c>
      <c r="W144" s="26" t="s">
        <v>2252</v>
      </c>
      <c r="X144" s="190">
        <f>N139</f>
        <v>2000</v>
      </c>
      <c r="Y144" s="41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>
        <v>45559.0</v>
      </c>
      <c r="I145" s="68"/>
      <c r="J145" s="69"/>
      <c r="K145" s="87"/>
      <c r="L145" s="71"/>
      <c r="M145" s="72" t="s">
        <v>2345</v>
      </c>
      <c r="N145" s="90">
        <v>4900.0</v>
      </c>
      <c r="O145" s="74"/>
      <c r="P145" s="75">
        <v>0.8652777777777778</v>
      </c>
      <c r="Q145" s="41"/>
      <c r="R145" s="39"/>
      <c r="S145" s="40"/>
      <c r="T145" s="40"/>
      <c r="U145" s="40"/>
      <c r="V145" s="288">
        <v>45559.0</v>
      </c>
      <c r="W145" s="109" t="str">
        <f t="shared" ref="W145:X145" si="1">M140</f>
        <v>广告配套</v>
      </c>
      <c r="X145" s="190">
        <f t="shared" si="1"/>
        <v>45</v>
      </c>
      <c r="Y145" s="41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>
        <v>45559.0</v>
      </c>
      <c r="I146" s="68"/>
      <c r="J146" s="69"/>
      <c r="K146" s="87"/>
      <c r="L146" s="71"/>
      <c r="M146" s="80" t="s">
        <v>2076</v>
      </c>
      <c r="N146" s="102">
        <v>23800.0</v>
      </c>
      <c r="O146" s="283" t="s">
        <v>2082</v>
      </c>
      <c r="P146" s="75">
        <v>0.9479166666666666</v>
      </c>
      <c r="Q146" s="41"/>
      <c r="R146" s="39"/>
      <c r="S146" s="76" t="s">
        <v>2284</v>
      </c>
      <c r="T146" s="40"/>
      <c r="U146" s="40"/>
      <c r="V146" s="109"/>
      <c r="W146" s="109"/>
      <c r="X146" s="190">
        <f>SUM(X142:X145)</f>
        <v>180919.21</v>
      </c>
      <c r="Y146" s="41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>
        <v>45559.0</v>
      </c>
      <c r="I147" s="84"/>
      <c r="J147" s="17"/>
      <c r="K147" s="85"/>
      <c r="L147" s="86"/>
      <c r="M147" s="80" t="s">
        <v>2076</v>
      </c>
      <c r="N147" s="102">
        <v>23800.0</v>
      </c>
      <c r="O147" s="180" t="s">
        <v>2078</v>
      </c>
      <c r="P147" s="75">
        <v>0.9479166666666666</v>
      </c>
      <c r="Q147" s="41"/>
      <c r="R147" s="39"/>
      <c r="S147" s="76" t="s">
        <v>2284</v>
      </c>
      <c r="T147" s="40"/>
      <c r="U147" s="40"/>
      <c r="V147" s="40"/>
      <c r="W147" s="40"/>
      <c r="X147" s="289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>
        <v>45559.0</v>
      </c>
      <c r="I148" s="84"/>
      <c r="J148" s="17"/>
      <c r="K148" s="85"/>
      <c r="L148" s="86"/>
      <c r="M148" s="72" t="s">
        <v>2076</v>
      </c>
      <c r="N148" s="90">
        <f>2000*1.12</f>
        <v>2240</v>
      </c>
      <c r="O148" s="74" t="s">
        <v>2349</v>
      </c>
      <c r="P148" s="75">
        <v>0.9479166666666666</v>
      </c>
      <c r="Q148" s="41"/>
      <c r="R148" s="39"/>
      <c r="S148" s="76" t="s">
        <v>2284</v>
      </c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>
        <v>45559.0</v>
      </c>
      <c r="I149" s="84"/>
      <c r="J149" s="17"/>
      <c r="K149" s="85"/>
      <c r="L149" s="86"/>
      <c r="M149" s="72" t="s">
        <v>827</v>
      </c>
      <c r="N149" s="90">
        <v>18280.6</v>
      </c>
      <c r="O149" s="74" t="s">
        <v>43</v>
      </c>
      <c r="P149" s="75">
        <v>0.9493055555555555</v>
      </c>
      <c r="Q149" s="41"/>
      <c r="R149" s="39"/>
      <c r="S149" s="76"/>
      <c r="T149" s="40"/>
      <c r="U149" s="40"/>
      <c r="V149" s="288">
        <v>45560.0</v>
      </c>
      <c r="W149" s="109" t="str">
        <f>M141</f>
        <v>凤凰&amp;洛阳&amp;15+1（1200）&amp;8+1（60）</v>
      </c>
      <c r="X149" s="190">
        <f>N152+N153+N155+N156</f>
        <v>95200</v>
      </c>
      <c r="Y149" s="243" t="s">
        <v>2350</v>
      </c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>
        <v>45560.0</v>
      </c>
      <c r="I150" s="68" t="s">
        <v>2084</v>
      </c>
      <c r="J150" s="69">
        <v>21000.0</v>
      </c>
      <c r="K150" s="70" t="s">
        <v>2341</v>
      </c>
      <c r="L150" s="88" t="s">
        <v>2351</v>
      </c>
      <c r="M150" s="72"/>
      <c r="N150" s="90"/>
      <c r="O150" s="74"/>
      <c r="P150" s="75"/>
      <c r="Q150" s="41"/>
      <c r="R150" s="39"/>
      <c r="S150" s="40"/>
      <c r="T150" s="40"/>
      <c r="U150" s="40"/>
      <c r="V150" s="288">
        <v>45560.0</v>
      </c>
      <c r="W150" s="26" t="s">
        <v>827</v>
      </c>
      <c r="X150" s="26">
        <v>0.0</v>
      </c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>
        <v>45560.0</v>
      </c>
      <c r="I151" s="68" t="s">
        <v>2352</v>
      </c>
      <c r="J151" s="69">
        <v>111.0</v>
      </c>
      <c r="K151" s="70"/>
      <c r="L151" s="88"/>
      <c r="M151" s="72" t="s">
        <v>20</v>
      </c>
      <c r="N151" s="90">
        <v>450.0</v>
      </c>
      <c r="O151" s="74" t="s">
        <v>2193</v>
      </c>
      <c r="P151" s="94" t="s">
        <v>2353</v>
      </c>
      <c r="Q151" s="41"/>
      <c r="R151" s="39"/>
      <c r="S151" s="40"/>
      <c r="T151" s="40"/>
      <c r="U151" s="40"/>
      <c r="V151" s="288">
        <v>45560.0</v>
      </c>
      <c r="W151" s="26" t="s">
        <v>20</v>
      </c>
      <c r="X151" s="190">
        <f>N151</f>
        <v>450</v>
      </c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>
        <v>45560.0</v>
      </c>
      <c r="I152" s="68"/>
      <c r="J152" s="69"/>
      <c r="K152" s="70"/>
      <c r="L152" s="71"/>
      <c r="M152" s="80" t="s">
        <v>2076</v>
      </c>
      <c r="N152" s="102">
        <v>23800.0</v>
      </c>
      <c r="O152" s="283" t="s">
        <v>2082</v>
      </c>
      <c r="P152" s="94" t="s">
        <v>2354</v>
      </c>
      <c r="Q152" s="41"/>
      <c r="R152" s="39"/>
      <c r="S152" s="40"/>
      <c r="T152" s="40"/>
      <c r="U152" s="40"/>
      <c r="V152" s="109"/>
      <c r="W152" s="109"/>
      <c r="X152" s="190">
        <f>SUM(X149:X151)</f>
        <v>95650</v>
      </c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>
        <v>45560.0</v>
      </c>
      <c r="I153" s="68"/>
      <c r="J153" s="69"/>
      <c r="K153" s="70"/>
      <c r="L153" s="71"/>
      <c r="M153" s="80" t="s">
        <v>2076</v>
      </c>
      <c r="N153" s="102">
        <v>23800.0</v>
      </c>
      <c r="O153" s="180" t="s">
        <v>2078</v>
      </c>
      <c r="P153" s="75">
        <v>0.6770833333333334</v>
      </c>
      <c r="Q153" s="41"/>
      <c r="R153" s="39"/>
      <c r="S153" s="40"/>
      <c r="T153" s="40"/>
      <c r="U153" s="40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>
        <v>45560.0</v>
      </c>
      <c r="I154" s="68"/>
      <c r="J154" s="69"/>
      <c r="K154" s="70"/>
      <c r="L154" s="86"/>
      <c r="M154" s="72" t="s">
        <v>2345</v>
      </c>
      <c r="N154" s="90">
        <v>4082.0</v>
      </c>
      <c r="O154" s="74"/>
      <c r="P154" s="94" t="s">
        <v>2355</v>
      </c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>
        <v>45560.0</v>
      </c>
      <c r="I155" s="68"/>
      <c r="J155" s="69"/>
      <c r="K155" s="85"/>
      <c r="L155" s="71"/>
      <c r="M155" s="80" t="s">
        <v>2076</v>
      </c>
      <c r="N155" s="102">
        <v>23800.0</v>
      </c>
      <c r="O155" s="283" t="s">
        <v>2082</v>
      </c>
      <c r="P155" s="75">
        <v>0.8055555555555556</v>
      </c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>
        <v>45560.0</v>
      </c>
      <c r="I156" s="84"/>
      <c r="J156" s="17"/>
      <c r="K156" s="85"/>
      <c r="L156" s="86"/>
      <c r="M156" s="80" t="s">
        <v>2076</v>
      </c>
      <c r="N156" s="102">
        <v>23800.0</v>
      </c>
      <c r="O156" s="180" t="s">
        <v>2078</v>
      </c>
      <c r="P156" s="75">
        <v>0.9166666666666666</v>
      </c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>
        <v>45560.0</v>
      </c>
      <c r="I157" s="68" t="s">
        <v>2084</v>
      </c>
      <c r="J157" s="69">
        <v>22400.0</v>
      </c>
      <c r="K157" s="70" t="s">
        <v>2341</v>
      </c>
      <c r="L157" s="71">
        <v>0.9138888888888889</v>
      </c>
      <c r="M157" s="72" t="s">
        <v>827</v>
      </c>
      <c r="N157" s="90">
        <v>10000.0</v>
      </c>
      <c r="O157" s="74" t="s">
        <v>43</v>
      </c>
      <c r="P157" s="75">
        <v>0.91875</v>
      </c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>
        <v>45562.0</v>
      </c>
      <c r="I158" s="290" t="s">
        <v>2080</v>
      </c>
      <c r="J158" s="291">
        <v>20000.0</v>
      </c>
      <c r="K158" s="292" t="s">
        <v>1966</v>
      </c>
      <c r="L158" s="71">
        <v>0.42777777777777776</v>
      </c>
      <c r="M158" s="72"/>
      <c r="N158" s="90"/>
      <c r="O158" s="74"/>
      <c r="P158" s="75"/>
      <c r="Q158" s="41"/>
      <c r="R158" s="39"/>
      <c r="S158" s="76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>
        <v>45562.0</v>
      </c>
      <c r="I159" s="68" t="s">
        <v>2346</v>
      </c>
      <c r="J159" s="69">
        <v>4082.0</v>
      </c>
      <c r="K159" s="70" t="s">
        <v>2306</v>
      </c>
      <c r="L159" s="71">
        <v>0.4326388888888889</v>
      </c>
      <c r="M159" s="278" t="s">
        <v>2253</v>
      </c>
      <c r="N159" s="279">
        <v>9680.0</v>
      </c>
      <c r="O159" s="280" t="s">
        <v>2356</v>
      </c>
      <c r="P159" s="75">
        <v>0.4625</v>
      </c>
      <c r="Q159" s="41"/>
      <c r="R159" s="39"/>
      <c r="S159" s="76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>
        <v>45562.0</v>
      </c>
      <c r="I160" s="68"/>
      <c r="J160" s="69"/>
      <c r="K160" s="70"/>
      <c r="L160" s="71"/>
      <c r="M160" s="72" t="s">
        <v>827</v>
      </c>
      <c r="N160" s="90">
        <v>5845.92</v>
      </c>
      <c r="O160" s="74" t="s">
        <v>43</v>
      </c>
      <c r="P160" s="75">
        <v>0.4847222222222222</v>
      </c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>
        <v>45562.0</v>
      </c>
      <c r="I161" s="84"/>
      <c r="J161" s="17"/>
      <c r="K161" s="93"/>
      <c r="L161" s="155"/>
      <c r="M161" s="72" t="s">
        <v>2076</v>
      </c>
      <c r="N161" s="90">
        <v>2352.0</v>
      </c>
      <c r="O161" s="74" t="s">
        <v>2357</v>
      </c>
      <c r="P161" s="94" t="s">
        <v>2358</v>
      </c>
      <c r="Q161" s="41"/>
      <c r="R161" s="39"/>
      <c r="S161" s="76" t="s">
        <v>2359</v>
      </c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>
        <v>45562.0</v>
      </c>
      <c r="I162" s="84"/>
      <c r="J162" s="69"/>
      <c r="K162" s="87"/>
      <c r="L162" s="71"/>
      <c r="M162" s="72" t="s">
        <v>2076</v>
      </c>
      <c r="N162" s="90">
        <v>1120.0</v>
      </c>
      <c r="O162" s="74" t="s">
        <v>2360</v>
      </c>
      <c r="P162" s="94" t="s">
        <v>2361</v>
      </c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>
        <v>45563.0</v>
      </c>
      <c r="I163" s="68"/>
      <c r="J163" s="69"/>
      <c r="K163" s="87"/>
      <c r="L163" s="71"/>
      <c r="M163" s="72" t="s">
        <v>2076</v>
      </c>
      <c r="N163" s="90">
        <v>5600.0</v>
      </c>
      <c r="O163" s="74" t="s">
        <v>2360</v>
      </c>
      <c r="P163" s="75">
        <v>0.011111111111111112</v>
      </c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>
        <v>45563.0</v>
      </c>
      <c r="I164" s="68"/>
      <c r="J164" s="69"/>
      <c r="K164" s="87"/>
      <c r="L164" s="71"/>
      <c r="M164" s="80" t="s">
        <v>2254</v>
      </c>
      <c r="N164" s="90">
        <v>66.0</v>
      </c>
      <c r="O164" s="74" t="s">
        <v>2362</v>
      </c>
      <c r="P164" s="75">
        <v>0.49236111111111114</v>
      </c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>
        <v>45563.0</v>
      </c>
      <c r="I165" s="68"/>
      <c r="J165" s="69"/>
      <c r="K165" s="87"/>
      <c r="L165" s="71"/>
      <c r="M165" s="80" t="s">
        <v>2100</v>
      </c>
      <c r="N165" s="90">
        <v>5250.0</v>
      </c>
      <c r="O165" s="74" t="s">
        <v>2363</v>
      </c>
      <c r="P165" s="75">
        <v>0.5847222222222223</v>
      </c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>
        <v>45563.0</v>
      </c>
      <c r="I166" s="68" t="s">
        <v>2281</v>
      </c>
      <c r="J166" s="69">
        <v>50000.0</v>
      </c>
      <c r="K166" s="70" t="s">
        <v>1988</v>
      </c>
      <c r="L166" s="71">
        <v>0.7944444444444444</v>
      </c>
      <c r="M166" s="80"/>
      <c r="N166" s="90"/>
      <c r="O166" s="74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>
        <v>45563.0</v>
      </c>
      <c r="I167" s="84"/>
      <c r="J167" s="17"/>
      <c r="K167" s="85"/>
      <c r="L167" s="86"/>
      <c r="M167" s="80" t="s">
        <v>2364</v>
      </c>
      <c r="N167" s="90">
        <v>450.0</v>
      </c>
      <c r="O167" s="74" t="s">
        <v>2365</v>
      </c>
      <c r="P167" s="75">
        <v>0.8048611111111111</v>
      </c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>
        <v>45563.0</v>
      </c>
      <c r="I168" s="68"/>
      <c r="J168" s="69"/>
      <c r="K168" s="70"/>
      <c r="L168" s="71"/>
      <c r="M168" s="80" t="s">
        <v>2195</v>
      </c>
      <c r="N168" s="90">
        <v>2100.0</v>
      </c>
      <c r="O168" s="74" t="s">
        <v>2366</v>
      </c>
      <c r="P168" s="75">
        <v>0.8729166666666667</v>
      </c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>
        <v>45563.0</v>
      </c>
      <c r="I169" s="68"/>
      <c r="J169" s="69"/>
      <c r="K169" s="70"/>
      <c r="L169" s="71"/>
      <c r="M169" s="72" t="s">
        <v>827</v>
      </c>
      <c r="N169" s="90">
        <v>10000.0</v>
      </c>
      <c r="O169" s="74" t="s">
        <v>43</v>
      </c>
      <c r="P169" s="75">
        <v>0.8847222222222222</v>
      </c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>
        <v>45564.0</v>
      </c>
      <c r="I170" s="68"/>
      <c r="J170" s="69"/>
      <c r="K170" s="70"/>
      <c r="L170" s="71"/>
      <c r="M170" s="72" t="s">
        <v>2076</v>
      </c>
      <c r="N170" s="90">
        <v>24920.0</v>
      </c>
      <c r="O170" s="74" t="s">
        <v>2367</v>
      </c>
      <c r="P170" s="94" t="s">
        <v>2368</v>
      </c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>
        <v>45565.0</v>
      </c>
      <c r="I171" s="290" t="s">
        <v>2080</v>
      </c>
      <c r="J171" s="291">
        <v>30000.0</v>
      </c>
      <c r="K171" s="292" t="s">
        <v>1966</v>
      </c>
      <c r="L171" s="71">
        <v>0.5715277777777777</v>
      </c>
      <c r="M171" s="72" t="s">
        <v>2076</v>
      </c>
      <c r="N171" s="90">
        <v>40000.0</v>
      </c>
      <c r="O171" s="74" t="s">
        <v>2369</v>
      </c>
      <c r="P171" s="75">
        <v>0.625</v>
      </c>
      <c r="Q171" s="41"/>
      <c r="R171" s="39"/>
      <c r="S171" s="76" t="s">
        <v>2370</v>
      </c>
      <c r="T171" s="72" t="s">
        <v>2076</v>
      </c>
      <c r="U171" s="90">
        <f>5000*1.12+20000*1.19</f>
        <v>29400</v>
      </c>
      <c r="V171" s="74" t="s">
        <v>2371</v>
      </c>
      <c r="W171" s="94" t="s">
        <v>2079</v>
      </c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>
        <v>45565.0</v>
      </c>
      <c r="I172" s="290" t="s">
        <v>2080</v>
      </c>
      <c r="J172" s="291">
        <v>10000.0</v>
      </c>
      <c r="K172" s="292" t="s">
        <v>1966</v>
      </c>
      <c r="L172" s="71">
        <v>0.7777777777777778</v>
      </c>
      <c r="M172" s="72"/>
      <c r="N172" s="102"/>
      <c r="O172" s="180"/>
      <c r="P172" s="94"/>
      <c r="Q172" s="41"/>
      <c r="R172" s="39"/>
      <c r="S172" s="76" t="s">
        <v>2372</v>
      </c>
      <c r="T172" s="72" t="s">
        <v>2076</v>
      </c>
      <c r="U172" s="102">
        <v>23800.0</v>
      </c>
      <c r="V172" s="180" t="s">
        <v>2078</v>
      </c>
      <c r="W172" s="94" t="s">
        <v>2079</v>
      </c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>
        <v>45565.0</v>
      </c>
      <c r="I173" s="290" t="s">
        <v>2080</v>
      </c>
      <c r="J173" s="291">
        <v>90000.0</v>
      </c>
      <c r="K173" s="292" t="s">
        <v>1966</v>
      </c>
      <c r="L173" s="71">
        <v>0.7826388888888889</v>
      </c>
      <c r="M173" s="72"/>
      <c r="N173" s="90"/>
      <c r="O173" s="74"/>
      <c r="P173" s="75"/>
      <c r="Q173" s="41"/>
      <c r="R173" s="39"/>
      <c r="S173" s="76" t="s">
        <v>2373</v>
      </c>
      <c r="T173" s="72" t="s">
        <v>2076</v>
      </c>
      <c r="U173" s="102">
        <v>23800.0</v>
      </c>
      <c r="V173" s="180" t="s">
        <v>2078</v>
      </c>
      <c r="W173" s="94" t="s">
        <v>2079</v>
      </c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>
        <v>45566.0</v>
      </c>
      <c r="I174" s="84"/>
      <c r="J174" s="69"/>
      <c r="K174" s="87"/>
      <c r="L174" s="71"/>
      <c r="M174" s="72" t="s">
        <v>2076</v>
      </c>
      <c r="N174" s="90">
        <v>30000.0</v>
      </c>
      <c r="O174" s="74" t="s">
        <v>2374</v>
      </c>
      <c r="P174" s="94" t="s">
        <v>2375</v>
      </c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>
        <v>45566.0</v>
      </c>
      <c r="I175" s="68"/>
      <c r="J175" s="69"/>
      <c r="K175" s="85"/>
      <c r="L175" s="71"/>
      <c r="M175" s="72" t="s">
        <v>2076</v>
      </c>
      <c r="N175" s="90">
        <f>37100-35700</f>
        <v>1400</v>
      </c>
      <c r="O175" s="74" t="s">
        <v>2374</v>
      </c>
      <c r="P175" s="75">
        <v>0.7868055555555555</v>
      </c>
      <c r="Q175" s="41"/>
      <c r="R175" s="39"/>
      <c r="S175" s="76" t="s">
        <v>2376</v>
      </c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68"/>
      <c r="J176" s="69"/>
      <c r="K176" s="70"/>
      <c r="L176" s="71"/>
      <c r="M176" s="72"/>
      <c r="N176" s="90"/>
      <c r="O176" s="74"/>
      <c r="P176" s="75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17"/>
      <c r="K177" s="85"/>
      <c r="L177" s="86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69"/>
      <c r="K178" s="87"/>
      <c r="L178" s="71"/>
      <c r="M178" s="72"/>
      <c r="N178" s="90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69"/>
      <c r="K179" s="87"/>
      <c r="L179" s="71"/>
      <c r="M179" s="72"/>
      <c r="N179" s="90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17"/>
      <c r="K180" s="85"/>
      <c r="L180" s="86"/>
      <c r="M180" s="72"/>
      <c r="N180" s="90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8">
    <mergeCell ref="C1:Q1"/>
    <mergeCell ref="G4:O4"/>
    <mergeCell ref="G5:G6"/>
    <mergeCell ref="H5:H6"/>
    <mergeCell ref="I5:L5"/>
    <mergeCell ref="M5:P5"/>
    <mergeCell ref="S62:S63"/>
    <mergeCell ref="S85:S87"/>
  </mergeCells>
  <conditionalFormatting sqref="G2:P1000 AB12 T171:W173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1" t="s">
        <v>0</v>
      </c>
      <c r="B1" s="2"/>
      <c r="C1" s="3" t="s">
        <v>2238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257"/>
      <c r="K2" s="11"/>
      <c r="L2" s="11"/>
      <c r="M2" s="13"/>
      <c r="N2" s="258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259"/>
      <c r="K3" s="16"/>
      <c r="L3" s="16"/>
      <c r="M3" s="18"/>
      <c r="N3" s="260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2377</v>
      </c>
      <c r="D4" s="21"/>
      <c r="E4" s="20"/>
      <c r="F4" s="21"/>
      <c r="G4" s="23" t="s">
        <v>2378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6"/>
      <c r="T5" s="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261" t="s">
        <v>2233</v>
      </c>
      <c r="K6" s="47" t="s">
        <v>12</v>
      </c>
      <c r="L6" s="48" t="s">
        <v>13</v>
      </c>
      <c r="M6" s="49" t="s">
        <v>10</v>
      </c>
      <c r="N6" s="262" t="s">
        <v>2233</v>
      </c>
      <c r="O6" s="51" t="s">
        <v>12</v>
      </c>
      <c r="P6" s="51" t="s">
        <v>13</v>
      </c>
      <c r="Q6" s="30"/>
      <c r="R6" s="39"/>
      <c r="S6" s="6"/>
      <c r="T6" s="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450</v>
      </c>
      <c r="D7" s="54" t="s">
        <v>16</v>
      </c>
      <c r="E7" s="29"/>
      <c r="F7" s="30"/>
      <c r="G7" s="55">
        <v>1.0</v>
      </c>
      <c r="H7" s="241">
        <v>45536.0</v>
      </c>
      <c r="I7" s="57" t="s">
        <v>451</v>
      </c>
      <c r="J7" s="263">
        <f>'8月账单户'!C25</f>
        <v>9733.38</v>
      </c>
      <c r="K7" s="59"/>
      <c r="L7" s="60"/>
      <c r="M7" s="61" t="s">
        <v>20</v>
      </c>
      <c r="N7" s="264">
        <v>49.87</v>
      </c>
      <c r="O7" s="63" t="s">
        <v>2379</v>
      </c>
      <c r="P7" s="64">
        <v>0.8034722222222223</v>
      </c>
      <c r="Q7" s="41"/>
      <c r="R7" s="39"/>
      <c r="S7" s="6"/>
      <c r="T7" s="27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45538.0</v>
      </c>
      <c r="I8" s="68"/>
      <c r="J8" s="265"/>
      <c r="K8" s="70"/>
      <c r="L8" s="88"/>
      <c r="M8" s="80" t="s">
        <v>20</v>
      </c>
      <c r="N8" s="266">
        <v>349.87</v>
      </c>
      <c r="O8" s="72" t="s">
        <v>2380</v>
      </c>
      <c r="P8" s="75">
        <v>0.6493055555555556</v>
      </c>
      <c r="Q8" s="41"/>
      <c r="R8" s="39"/>
      <c r="S8" s="27"/>
      <c r="T8" s="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9733.38</v>
      </c>
      <c r="D9" s="30"/>
      <c r="E9" s="29"/>
      <c r="F9" s="30"/>
      <c r="G9" s="66">
        <v>3.0</v>
      </c>
      <c r="H9" s="153">
        <v>45539.0</v>
      </c>
      <c r="I9" s="68"/>
      <c r="J9" s="265"/>
      <c r="K9" s="70"/>
      <c r="L9" s="88"/>
      <c r="M9" s="80" t="s">
        <v>20</v>
      </c>
      <c r="N9" s="266">
        <v>124.87</v>
      </c>
      <c r="O9" s="72" t="s">
        <v>2381</v>
      </c>
      <c r="P9" s="75">
        <v>0.7270833333333333</v>
      </c>
      <c r="Q9" s="41"/>
      <c r="R9" s="39"/>
      <c r="S9" s="6"/>
      <c r="T9" s="6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45539.0</v>
      </c>
      <c r="I10" s="68"/>
      <c r="J10" s="265"/>
      <c r="K10" s="85"/>
      <c r="L10" s="88"/>
      <c r="M10" s="80" t="s">
        <v>20</v>
      </c>
      <c r="N10" s="266">
        <v>100.0</v>
      </c>
      <c r="O10" s="72" t="s">
        <v>98</v>
      </c>
      <c r="P10" s="75">
        <v>0.8444444444444444</v>
      </c>
      <c r="Q10" s="41"/>
      <c r="R10" s="39"/>
      <c r="S10" s="27"/>
      <c r="T10" s="27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2017.82</v>
      </c>
      <c r="D11" s="30"/>
      <c r="E11" s="29"/>
      <c r="F11" s="30"/>
      <c r="G11" s="66">
        <v>5.0</v>
      </c>
      <c r="H11" s="153">
        <v>45540.0</v>
      </c>
      <c r="I11" s="68"/>
      <c r="J11" s="265"/>
      <c r="K11" s="87"/>
      <c r="L11" s="71"/>
      <c r="M11" s="80" t="s">
        <v>20</v>
      </c>
      <c r="N11" s="266">
        <v>100.0</v>
      </c>
      <c r="O11" s="72" t="s">
        <v>98</v>
      </c>
      <c r="P11" s="75">
        <v>0.5104166666666666</v>
      </c>
      <c r="Q11" s="41"/>
      <c r="R11" s="39"/>
      <c r="S11" s="6"/>
      <c r="T11" s="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45540.0</v>
      </c>
      <c r="I12" s="68"/>
      <c r="J12" s="265"/>
      <c r="K12" s="87"/>
      <c r="L12" s="71"/>
      <c r="M12" s="80" t="s">
        <v>20</v>
      </c>
      <c r="N12" s="266">
        <v>100.0</v>
      </c>
      <c r="O12" s="72" t="s">
        <v>98</v>
      </c>
      <c r="P12" s="75">
        <v>0.5416666666666666</v>
      </c>
      <c r="Q12" s="41"/>
      <c r="R12" s="39"/>
      <c r="S12" s="6"/>
      <c r="T12" s="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7715.56</v>
      </c>
      <c r="D13" s="30"/>
      <c r="E13" s="29"/>
      <c r="F13" s="30"/>
      <c r="G13" s="66">
        <v>7.0</v>
      </c>
      <c r="H13" s="153">
        <v>45540.0</v>
      </c>
      <c r="I13" s="68"/>
      <c r="J13" s="265"/>
      <c r="K13" s="87"/>
      <c r="L13" s="71"/>
      <c r="M13" s="80" t="s">
        <v>20</v>
      </c>
      <c r="N13" s="266">
        <v>200.0</v>
      </c>
      <c r="O13" s="72" t="s">
        <v>2380</v>
      </c>
      <c r="P13" s="75">
        <v>0.5875</v>
      </c>
      <c r="Q13" s="41"/>
      <c r="R13" s="39"/>
      <c r="S13" s="27"/>
      <c r="T13" s="27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45541.0</v>
      </c>
      <c r="I14" s="84"/>
      <c r="J14" s="259"/>
      <c r="K14" s="85"/>
      <c r="L14" s="86"/>
      <c r="M14" s="80" t="s">
        <v>20</v>
      </c>
      <c r="N14" s="266">
        <v>100.0</v>
      </c>
      <c r="O14" s="72" t="s">
        <v>98</v>
      </c>
      <c r="P14" s="75">
        <v>0.5097222222222222</v>
      </c>
      <c r="Q14" s="41"/>
      <c r="R14" s="39"/>
      <c r="S14" s="6"/>
      <c r="T14" s="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45545.0</v>
      </c>
      <c r="I15" s="68"/>
      <c r="J15" s="265"/>
      <c r="K15" s="87"/>
      <c r="L15" s="71"/>
      <c r="M15" s="80" t="s">
        <v>20</v>
      </c>
      <c r="N15" s="266">
        <v>100.0</v>
      </c>
      <c r="O15" s="72" t="s">
        <v>98</v>
      </c>
      <c r="P15" s="75">
        <v>0.49166666666666664</v>
      </c>
      <c r="Q15" s="41"/>
      <c r="R15" s="39"/>
      <c r="S15" s="6"/>
      <c r="T15" s="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45545.0</v>
      </c>
      <c r="I16" s="154"/>
      <c r="J16" s="259"/>
      <c r="K16" s="92"/>
      <c r="L16" s="173"/>
      <c r="M16" s="80" t="s">
        <v>20</v>
      </c>
      <c r="N16" s="266">
        <v>100.0</v>
      </c>
      <c r="O16" s="72" t="s">
        <v>98</v>
      </c>
      <c r="P16" s="75">
        <v>0.7375</v>
      </c>
      <c r="Q16" s="41"/>
      <c r="R16" s="39"/>
      <c r="S16" s="27"/>
      <c r="T16" s="27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45546.0</v>
      </c>
      <c r="I17" s="154"/>
      <c r="J17" s="259"/>
      <c r="K17" s="92"/>
      <c r="L17" s="173"/>
      <c r="M17" s="80" t="s">
        <v>20</v>
      </c>
      <c r="N17" s="266">
        <v>153.21</v>
      </c>
      <c r="O17" s="74" t="s">
        <v>2282</v>
      </c>
      <c r="P17" s="75">
        <v>0.7305555555555555</v>
      </c>
      <c r="Q17" s="41"/>
      <c r="R17" s="39"/>
      <c r="S17" s="6"/>
      <c r="T17" s="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45546.0</v>
      </c>
      <c r="I18" s="154"/>
      <c r="J18" s="259"/>
      <c r="K18" s="92"/>
      <c r="L18" s="173"/>
      <c r="M18" s="80" t="s">
        <v>20</v>
      </c>
      <c r="N18" s="266">
        <v>100.0</v>
      </c>
      <c r="O18" s="72" t="s">
        <v>98</v>
      </c>
      <c r="P18" s="94" t="s">
        <v>487</v>
      </c>
      <c r="Q18" s="41"/>
      <c r="R18" s="39"/>
      <c r="S18" s="6"/>
      <c r="T18" s="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45552.0</v>
      </c>
      <c r="I19" s="154"/>
      <c r="J19" s="259"/>
      <c r="K19" s="93"/>
      <c r="L19" s="155"/>
      <c r="M19" s="72" t="s">
        <v>20</v>
      </c>
      <c r="N19" s="266">
        <v>40.0</v>
      </c>
      <c r="O19" s="74" t="s">
        <v>2382</v>
      </c>
      <c r="P19" s="75">
        <v>0.9333333333333333</v>
      </c>
      <c r="Q19" s="41"/>
      <c r="R19" s="39"/>
      <c r="S19" s="27"/>
      <c r="T19" s="27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45553.0</v>
      </c>
      <c r="I20" s="154"/>
      <c r="J20" s="259"/>
      <c r="K20" s="93"/>
      <c r="L20" s="155"/>
      <c r="M20" s="80" t="s">
        <v>20</v>
      </c>
      <c r="N20" s="266">
        <v>100.0</v>
      </c>
      <c r="O20" s="72" t="s">
        <v>98</v>
      </c>
      <c r="P20" s="94" t="s">
        <v>2383</v>
      </c>
      <c r="Q20" s="41"/>
      <c r="R20" s="39"/>
      <c r="S20" s="6"/>
      <c r="T20" s="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9733.38</v>
      </c>
      <c r="D21" s="30"/>
      <c r="E21" s="29"/>
      <c r="F21" s="30"/>
      <c r="G21" s="66">
        <v>15.0</v>
      </c>
      <c r="H21" s="153">
        <v>45555.0</v>
      </c>
      <c r="I21" s="154"/>
      <c r="J21" s="259"/>
      <c r="K21" s="93"/>
      <c r="L21" s="155"/>
      <c r="M21" s="80" t="s">
        <v>20</v>
      </c>
      <c r="N21" s="266">
        <v>100.0</v>
      </c>
      <c r="O21" s="72" t="s">
        <v>98</v>
      </c>
      <c r="P21" s="94" t="s">
        <v>2384</v>
      </c>
      <c r="Q21" s="41"/>
      <c r="R21" s="39"/>
      <c r="S21" s="6"/>
      <c r="T21" s="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45559.0</v>
      </c>
      <c r="I22" s="68"/>
      <c r="J22" s="259"/>
      <c r="K22" s="93"/>
      <c r="L22" s="155"/>
      <c r="M22" s="80" t="s">
        <v>20</v>
      </c>
      <c r="N22" s="266">
        <v>100.0</v>
      </c>
      <c r="O22" s="72" t="s">
        <v>98</v>
      </c>
      <c r="P22" s="75">
        <v>0.6652777777777777</v>
      </c>
      <c r="Q22" s="41"/>
      <c r="R22" s="39"/>
      <c r="S22" s="27"/>
      <c r="T22" s="27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2017.82</v>
      </c>
      <c r="D23" s="30"/>
      <c r="E23" s="29"/>
      <c r="F23" s="30"/>
      <c r="G23" s="66">
        <v>17.0</v>
      </c>
      <c r="H23" s="153">
        <v>45559.0</v>
      </c>
      <c r="I23" s="68"/>
      <c r="J23" s="265"/>
      <c r="K23" s="87"/>
      <c r="L23" s="71"/>
      <c r="M23" s="80" t="s">
        <v>20</v>
      </c>
      <c r="N23" s="266">
        <v>100.0</v>
      </c>
      <c r="O23" s="72" t="s">
        <v>98</v>
      </c>
      <c r="P23" s="75">
        <v>0.7611111111111111</v>
      </c>
      <c r="Q23" s="41"/>
      <c r="R23" s="39"/>
      <c r="S23" s="6"/>
      <c r="T23" s="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/>
      <c r="I24" s="68"/>
      <c r="J24" s="265"/>
      <c r="K24" s="85"/>
      <c r="L24" s="86"/>
      <c r="M24" s="72"/>
      <c r="N24" s="266"/>
      <c r="O24" s="74"/>
      <c r="P24" s="94"/>
      <c r="Q24" s="41"/>
      <c r="R24" s="39"/>
      <c r="S24" s="6"/>
      <c r="T24" s="6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7715.56</v>
      </c>
      <c r="D25" s="30"/>
      <c r="E25" s="29"/>
      <c r="F25" s="30"/>
      <c r="G25" s="66">
        <v>19.0</v>
      </c>
      <c r="H25" s="153"/>
      <c r="I25" s="68"/>
      <c r="J25" s="265"/>
      <c r="K25" s="70"/>
      <c r="L25" s="88"/>
      <c r="M25" s="72"/>
      <c r="N25" s="266"/>
      <c r="O25" s="74"/>
      <c r="P25" s="94"/>
      <c r="Q25" s="41"/>
      <c r="R25" s="39"/>
      <c r="S25" s="27"/>
      <c r="T25" s="27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/>
      <c r="I26" s="68"/>
      <c r="J26" s="265"/>
      <c r="K26" s="70"/>
      <c r="L26" s="88"/>
      <c r="M26" s="72"/>
      <c r="N26" s="266"/>
      <c r="O26" s="74"/>
      <c r="P26" s="94"/>
      <c r="Q26" s="41"/>
      <c r="R26" s="39"/>
      <c r="S26" s="6"/>
      <c r="T26" s="6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/>
      <c r="I27" s="68"/>
      <c r="J27" s="265"/>
      <c r="K27" s="70"/>
      <c r="L27" s="71"/>
      <c r="M27" s="72"/>
      <c r="N27" s="266"/>
      <c r="O27" s="74"/>
      <c r="P27" s="94"/>
      <c r="Q27" s="41"/>
      <c r="R27" s="39"/>
      <c r="S27" s="6"/>
      <c r="T27" s="6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/>
      <c r="I28" s="68"/>
      <c r="J28" s="265"/>
      <c r="K28" s="85"/>
      <c r="L28" s="86"/>
      <c r="M28" s="72"/>
      <c r="N28" s="266"/>
      <c r="O28" s="74"/>
      <c r="P28" s="94"/>
      <c r="Q28" s="41"/>
      <c r="R28" s="39"/>
      <c r="S28" s="27"/>
      <c r="T28" s="27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265"/>
      <c r="K29" s="70"/>
      <c r="L29" s="71"/>
      <c r="M29" s="72"/>
      <c r="N29" s="266"/>
      <c r="O29" s="74"/>
      <c r="P29" s="94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265"/>
      <c r="K30" s="85"/>
      <c r="L30" s="86"/>
      <c r="M30" s="72"/>
      <c r="N30" s="266"/>
      <c r="O30" s="74"/>
      <c r="P30" s="94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265"/>
      <c r="K31" s="70"/>
      <c r="L31" s="88"/>
      <c r="M31" s="72"/>
      <c r="N31" s="266"/>
      <c r="O31" s="74"/>
      <c r="P31" s="94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259"/>
      <c r="K32" s="85"/>
      <c r="L32" s="86"/>
      <c r="M32" s="72"/>
      <c r="N32" s="266"/>
      <c r="O32" s="74"/>
      <c r="P32" s="94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265"/>
      <c r="K33" s="70"/>
      <c r="L33" s="71"/>
      <c r="M33" s="72"/>
      <c r="N33" s="266"/>
      <c r="O33" s="74"/>
      <c r="P33" s="94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265"/>
      <c r="K34" s="87"/>
      <c r="L34" s="71"/>
      <c r="M34" s="72"/>
      <c r="N34" s="266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265"/>
      <c r="K35" s="85"/>
      <c r="L35" s="71"/>
      <c r="M35" s="72"/>
      <c r="N35" s="266"/>
      <c r="O35" s="74"/>
      <c r="P35" s="94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84"/>
      <c r="J36" s="259"/>
      <c r="K36" s="85"/>
      <c r="L36" s="86"/>
      <c r="M36" s="72"/>
      <c r="N36" s="266"/>
      <c r="O36" s="74"/>
      <c r="P36" s="94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265"/>
      <c r="K37" s="85"/>
      <c r="L37" s="86"/>
      <c r="M37" s="72"/>
      <c r="N37" s="266"/>
      <c r="O37" s="74"/>
      <c r="P37" s="94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265"/>
      <c r="K38" s="85"/>
      <c r="L38" s="86"/>
      <c r="M38" s="72"/>
      <c r="N38" s="266"/>
      <c r="O38" s="72"/>
      <c r="P38" s="94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265"/>
      <c r="K39" s="70"/>
      <c r="L39" s="88"/>
      <c r="M39" s="72"/>
      <c r="N39" s="266"/>
      <c r="O39" s="74"/>
      <c r="P39" s="94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265"/>
      <c r="K40" s="70"/>
      <c r="L40" s="88"/>
      <c r="M40" s="72"/>
      <c r="N40" s="266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265"/>
      <c r="K41" s="70"/>
      <c r="L41" s="88"/>
      <c r="M41" s="72"/>
      <c r="N41" s="266"/>
      <c r="O41" s="72"/>
      <c r="P41" s="94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265"/>
      <c r="K42" s="70"/>
      <c r="L42" s="88"/>
      <c r="M42" s="72"/>
      <c r="N42" s="266"/>
      <c r="O42" s="74"/>
      <c r="P42" s="74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265"/>
      <c r="K43" s="87"/>
      <c r="L43" s="71"/>
      <c r="M43" s="72"/>
      <c r="N43" s="266"/>
      <c r="O43" s="74"/>
      <c r="P43" s="74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259"/>
      <c r="K44" s="85"/>
      <c r="L44" s="86"/>
      <c r="M44" s="72"/>
      <c r="N44" s="266"/>
      <c r="O44" s="74"/>
      <c r="P44" s="94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265"/>
      <c r="K45" s="85"/>
      <c r="L45" s="86"/>
      <c r="M45" s="72"/>
      <c r="N45" s="266"/>
      <c r="O45" s="74"/>
      <c r="P45" s="94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84"/>
      <c r="J46" s="259"/>
      <c r="K46" s="85"/>
      <c r="L46" s="86"/>
      <c r="M46" s="72"/>
      <c r="N46" s="266"/>
      <c r="O46" s="74"/>
      <c r="P46" s="94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265"/>
      <c r="K47" s="70"/>
      <c r="L47" s="71"/>
      <c r="M47" s="72"/>
      <c r="N47" s="266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265"/>
      <c r="K48" s="87"/>
      <c r="L48" s="71"/>
      <c r="M48" s="72"/>
      <c r="N48" s="266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265"/>
      <c r="K49" s="85"/>
      <c r="L49" s="71"/>
      <c r="M49" s="72"/>
      <c r="N49" s="266"/>
      <c r="O49" s="74"/>
      <c r="P49" s="94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265"/>
      <c r="K50" s="85"/>
      <c r="L50" s="71"/>
      <c r="M50" s="72"/>
      <c r="N50" s="266"/>
      <c r="O50" s="74"/>
      <c r="P50" s="75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265"/>
      <c r="K51" s="87"/>
      <c r="L51" s="71"/>
      <c r="M51" s="72"/>
      <c r="N51" s="266"/>
      <c r="O51" s="74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265"/>
      <c r="K52" s="87"/>
      <c r="L52" s="71"/>
      <c r="M52" s="72"/>
      <c r="N52" s="266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265"/>
      <c r="K53" s="70"/>
      <c r="L53" s="88"/>
      <c r="M53" s="72"/>
      <c r="N53" s="266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259"/>
      <c r="K54" s="85"/>
      <c r="L54" s="86"/>
      <c r="M54" s="72"/>
      <c r="N54" s="266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265"/>
      <c r="K55" s="87"/>
      <c r="L55" s="71"/>
      <c r="M55" s="72"/>
      <c r="N55" s="266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265"/>
      <c r="K56" s="87"/>
      <c r="L56" s="71"/>
      <c r="M56" s="72"/>
      <c r="N56" s="266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265"/>
      <c r="K57" s="70"/>
      <c r="L57" s="71"/>
      <c r="M57" s="72"/>
      <c r="N57" s="266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265"/>
      <c r="K58" s="87"/>
      <c r="L58" s="71"/>
      <c r="M58" s="147"/>
      <c r="N58" s="266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265"/>
      <c r="K59" s="85"/>
      <c r="L59" s="71"/>
      <c r="M59" s="72"/>
      <c r="N59" s="266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265"/>
      <c r="K60" s="85"/>
      <c r="L60" s="71"/>
      <c r="M60" s="72"/>
      <c r="N60" s="266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265"/>
      <c r="K61" s="85"/>
      <c r="L61" s="71"/>
      <c r="M61" s="72"/>
      <c r="N61" s="266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265"/>
      <c r="K62" s="87"/>
      <c r="L62" s="71"/>
      <c r="M62" s="147"/>
      <c r="N62" s="266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265"/>
      <c r="K63" s="87"/>
      <c r="L63" s="71"/>
      <c r="M63" s="72"/>
      <c r="N63" s="266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265"/>
      <c r="K64" s="87"/>
      <c r="L64" s="71"/>
      <c r="M64" s="72"/>
      <c r="N64" s="266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265"/>
      <c r="K65" s="70"/>
      <c r="L65" s="88"/>
      <c r="M65" s="72"/>
      <c r="N65" s="266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265"/>
      <c r="K66" s="70"/>
      <c r="L66" s="88"/>
      <c r="M66" s="147"/>
      <c r="N66" s="266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265"/>
      <c r="K67" s="87"/>
      <c r="L67" s="71"/>
      <c r="M67" s="147"/>
      <c r="N67" s="266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259"/>
      <c r="K68" s="85"/>
      <c r="L68" s="86"/>
      <c r="M68" s="147"/>
      <c r="N68" s="266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265"/>
      <c r="K69" s="85"/>
      <c r="L69" s="71"/>
      <c r="M69" s="72"/>
      <c r="N69" s="266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265"/>
      <c r="K70" s="70"/>
      <c r="L70" s="71"/>
      <c r="M70" s="72"/>
      <c r="N70" s="266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265"/>
      <c r="K71" s="87"/>
      <c r="L71" s="71"/>
      <c r="M71" s="72"/>
      <c r="N71" s="266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265"/>
      <c r="K72" s="85"/>
      <c r="L72" s="71"/>
      <c r="M72" s="147"/>
      <c r="N72" s="266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265"/>
      <c r="K73" s="93"/>
      <c r="L73" s="71"/>
      <c r="M73" s="72"/>
      <c r="N73" s="266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265"/>
      <c r="K74" s="87"/>
      <c r="L74" s="71"/>
      <c r="M74" s="72"/>
      <c r="N74" s="266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265"/>
      <c r="K75" s="87"/>
      <c r="L75" s="71"/>
      <c r="M75" s="72"/>
      <c r="N75" s="266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265"/>
      <c r="K76" s="85"/>
      <c r="L76" s="71"/>
      <c r="M76" s="72"/>
      <c r="N76" s="266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265"/>
      <c r="K77" s="87"/>
      <c r="L77" s="71"/>
      <c r="M77" s="147"/>
      <c r="N77" s="266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265"/>
      <c r="K78" s="87"/>
      <c r="L78" s="71"/>
      <c r="M78" s="72"/>
      <c r="N78" s="266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265"/>
      <c r="K79" s="70"/>
      <c r="L79" s="71"/>
      <c r="M79" s="147"/>
      <c r="N79" s="266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259"/>
      <c r="K80" s="92"/>
      <c r="L80" s="173"/>
      <c r="M80" s="72"/>
      <c r="N80" s="266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265"/>
      <c r="K81" s="87"/>
      <c r="L81" s="71"/>
      <c r="M81" s="72"/>
      <c r="N81" s="266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265"/>
      <c r="K82" s="87"/>
      <c r="L82" s="71"/>
      <c r="M82" s="147"/>
      <c r="N82" s="266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265"/>
      <c r="K83" s="87"/>
      <c r="L83" s="71"/>
      <c r="M83" s="72"/>
      <c r="N83" s="266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265"/>
      <c r="K84" s="70"/>
      <c r="L84" s="88"/>
      <c r="M84" s="72"/>
      <c r="N84" s="266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265"/>
      <c r="K85" s="70"/>
      <c r="L85" s="71"/>
      <c r="M85" s="147"/>
      <c r="N85" s="266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265"/>
      <c r="K86" s="85"/>
      <c r="L86" s="71"/>
      <c r="M86" s="147"/>
      <c r="N86" s="266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265"/>
      <c r="K87" s="85"/>
      <c r="L87" s="71"/>
      <c r="M87" s="72"/>
      <c r="N87" s="266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265"/>
      <c r="K88" s="85"/>
      <c r="L88" s="71"/>
      <c r="M88" s="147"/>
      <c r="N88" s="266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265"/>
      <c r="K89" s="70"/>
      <c r="L89" s="88"/>
      <c r="M89" s="147"/>
      <c r="N89" s="266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259"/>
      <c r="K90" s="85"/>
      <c r="L90" s="86"/>
      <c r="M90" s="72"/>
      <c r="N90" s="266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265"/>
      <c r="K91" s="87"/>
      <c r="L91" s="71"/>
      <c r="M91" s="72"/>
      <c r="N91" s="266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259"/>
      <c r="K92" s="85"/>
      <c r="L92" s="86"/>
      <c r="M92" s="72"/>
      <c r="N92" s="266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265"/>
      <c r="K93" s="70"/>
      <c r="L93" s="88"/>
      <c r="M93" s="147"/>
      <c r="N93" s="266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265"/>
      <c r="K94" s="70"/>
      <c r="L94" s="71"/>
      <c r="M94" s="147"/>
      <c r="N94" s="266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265"/>
      <c r="K95" s="87"/>
      <c r="L95" s="71"/>
      <c r="M95" s="147"/>
      <c r="N95" s="266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265"/>
      <c r="K96" s="87"/>
      <c r="L96" s="71"/>
      <c r="M96" s="72"/>
      <c r="N96" s="266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259"/>
      <c r="K97" s="85"/>
      <c r="L97" s="86"/>
      <c r="M97" s="72"/>
      <c r="N97" s="266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259"/>
      <c r="K98" s="85"/>
      <c r="L98" s="86"/>
      <c r="M98" s="147"/>
      <c r="N98" s="266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259"/>
      <c r="K99" s="92"/>
      <c r="L99" s="173"/>
      <c r="M99" s="72"/>
      <c r="N99" s="266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259"/>
      <c r="K100" s="85"/>
      <c r="L100" s="86"/>
      <c r="M100" s="72"/>
      <c r="N100" s="266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259"/>
      <c r="K101" s="87"/>
      <c r="L101" s="71"/>
      <c r="M101" s="147"/>
      <c r="N101" s="266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265"/>
      <c r="K102" s="87"/>
      <c r="L102" s="71"/>
      <c r="M102" s="72"/>
      <c r="N102" s="266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265"/>
      <c r="K103" s="87"/>
      <c r="L103" s="71"/>
      <c r="M103" s="147"/>
      <c r="N103" s="266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259"/>
      <c r="K104" s="93"/>
      <c r="L104" s="155"/>
      <c r="M104" s="72"/>
      <c r="N104" s="266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265"/>
      <c r="K105" s="87"/>
      <c r="L105" s="71"/>
      <c r="M105" s="72"/>
      <c r="N105" s="266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259"/>
      <c r="K106" s="93"/>
      <c r="L106" s="155"/>
      <c r="M106" s="72"/>
      <c r="N106" s="266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259"/>
      <c r="K107" s="93"/>
      <c r="L107" s="155"/>
      <c r="M107" s="147"/>
      <c r="N107" s="266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259"/>
      <c r="K108" s="85"/>
      <c r="L108" s="86"/>
      <c r="M108" s="72"/>
      <c r="N108" s="266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265"/>
      <c r="K109" s="70"/>
      <c r="L109" s="71"/>
      <c r="M109" s="72"/>
      <c r="N109" s="266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265"/>
      <c r="K110" s="70"/>
      <c r="L110" s="71"/>
      <c r="M110" s="72"/>
      <c r="N110" s="266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259"/>
      <c r="K111" s="92"/>
      <c r="L111" s="173"/>
      <c r="M111" s="147"/>
      <c r="N111" s="260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259"/>
      <c r="K112" s="85"/>
      <c r="L112" s="86"/>
      <c r="M112" s="147"/>
      <c r="N112" s="260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154"/>
      <c r="J113" s="259"/>
      <c r="K113" s="93"/>
      <c r="L113" s="155"/>
      <c r="M113" s="147"/>
      <c r="N113" s="260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259"/>
      <c r="K114" s="93"/>
      <c r="L114" s="155"/>
      <c r="M114" s="147"/>
      <c r="N114" s="260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259"/>
      <c r="K115" s="85"/>
      <c r="L115" s="86"/>
      <c r="M115" s="147"/>
      <c r="N115" s="260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259"/>
      <c r="K116" s="92"/>
      <c r="L116" s="155"/>
      <c r="M116" s="147"/>
      <c r="N116" s="260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259"/>
      <c r="K117" s="85"/>
      <c r="L117" s="155"/>
      <c r="M117" s="147"/>
      <c r="N117" s="260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259"/>
      <c r="K118" s="93"/>
      <c r="L118" s="155"/>
      <c r="M118" s="147"/>
      <c r="N118" s="260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259"/>
      <c r="K119" s="93"/>
      <c r="L119" s="155"/>
      <c r="M119" s="147"/>
      <c r="N119" s="260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265"/>
      <c r="K120" s="87"/>
      <c r="L120" s="71"/>
      <c r="M120" s="147"/>
      <c r="N120" s="266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259"/>
      <c r="K121" s="70"/>
      <c r="L121" s="88"/>
      <c r="M121" s="72"/>
      <c r="N121" s="266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265"/>
      <c r="K122" s="70"/>
      <c r="L122" s="88"/>
      <c r="M122" s="147"/>
      <c r="N122" s="266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265"/>
      <c r="K123" s="70"/>
      <c r="L123" s="71"/>
      <c r="M123" s="72"/>
      <c r="N123" s="266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265"/>
      <c r="K124" s="70"/>
      <c r="L124" s="88"/>
      <c r="M124" s="72"/>
      <c r="N124" s="266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259"/>
      <c r="K125" s="85"/>
      <c r="L125" s="86"/>
      <c r="M125" s="72"/>
      <c r="N125" s="266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259"/>
      <c r="K126" s="85"/>
      <c r="L126" s="86"/>
      <c r="M126" s="72"/>
      <c r="N126" s="266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265"/>
      <c r="K127" s="87"/>
      <c r="L127" s="88"/>
      <c r="M127" s="72"/>
      <c r="N127" s="266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265"/>
      <c r="K128" s="70"/>
      <c r="L128" s="71"/>
      <c r="M128" s="147"/>
      <c r="N128" s="266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265"/>
      <c r="K129" s="70"/>
      <c r="L129" s="71"/>
      <c r="M129" s="147"/>
      <c r="N129" s="266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259"/>
      <c r="K130" s="85"/>
      <c r="L130" s="86"/>
      <c r="M130" s="72"/>
      <c r="N130" s="266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265"/>
      <c r="K131" s="87"/>
      <c r="L131" s="71"/>
      <c r="M131" s="72"/>
      <c r="N131" s="266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259"/>
      <c r="K132" s="85"/>
      <c r="L132" s="86"/>
      <c r="M132" s="72"/>
      <c r="N132" s="266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265"/>
      <c r="K133" s="70"/>
      <c r="L133" s="88"/>
      <c r="M133" s="72"/>
      <c r="N133" s="266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265"/>
      <c r="K134" s="70"/>
      <c r="L134" s="88"/>
      <c r="M134" s="72"/>
      <c r="N134" s="266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265"/>
      <c r="K135" s="85"/>
      <c r="L135" s="71"/>
      <c r="M135" s="72"/>
      <c r="N135" s="266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265"/>
      <c r="K136" s="70"/>
      <c r="L136" s="71"/>
      <c r="M136" s="72"/>
      <c r="N136" s="266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259"/>
      <c r="K137" s="85"/>
      <c r="L137" s="86"/>
      <c r="M137" s="72"/>
      <c r="N137" s="266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265"/>
      <c r="K138" s="70"/>
      <c r="L138" s="71"/>
      <c r="M138" s="72"/>
      <c r="N138" s="266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265"/>
      <c r="K139" s="70"/>
      <c r="L139" s="71"/>
      <c r="M139" s="147"/>
      <c r="N139" s="266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265"/>
      <c r="K140" s="70"/>
      <c r="L140" s="88"/>
      <c r="M140" s="72"/>
      <c r="N140" s="266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259"/>
      <c r="K141" s="85"/>
      <c r="L141" s="86"/>
      <c r="M141" s="147"/>
      <c r="N141" s="266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265"/>
      <c r="K142" s="85"/>
      <c r="L142" s="71"/>
      <c r="M142" s="72"/>
      <c r="N142" s="266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265"/>
      <c r="K143" s="85"/>
      <c r="L143" s="71"/>
      <c r="M143" s="147"/>
      <c r="N143" s="266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265"/>
      <c r="K144" s="85"/>
      <c r="L144" s="71"/>
      <c r="M144" s="72"/>
      <c r="N144" s="266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265"/>
      <c r="K145" s="87"/>
      <c r="L145" s="71"/>
      <c r="M145" s="72"/>
      <c r="N145" s="266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265"/>
      <c r="K146" s="87"/>
      <c r="L146" s="71"/>
      <c r="M146" s="147"/>
      <c r="N146" s="266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259"/>
      <c r="K147" s="85"/>
      <c r="L147" s="86"/>
      <c r="M147" s="72"/>
      <c r="N147" s="266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259"/>
      <c r="K148" s="85"/>
      <c r="L148" s="86"/>
      <c r="M148" s="72"/>
      <c r="N148" s="266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259"/>
      <c r="K149" s="85"/>
      <c r="L149" s="86"/>
      <c r="M149" s="147"/>
      <c r="N149" s="266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259"/>
      <c r="K150" s="85"/>
      <c r="L150" s="86"/>
      <c r="M150" s="72"/>
      <c r="N150" s="266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265"/>
      <c r="K151" s="70"/>
      <c r="L151" s="88"/>
      <c r="M151" s="147"/>
      <c r="N151" s="266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265"/>
      <c r="K152" s="87"/>
      <c r="L152" s="71"/>
      <c r="M152" s="72"/>
      <c r="N152" s="266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265"/>
      <c r="K153" s="85"/>
      <c r="L153" s="71"/>
      <c r="M153" s="72"/>
      <c r="N153" s="266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259"/>
      <c r="K154" s="85"/>
      <c r="L154" s="86"/>
      <c r="M154" s="147"/>
      <c r="N154" s="260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265"/>
      <c r="K155" s="85"/>
      <c r="L155" s="71"/>
      <c r="M155" s="72"/>
      <c r="N155" s="266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259"/>
      <c r="K156" s="85"/>
      <c r="L156" s="86"/>
      <c r="M156" s="147"/>
      <c r="N156" s="266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265"/>
      <c r="K157" s="87"/>
      <c r="L157" s="71"/>
      <c r="M157" s="72"/>
      <c r="N157" s="266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265"/>
      <c r="K158" s="87"/>
      <c r="L158" s="71"/>
      <c r="M158" s="72"/>
      <c r="N158" s="266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265"/>
      <c r="K159" s="85"/>
      <c r="L159" s="71"/>
      <c r="M159" s="147"/>
      <c r="N159" s="266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259"/>
      <c r="K160" s="93"/>
      <c r="L160" s="155"/>
      <c r="M160" s="72"/>
      <c r="N160" s="266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259"/>
      <c r="K161" s="93"/>
      <c r="L161" s="155"/>
      <c r="M161" s="72"/>
      <c r="N161" s="266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265"/>
      <c r="K162" s="87"/>
      <c r="L162" s="71"/>
      <c r="M162" s="147"/>
      <c r="N162" s="266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265"/>
      <c r="K163" s="87"/>
      <c r="L163" s="71"/>
      <c r="M163" s="72"/>
      <c r="N163" s="266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265"/>
      <c r="K164" s="87"/>
      <c r="L164" s="71"/>
      <c r="M164" s="72"/>
      <c r="N164" s="266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265"/>
      <c r="K165" s="87"/>
      <c r="L165" s="71"/>
      <c r="M165" s="147"/>
      <c r="N165" s="266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265"/>
      <c r="K166" s="87"/>
      <c r="L166" s="71"/>
      <c r="M166" s="147"/>
      <c r="N166" s="266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259"/>
      <c r="K167" s="85"/>
      <c r="L167" s="86"/>
      <c r="M167" s="72"/>
      <c r="N167" s="266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259"/>
      <c r="K168" s="85"/>
      <c r="L168" s="86"/>
      <c r="M168" s="72"/>
      <c r="N168" s="266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259"/>
      <c r="K169" s="85"/>
      <c r="L169" s="86"/>
      <c r="M169" s="72"/>
      <c r="N169" s="266"/>
      <c r="O169" s="74"/>
      <c r="P169" s="94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259"/>
      <c r="K170" s="85"/>
      <c r="L170" s="86"/>
      <c r="M170" s="72"/>
      <c r="N170" s="266"/>
      <c r="O170" s="74"/>
      <c r="P170" s="94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259"/>
      <c r="K171" s="85"/>
      <c r="L171" s="86"/>
      <c r="M171" s="72"/>
      <c r="N171" s="266"/>
      <c r="O171" s="74"/>
      <c r="P171" s="94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265"/>
      <c r="K172" s="87"/>
      <c r="L172" s="71"/>
      <c r="M172" s="72"/>
      <c r="N172" s="266"/>
      <c r="O172" s="74"/>
      <c r="P172" s="94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68"/>
      <c r="J173" s="265"/>
      <c r="K173" s="87"/>
      <c r="L173" s="71"/>
      <c r="M173" s="72"/>
      <c r="N173" s="266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68"/>
      <c r="J174" s="265"/>
      <c r="K174" s="87"/>
      <c r="L174" s="71"/>
      <c r="M174" s="72"/>
      <c r="N174" s="266"/>
      <c r="O174" s="74"/>
      <c r="P174" s="94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84"/>
      <c r="J175" s="259"/>
      <c r="K175" s="85"/>
      <c r="L175" s="86"/>
      <c r="M175" s="72"/>
      <c r="N175" s="266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259"/>
      <c r="K176" s="85"/>
      <c r="L176" s="86"/>
      <c r="M176" s="72"/>
      <c r="N176" s="266"/>
      <c r="O176" s="74"/>
      <c r="P176" s="94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259"/>
      <c r="K177" s="85"/>
      <c r="L177" s="86"/>
      <c r="M177" s="72"/>
      <c r="N177" s="266"/>
      <c r="O177" s="74"/>
      <c r="P177" s="94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265"/>
      <c r="K178" s="87"/>
      <c r="L178" s="71"/>
      <c r="M178" s="72"/>
      <c r="N178" s="266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265"/>
      <c r="K179" s="87"/>
      <c r="L179" s="71"/>
      <c r="M179" s="72"/>
      <c r="N179" s="266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259"/>
      <c r="K180" s="85"/>
      <c r="L180" s="86"/>
      <c r="M180" s="72"/>
      <c r="N180" s="266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259"/>
      <c r="K181" s="85"/>
      <c r="L181" s="86"/>
      <c r="M181" s="72"/>
      <c r="N181" s="266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259"/>
      <c r="K182" s="85"/>
      <c r="L182" s="86"/>
      <c r="M182" s="72"/>
      <c r="N182" s="266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265"/>
      <c r="K183" s="87"/>
      <c r="L183" s="71"/>
      <c r="M183" s="127"/>
      <c r="N183" s="260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265"/>
      <c r="K184" s="87"/>
      <c r="L184" s="71"/>
      <c r="M184" s="127"/>
      <c r="N184" s="260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265"/>
      <c r="K185" s="87"/>
      <c r="L185" s="71"/>
      <c r="M185" s="72"/>
      <c r="N185" s="266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259"/>
      <c r="K186" s="85"/>
      <c r="L186" s="86"/>
      <c r="M186" s="72"/>
      <c r="N186" s="266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259"/>
      <c r="K187" s="85"/>
      <c r="L187" s="86"/>
      <c r="M187" s="72"/>
      <c r="N187" s="266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259"/>
      <c r="K188" s="85"/>
      <c r="L188" s="86"/>
      <c r="M188" s="72"/>
      <c r="N188" s="266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259"/>
      <c r="K189" s="85"/>
      <c r="L189" s="86"/>
      <c r="M189" s="72"/>
      <c r="N189" s="266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259"/>
      <c r="K190" s="85"/>
      <c r="L190" s="86"/>
      <c r="M190" s="72"/>
      <c r="N190" s="266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265"/>
      <c r="K191" s="87"/>
      <c r="L191" s="71"/>
      <c r="M191" s="127"/>
      <c r="N191" s="260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259"/>
      <c r="K192" s="85"/>
      <c r="L192" s="86"/>
      <c r="M192" s="127"/>
      <c r="N192" s="260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259"/>
      <c r="K193" s="85"/>
      <c r="L193" s="86"/>
      <c r="M193" s="127"/>
      <c r="N193" s="260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259"/>
      <c r="K194" s="85"/>
      <c r="L194" s="86"/>
      <c r="M194" s="127"/>
      <c r="N194" s="260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259"/>
      <c r="K195" s="85"/>
      <c r="L195" s="86"/>
      <c r="M195" s="127"/>
      <c r="N195" s="260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259"/>
      <c r="K196" s="85"/>
      <c r="L196" s="86"/>
      <c r="M196" s="127"/>
      <c r="N196" s="260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259"/>
      <c r="K197" s="85"/>
      <c r="L197" s="86"/>
      <c r="M197" s="127"/>
      <c r="N197" s="260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259"/>
      <c r="K198" s="85"/>
      <c r="L198" s="86"/>
      <c r="M198" s="127"/>
      <c r="N198" s="260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259"/>
      <c r="K199" s="85"/>
      <c r="L199" s="86"/>
      <c r="M199" s="127"/>
      <c r="N199" s="260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259"/>
      <c r="K200" s="85"/>
      <c r="L200" s="86"/>
      <c r="M200" s="127"/>
      <c r="N200" s="260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259"/>
      <c r="K201" s="85"/>
      <c r="L201" s="86"/>
      <c r="M201" s="127"/>
      <c r="N201" s="260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259"/>
      <c r="K202" s="85"/>
      <c r="L202" s="86"/>
      <c r="M202" s="127"/>
      <c r="N202" s="260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259"/>
      <c r="K203" s="85"/>
      <c r="L203" s="86"/>
      <c r="M203" s="127"/>
      <c r="N203" s="260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259"/>
      <c r="K204" s="85"/>
      <c r="L204" s="86"/>
      <c r="M204" s="127"/>
      <c r="N204" s="260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259"/>
      <c r="K205" s="85"/>
      <c r="L205" s="86"/>
      <c r="M205" s="127"/>
      <c r="N205" s="260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259"/>
      <c r="K206" s="85"/>
      <c r="L206" s="86"/>
      <c r="M206" s="127"/>
      <c r="N206" s="260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259"/>
      <c r="K207" s="85"/>
      <c r="L207" s="86"/>
      <c r="M207" s="127"/>
      <c r="N207" s="260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259"/>
      <c r="K208" s="85"/>
      <c r="L208" s="86"/>
      <c r="M208" s="127"/>
      <c r="N208" s="260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259"/>
      <c r="K209" s="85"/>
      <c r="L209" s="86"/>
      <c r="M209" s="127"/>
      <c r="N209" s="260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259"/>
      <c r="K210" s="85"/>
      <c r="L210" s="86"/>
      <c r="M210" s="127"/>
      <c r="N210" s="260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259"/>
      <c r="K211" s="85"/>
      <c r="L211" s="86"/>
      <c r="M211" s="127"/>
      <c r="N211" s="260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259"/>
      <c r="K212" s="85"/>
      <c r="L212" s="86"/>
      <c r="M212" s="127"/>
      <c r="N212" s="260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259"/>
      <c r="K213" s="85"/>
      <c r="L213" s="86"/>
      <c r="M213" s="127"/>
      <c r="N213" s="260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259"/>
      <c r="K214" s="85"/>
      <c r="L214" s="86"/>
      <c r="M214" s="127"/>
      <c r="N214" s="260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259"/>
      <c r="K215" s="85"/>
      <c r="L215" s="86"/>
      <c r="M215" s="127"/>
      <c r="N215" s="260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259"/>
      <c r="K216" s="85"/>
      <c r="L216" s="86"/>
      <c r="M216" s="127"/>
      <c r="N216" s="260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259"/>
      <c r="K217" s="85"/>
      <c r="L217" s="86"/>
      <c r="M217" s="127"/>
      <c r="N217" s="260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259"/>
      <c r="K218" s="85"/>
      <c r="L218" s="86"/>
      <c r="M218" s="127"/>
      <c r="N218" s="260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259"/>
      <c r="K219" s="85"/>
      <c r="L219" s="86"/>
      <c r="M219" s="127"/>
      <c r="N219" s="260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259"/>
      <c r="K220" s="85"/>
      <c r="L220" s="86"/>
      <c r="M220" s="127"/>
      <c r="N220" s="260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259"/>
      <c r="K221" s="85"/>
      <c r="L221" s="86"/>
      <c r="M221" s="127"/>
      <c r="N221" s="260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259"/>
      <c r="K222" s="85"/>
      <c r="L222" s="86"/>
      <c r="M222" s="127"/>
      <c r="N222" s="260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259"/>
      <c r="K223" s="85"/>
      <c r="L223" s="86"/>
      <c r="M223" s="127"/>
      <c r="N223" s="260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259"/>
      <c r="K224" s="85"/>
      <c r="L224" s="86"/>
      <c r="M224" s="127"/>
      <c r="N224" s="260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259"/>
      <c r="K225" s="85"/>
      <c r="L225" s="86"/>
      <c r="M225" s="127"/>
      <c r="N225" s="260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259"/>
      <c r="K226" s="85"/>
      <c r="L226" s="86"/>
      <c r="M226" s="127"/>
      <c r="N226" s="260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259"/>
      <c r="K227" s="85"/>
      <c r="L227" s="86"/>
      <c r="M227" s="127"/>
      <c r="N227" s="260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259"/>
      <c r="K228" s="85"/>
      <c r="L228" s="86"/>
      <c r="M228" s="127"/>
      <c r="N228" s="260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259"/>
      <c r="K229" s="85"/>
      <c r="L229" s="86"/>
      <c r="M229" s="127"/>
      <c r="N229" s="260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259"/>
      <c r="K230" s="85"/>
      <c r="L230" s="86"/>
      <c r="M230" s="127"/>
      <c r="N230" s="260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259"/>
      <c r="K231" s="85"/>
      <c r="L231" s="86"/>
      <c r="M231" s="127"/>
      <c r="N231" s="260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259"/>
      <c r="K232" s="85"/>
      <c r="L232" s="86"/>
      <c r="M232" s="127"/>
      <c r="N232" s="260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259"/>
      <c r="K233" s="85"/>
      <c r="L233" s="86"/>
      <c r="M233" s="127"/>
      <c r="N233" s="260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259"/>
      <c r="K234" s="85"/>
      <c r="L234" s="86"/>
      <c r="M234" s="127"/>
      <c r="N234" s="260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259"/>
      <c r="K235" s="85"/>
      <c r="L235" s="86"/>
      <c r="M235" s="127"/>
      <c r="N235" s="260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259"/>
      <c r="K236" s="85"/>
      <c r="L236" s="86"/>
      <c r="M236" s="127"/>
      <c r="N236" s="260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259"/>
      <c r="K237" s="85"/>
      <c r="L237" s="86"/>
      <c r="M237" s="127"/>
      <c r="N237" s="260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259"/>
      <c r="K238" s="85"/>
      <c r="L238" s="86"/>
      <c r="M238" s="127"/>
      <c r="N238" s="260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259"/>
      <c r="K239" s="85"/>
      <c r="L239" s="86"/>
      <c r="M239" s="127"/>
      <c r="N239" s="260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259"/>
      <c r="K240" s="85"/>
      <c r="L240" s="86"/>
      <c r="M240" s="127"/>
      <c r="N240" s="260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259"/>
      <c r="K241" s="85"/>
      <c r="L241" s="86"/>
      <c r="M241" s="127"/>
      <c r="N241" s="260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259"/>
      <c r="K242" s="85"/>
      <c r="L242" s="86"/>
      <c r="M242" s="127"/>
      <c r="N242" s="260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259"/>
      <c r="K243" s="85"/>
      <c r="L243" s="86"/>
      <c r="M243" s="127"/>
      <c r="N243" s="260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259"/>
      <c r="K244" s="85"/>
      <c r="L244" s="86"/>
      <c r="M244" s="127"/>
      <c r="N244" s="260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259"/>
      <c r="K245" s="85"/>
      <c r="L245" s="86"/>
      <c r="M245" s="127"/>
      <c r="N245" s="260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259"/>
      <c r="K246" s="85"/>
      <c r="L246" s="86"/>
      <c r="M246" s="127"/>
      <c r="N246" s="260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259"/>
      <c r="K247" s="85"/>
      <c r="L247" s="86"/>
      <c r="M247" s="127"/>
      <c r="N247" s="260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259"/>
      <c r="K248" s="85"/>
      <c r="L248" s="86"/>
      <c r="M248" s="127"/>
      <c r="N248" s="260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259"/>
      <c r="K249" s="85"/>
      <c r="L249" s="86"/>
      <c r="M249" s="127"/>
      <c r="N249" s="260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259"/>
      <c r="K250" s="85"/>
      <c r="L250" s="86"/>
      <c r="M250" s="127"/>
      <c r="N250" s="260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259"/>
      <c r="K251" s="85"/>
      <c r="L251" s="86"/>
      <c r="M251" s="127"/>
      <c r="N251" s="260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259"/>
      <c r="K252" s="85"/>
      <c r="L252" s="86"/>
      <c r="M252" s="127"/>
      <c r="N252" s="260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259"/>
      <c r="K253" s="85"/>
      <c r="L253" s="86"/>
      <c r="M253" s="127"/>
      <c r="N253" s="260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259"/>
      <c r="K254" s="85"/>
      <c r="L254" s="86"/>
      <c r="M254" s="127"/>
      <c r="N254" s="260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259"/>
      <c r="K255" s="85"/>
      <c r="L255" s="86"/>
      <c r="M255" s="127"/>
      <c r="N255" s="260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259"/>
      <c r="K256" s="85"/>
      <c r="L256" s="86"/>
      <c r="M256" s="127"/>
      <c r="N256" s="260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259"/>
      <c r="K257" s="85"/>
      <c r="L257" s="86"/>
      <c r="M257" s="127"/>
      <c r="N257" s="260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259"/>
      <c r="K258" s="85"/>
      <c r="L258" s="86"/>
      <c r="M258" s="127"/>
      <c r="N258" s="260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259"/>
      <c r="K259" s="85"/>
      <c r="L259" s="86"/>
      <c r="M259" s="127"/>
      <c r="N259" s="260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259"/>
      <c r="K260" s="85"/>
      <c r="L260" s="86"/>
      <c r="M260" s="127"/>
      <c r="N260" s="260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259"/>
      <c r="K261" s="85"/>
      <c r="L261" s="86"/>
      <c r="M261" s="127"/>
      <c r="N261" s="260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259"/>
      <c r="K262" s="85"/>
      <c r="L262" s="86"/>
      <c r="M262" s="127"/>
      <c r="N262" s="260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259"/>
      <c r="K263" s="85"/>
      <c r="L263" s="86"/>
      <c r="M263" s="127"/>
      <c r="N263" s="260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259"/>
      <c r="K264" s="85"/>
      <c r="L264" s="86"/>
      <c r="M264" s="127"/>
      <c r="N264" s="260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259"/>
      <c r="K265" s="85"/>
      <c r="L265" s="86"/>
      <c r="M265" s="127"/>
      <c r="N265" s="260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259"/>
      <c r="K266" s="85"/>
      <c r="L266" s="86"/>
      <c r="M266" s="127"/>
      <c r="N266" s="260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259"/>
      <c r="K267" s="85"/>
      <c r="L267" s="86"/>
      <c r="M267" s="127"/>
      <c r="N267" s="260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259"/>
      <c r="K268" s="85"/>
      <c r="L268" s="86"/>
      <c r="M268" s="127"/>
      <c r="N268" s="260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259"/>
      <c r="K269" s="85"/>
      <c r="L269" s="86"/>
      <c r="M269" s="127"/>
      <c r="N269" s="260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259"/>
      <c r="K270" s="85"/>
      <c r="L270" s="86"/>
      <c r="M270" s="127"/>
      <c r="N270" s="260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259"/>
      <c r="K271" s="85"/>
      <c r="L271" s="86"/>
      <c r="M271" s="127"/>
      <c r="N271" s="260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259"/>
      <c r="K272" s="85"/>
      <c r="L272" s="86"/>
      <c r="M272" s="127"/>
      <c r="N272" s="260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259"/>
      <c r="K273" s="85"/>
      <c r="L273" s="86"/>
      <c r="M273" s="127"/>
      <c r="N273" s="260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259"/>
      <c r="K274" s="85"/>
      <c r="L274" s="86"/>
      <c r="M274" s="127"/>
      <c r="N274" s="260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259"/>
      <c r="K275" s="85"/>
      <c r="L275" s="86"/>
      <c r="M275" s="127"/>
      <c r="N275" s="260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259"/>
      <c r="K276" s="85"/>
      <c r="L276" s="86"/>
      <c r="M276" s="127"/>
      <c r="N276" s="260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259"/>
      <c r="K277" s="85"/>
      <c r="L277" s="86"/>
      <c r="M277" s="127"/>
      <c r="N277" s="260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259"/>
      <c r="K278" s="85"/>
      <c r="L278" s="86"/>
      <c r="M278" s="127"/>
      <c r="N278" s="260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259"/>
      <c r="K279" s="85"/>
      <c r="L279" s="86"/>
      <c r="M279" s="127"/>
      <c r="N279" s="260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259"/>
      <c r="K280" s="85"/>
      <c r="L280" s="86"/>
      <c r="M280" s="127"/>
      <c r="N280" s="260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259"/>
      <c r="K281" s="85"/>
      <c r="L281" s="86"/>
      <c r="M281" s="127"/>
      <c r="N281" s="260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259"/>
      <c r="K282" s="85"/>
      <c r="L282" s="86"/>
      <c r="M282" s="127"/>
      <c r="N282" s="260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259"/>
      <c r="K283" s="85"/>
      <c r="L283" s="86"/>
      <c r="M283" s="127"/>
      <c r="N283" s="260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259"/>
      <c r="K284" s="85"/>
      <c r="L284" s="86"/>
      <c r="M284" s="127"/>
      <c r="N284" s="260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259"/>
      <c r="K285" s="85"/>
      <c r="L285" s="86"/>
      <c r="M285" s="127"/>
      <c r="N285" s="260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259"/>
      <c r="K286" s="85"/>
      <c r="L286" s="86"/>
      <c r="M286" s="127"/>
      <c r="N286" s="260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259"/>
      <c r="K287" s="85"/>
      <c r="L287" s="86"/>
      <c r="M287" s="127"/>
      <c r="N287" s="260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259"/>
      <c r="K288" s="85"/>
      <c r="L288" s="86"/>
      <c r="M288" s="127"/>
      <c r="N288" s="260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259"/>
      <c r="K289" s="85"/>
      <c r="L289" s="86"/>
      <c r="M289" s="127"/>
      <c r="N289" s="260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259"/>
      <c r="K290" s="85"/>
      <c r="L290" s="86"/>
      <c r="M290" s="127"/>
      <c r="N290" s="260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259"/>
      <c r="K291" s="85"/>
      <c r="L291" s="86"/>
      <c r="M291" s="127"/>
      <c r="N291" s="260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259"/>
      <c r="K292" s="85"/>
      <c r="L292" s="86"/>
      <c r="M292" s="127"/>
      <c r="N292" s="260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259"/>
      <c r="K293" s="85"/>
      <c r="L293" s="86"/>
      <c r="M293" s="127"/>
      <c r="N293" s="260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259"/>
      <c r="K294" s="85"/>
      <c r="L294" s="86"/>
      <c r="M294" s="127"/>
      <c r="N294" s="260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259"/>
      <c r="K295" s="85"/>
      <c r="L295" s="86"/>
      <c r="M295" s="127"/>
      <c r="N295" s="260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259"/>
      <c r="K296" s="85"/>
      <c r="L296" s="86"/>
      <c r="M296" s="127"/>
      <c r="N296" s="260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259"/>
      <c r="K297" s="85"/>
      <c r="L297" s="86"/>
      <c r="M297" s="127"/>
      <c r="N297" s="260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259"/>
      <c r="K298" s="85"/>
      <c r="L298" s="86"/>
      <c r="M298" s="127"/>
      <c r="N298" s="260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259"/>
      <c r="K299" s="85"/>
      <c r="L299" s="86"/>
      <c r="M299" s="127"/>
      <c r="N299" s="260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259"/>
      <c r="K300" s="85"/>
      <c r="L300" s="86"/>
      <c r="M300" s="127"/>
      <c r="N300" s="260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259"/>
      <c r="K301" s="85"/>
      <c r="L301" s="86"/>
      <c r="M301" s="127"/>
      <c r="N301" s="260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259"/>
      <c r="K302" s="85"/>
      <c r="L302" s="86"/>
      <c r="M302" s="127"/>
      <c r="N302" s="260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259"/>
      <c r="K303" s="85"/>
      <c r="L303" s="86"/>
      <c r="M303" s="127"/>
      <c r="N303" s="260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259"/>
      <c r="K304" s="85"/>
      <c r="L304" s="86"/>
      <c r="M304" s="127"/>
      <c r="N304" s="260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259"/>
      <c r="K305" s="85"/>
      <c r="L305" s="86"/>
      <c r="M305" s="127"/>
      <c r="N305" s="260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259"/>
      <c r="K306" s="85"/>
      <c r="L306" s="86"/>
      <c r="M306" s="127"/>
      <c r="N306" s="260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259"/>
      <c r="K307" s="85"/>
      <c r="L307" s="86"/>
      <c r="M307" s="127"/>
      <c r="N307" s="260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259"/>
      <c r="K308" s="85"/>
      <c r="L308" s="86"/>
      <c r="M308" s="127"/>
      <c r="N308" s="260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259"/>
      <c r="K309" s="85"/>
      <c r="L309" s="86"/>
      <c r="M309" s="127"/>
      <c r="N309" s="260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259"/>
      <c r="K310" s="85"/>
      <c r="L310" s="86"/>
      <c r="M310" s="127"/>
      <c r="N310" s="260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259"/>
      <c r="K311" s="85"/>
      <c r="L311" s="86"/>
      <c r="M311" s="127"/>
      <c r="N311" s="260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259"/>
      <c r="K312" s="85"/>
      <c r="L312" s="86"/>
      <c r="M312" s="127"/>
      <c r="N312" s="260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259"/>
      <c r="K313" s="85"/>
      <c r="L313" s="86"/>
      <c r="M313" s="127"/>
      <c r="N313" s="260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259"/>
      <c r="K314" s="85"/>
      <c r="L314" s="86"/>
      <c r="M314" s="127"/>
      <c r="N314" s="260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259"/>
      <c r="K315" s="85"/>
      <c r="L315" s="86"/>
      <c r="M315" s="127"/>
      <c r="N315" s="260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259"/>
      <c r="K316" s="85"/>
      <c r="L316" s="86"/>
      <c r="M316" s="127"/>
      <c r="N316" s="260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259"/>
      <c r="K317" s="85"/>
      <c r="L317" s="86"/>
      <c r="M317" s="127"/>
      <c r="N317" s="260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259"/>
      <c r="K318" s="85"/>
      <c r="L318" s="86"/>
      <c r="M318" s="127"/>
      <c r="N318" s="260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259"/>
      <c r="K319" s="85"/>
      <c r="L319" s="86"/>
      <c r="M319" s="127"/>
      <c r="N319" s="260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259"/>
      <c r="K320" s="85"/>
      <c r="L320" s="86"/>
      <c r="M320" s="127"/>
      <c r="N320" s="260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259"/>
      <c r="K321" s="85"/>
      <c r="L321" s="86"/>
      <c r="M321" s="127"/>
      <c r="N321" s="260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259"/>
      <c r="K322" s="85"/>
      <c r="L322" s="86"/>
      <c r="M322" s="127"/>
      <c r="N322" s="260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259"/>
      <c r="K323" s="85"/>
      <c r="L323" s="86"/>
      <c r="M323" s="127"/>
      <c r="N323" s="260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259"/>
      <c r="K324" s="85"/>
      <c r="L324" s="86"/>
      <c r="M324" s="127"/>
      <c r="N324" s="260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259"/>
      <c r="K325" s="85"/>
      <c r="L325" s="86"/>
      <c r="M325" s="127"/>
      <c r="N325" s="260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259"/>
      <c r="K326" s="85"/>
      <c r="L326" s="86"/>
      <c r="M326" s="127"/>
      <c r="N326" s="260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259"/>
      <c r="K327" s="85"/>
      <c r="L327" s="86"/>
      <c r="M327" s="127"/>
      <c r="N327" s="260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259"/>
      <c r="K328" s="85"/>
      <c r="L328" s="86"/>
      <c r="M328" s="127"/>
      <c r="N328" s="260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259"/>
      <c r="K329" s="85"/>
      <c r="L329" s="86"/>
      <c r="M329" s="127"/>
      <c r="N329" s="260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259"/>
      <c r="K330" s="85"/>
      <c r="L330" s="86"/>
      <c r="M330" s="127"/>
      <c r="N330" s="260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259"/>
      <c r="K331" s="85"/>
      <c r="L331" s="86"/>
      <c r="M331" s="127"/>
      <c r="N331" s="260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259"/>
      <c r="K332" s="85"/>
      <c r="L332" s="86"/>
      <c r="M332" s="127"/>
      <c r="N332" s="260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259"/>
      <c r="K333" s="85"/>
      <c r="L333" s="86"/>
      <c r="M333" s="127"/>
      <c r="N333" s="260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259"/>
      <c r="K334" s="85"/>
      <c r="L334" s="86"/>
      <c r="M334" s="127"/>
      <c r="N334" s="260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259"/>
      <c r="K335" s="85"/>
      <c r="L335" s="86"/>
      <c r="M335" s="127"/>
      <c r="N335" s="260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259"/>
      <c r="K336" s="85"/>
      <c r="L336" s="86"/>
      <c r="M336" s="127"/>
      <c r="N336" s="260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259"/>
      <c r="K337" s="85"/>
      <c r="L337" s="86"/>
      <c r="M337" s="127"/>
      <c r="N337" s="260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259"/>
      <c r="K338" s="85"/>
      <c r="L338" s="86"/>
      <c r="M338" s="127"/>
      <c r="N338" s="260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259"/>
      <c r="K339" s="85"/>
      <c r="L339" s="86"/>
      <c r="M339" s="127"/>
      <c r="N339" s="260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259"/>
      <c r="K340" s="85"/>
      <c r="L340" s="86"/>
      <c r="M340" s="127"/>
      <c r="N340" s="260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259"/>
      <c r="K341" s="85"/>
      <c r="L341" s="86"/>
      <c r="M341" s="127"/>
      <c r="N341" s="260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259"/>
      <c r="K342" s="85"/>
      <c r="L342" s="86"/>
      <c r="M342" s="127"/>
      <c r="N342" s="260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259"/>
      <c r="K343" s="85"/>
      <c r="L343" s="86"/>
      <c r="M343" s="127"/>
      <c r="N343" s="260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259"/>
      <c r="K344" s="85"/>
      <c r="L344" s="86"/>
      <c r="M344" s="127"/>
      <c r="N344" s="260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259"/>
      <c r="K345" s="85"/>
      <c r="L345" s="86"/>
      <c r="M345" s="127"/>
      <c r="N345" s="260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259"/>
      <c r="K346" s="85"/>
      <c r="L346" s="86"/>
      <c r="M346" s="127"/>
      <c r="N346" s="260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259"/>
      <c r="K347" s="85"/>
      <c r="L347" s="86"/>
      <c r="M347" s="127"/>
      <c r="N347" s="260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259"/>
      <c r="K348" s="85"/>
      <c r="L348" s="86"/>
      <c r="M348" s="127"/>
      <c r="N348" s="260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259"/>
      <c r="K349" s="85"/>
      <c r="L349" s="86"/>
      <c r="M349" s="127"/>
      <c r="N349" s="260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259"/>
      <c r="K350" s="85"/>
      <c r="L350" s="86"/>
      <c r="M350" s="127"/>
      <c r="N350" s="260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259"/>
      <c r="K351" s="85"/>
      <c r="L351" s="86"/>
      <c r="M351" s="127"/>
      <c r="N351" s="260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259"/>
      <c r="K352" s="85"/>
      <c r="L352" s="86"/>
      <c r="M352" s="127"/>
      <c r="N352" s="260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259"/>
      <c r="K353" s="85"/>
      <c r="L353" s="86"/>
      <c r="M353" s="127"/>
      <c r="N353" s="260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259"/>
      <c r="K354" s="85"/>
      <c r="L354" s="86"/>
      <c r="M354" s="127"/>
      <c r="N354" s="260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259"/>
      <c r="K355" s="85"/>
      <c r="L355" s="86"/>
      <c r="M355" s="127"/>
      <c r="N355" s="260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259"/>
      <c r="K356" s="85"/>
      <c r="L356" s="86"/>
      <c r="M356" s="127"/>
      <c r="N356" s="260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259"/>
      <c r="K357" s="85"/>
      <c r="L357" s="86"/>
      <c r="M357" s="127"/>
      <c r="N357" s="260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259"/>
      <c r="K358" s="85"/>
      <c r="L358" s="86"/>
      <c r="M358" s="127"/>
      <c r="N358" s="260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259"/>
      <c r="K359" s="85"/>
      <c r="L359" s="86"/>
      <c r="M359" s="127"/>
      <c r="N359" s="260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259"/>
      <c r="K360" s="85"/>
      <c r="L360" s="86"/>
      <c r="M360" s="127"/>
      <c r="N360" s="260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259"/>
      <c r="K361" s="85"/>
      <c r="L361" s="86"/>
      <c r="M361" s="127"/>
      <c r="N361" s="260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259"/>
      <c r="K362" s="85"/>
      <c r="L362" s="86"/>
      <c r="M362" s="127"/>
      <c r="N362" s="260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259"/>
      <c r="K363" s="85"/>
      <c r="L363" s="86"/>
      <c r="M363" s="127"/>
      <c r="N363" s="260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259"/>
      <c r="K364" s="85"/>
      <c r="L364" s="86"/>
      <c r="M364" s="127"/>
      <c r="N364" s="260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259"/>
      <c r="K365" s="85"/>
      <c r="L365" s="86"/>
      <c r="M365" s="127"/>
      <c r="N365" s="260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259"/>
      <c r="K366" s="85"/>
      <c r="L366" s="86"/>
      <c r="M366" s="127"/>
      <c r="N366" s="260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259"/>
      <c r="K367" s="85"/>
      <c r="L367" s="86"/>
      <c r="M367" s="127"/>
      <c r="N367" s="260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259"/>
      <c r="K368" s="85"/>
      <c r="L368" s="86"/>
      <c r="M368" s="127"/>
      <c r="N368" s="260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259"/>
      <c r="K369" s="85"/>
      <c r="L369" s="86"/>
      <c r="M369" s="127"/>
      <c r="N369" s="260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259"/>
      <c r="K370" s="85"/>
      <c r="L370" s="86"/>
      <c r="M370" s="127"/>
      <c r="N370" s="260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259"/>
      <c r="K371" s="85"/>
      <c r="L371" s="86"/>
      <c r="M371" s="127"/>
      <c r="N371" s="260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259"/>
      <c r="K372" s="85"/>
      <c r="L372" s="86"/>
      <c r="M372" s="127"/>
      <c r="N372" s="260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259"/>
      <c r="K373" s="85"/>
      <c r="L373" s="86"/>
      <c r="M373" s="127"/>
      <c r="N373" s="260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259"/>
      <c r="K374" s="85"/>
      <c r="L374" s="86"/>
      <c r="M374" s="127"/>
      <c r="N374" s="260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259"/>
      <c r="K375" s="85"/>
      <c r="L375" s="86"/>
      <c r="M375" s="127"/>
      <c r="N375" s="260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259"/>
      <c r="K376" s="85"/>
      <c r="L376" s="86"/>
      <c r="M376" s="127"/>
      <c r="N376" s="260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259"/>
      <c r="K377" s="85"/>
      <c r="L377" s="86"/>
      <c r="M377" s="127"/>
      <c r="N377" s="260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259"/>
      <c r="K378" s="85"/>
      <c r="L378" s="86"/>
      <c r="M378" s="127"/>
      <c r="N378" s="260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259"/>
      <c r="K379" s="85"/>
      <c r="L379" s="86"/>
      <c r="M379" s="127"/>
      <c r="N379" s="260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259"/>
      <c r="K380" s="85"/>
      <c r="L380" s="86"/>
      <c r="M380" s="127"/>
      <c r="N380" s="260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259"/>
      <c r="K381" s="85"/>
      <c r="L381" s="86"/>
      <c r="M381" s="127"/>
      <c r="N381" s="260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259"/>
      <c r="K382" s="85"/>
      <c r="L382" s="86"/>
      <c r="M382" s="127"/>
      <c r="N382" s="260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259"/>
      <c r="K383" s="85"/>
      <c r="L383" s="86"/>
      <c r="M383" s="127"/>
      <c r="N383" s="260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259"/>
      <c r="K384" s="85"/>
      <c r="L384" s="86"/>
      <c r="M384" s="127"/>
      <c r="N384" s="260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259"/>
      <c r="K385" s="85"/>
      <c r="L385" s="86"/>
      <c r="M385" s="127"/>
      <c r="N385" s="260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259"/>
      <c r="K386" s="85"/>
      <c r="L386" s="86"/>
      <c r="M386" s="127"/>
      <c r="N386" s="260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259"/>
      <c r="K387" s="85"/>
      <c r="L387" s="86"/>
      <c r="M387" s="127"/>
      <c r="N387" s="260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259"/>
      <c r="K388" s="85"/>
      <c r="L388" s="86"/>
      <c r="M388" s="127"/>
      <c r="N388" s="260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259"/>
      <c r="K389" s="85"/>
      <c r="L389" s="86"/>
      <c r="M389" s="127"/>
      <c r="N389" s="260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259"/>
      <c r="K390" s="85"/>
      <c r="L390" s="86"/>
      <c r="M390" s="127"/>
      <c r="N390" s="260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259"/>
      <c r="K391" s="85"/>
      <c r="L391" s="86"/>
      <c r="M391" s="127"/>
      <c r="N391" s="260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259"/>
      <c r="K392" s="85"/>
      <c r="L392" s="86"/>
      <c r="M392" s="127"/>
      <c r="N392" s="260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259"/>
      <c r="K393" s="85"/>
      <c r="L393" s="86"/>
      <c r="M393" s="127"/>
      <c r="N393" s="260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259"/>
      <c r="K394" s="85"/>
      <c r="L394" s="86"/>
      <c r="M394" s="127"/>
      <c r="N394" s="260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259"/>
      <c r="K395" s="85"/>
      <c r="L395" s="86"/>
      <c r="M395" s="127"/>
      <c r="N395" s="260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259"/>
      <c r="K396" s="85"/>
      <c r="L396" s="86"/>
      <c r="M396" s="127"/>
      <c r="N396" s="260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259"/>
      <c r="K397" s="85"/>
      <c r="L397" s="86"/>
      <c r="M397" s="127"/>
      <c r="N397" s="260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259"/>
      <c r="K398" s="85"/>
      <c r="L398" s="86"/>
      <c r="M398" s="127"/>
      <c r="N398" s="260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259"/>
      <c r="K399" s="85"/>
      <c r="L399" s="86"/>
      <c r="M399" s="127"/>
      <c r="N399" s="260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259"/>
      <c r="K400" s="85"/>
      <c r="L400" s="86"/>
      <c r="M400" s="127"/>
      <c r="N400" s="260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259"/>
      <c r="K401" s="85"/>
      <c r="L401" s="86"/>
      <c r="M401" s="127"/>
      <c r="N401" s="260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259"/>
      <c r="K402" s="85"/>
      <c r="L402" s="86"/>
      <c r="M402" s="127"/>
      <c r="N402" s="260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259"/>
      <c r="K403" s="85"/>
      <c r="L403" s="86"/>
      <c r="M403" s="127"/>
      <c r="N403" s="260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259"/>
      <c r="K404" s="85"/>
      <c r="L404" s="86"/>
      <c r="M404" s="127"/>
      <c r="N404" s="260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259"/>
      <c r="K405" s="85"/>
      <c r="L405" s="86"/>
      <c r="M405" s="127"/>
      <c r="N405" s="260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259"/>
      <c r="K406" s="85"/>
      <c r="L406" s="86"/>
      <c r="M406" s="127"/>
      <c r="N406" s="260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259"/>
      <c r="K407" s="85"/>
      <c r="L407" s="86"/>
      <c r="M407" s="127"/>
      <c r="N407" s="260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259"/>
      <c r="K408" s="85"/>
      <c r="L408" s="86"/>
      <c r="M408" s="127"/>
      <c r="N408" s="260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259"/>
      <c r="K409" s="85"/>
      <c r="L409" s="86"/>
      <c r="M409" s="127"/>
      <c r="N409" s="260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259"/>
      <c r="K410" s="85"/>
      <c r="L410" s="86"/>
      <c r="M410" s="127"/>
      <c r="N410" s="260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259"/>
      <c r="K411" s="85"/>
      <c r="L411" s="86"/>
      <c r="M411" s="127"/>
      <c r="N411" s="260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259"/>
      <c r="K412" s="85"/>
      <c r="L412" s="86"/>
      <c r="M412" s="127"/>
      <c r="N412" s="260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259"/>
      <c r="K413" s="85"/>
      <c r="L413" s="86"/>
      <c r="M413" s="127"/>
      <c r="N413" s="260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259"/>
      <c r="K414" s="85"/>
      <c r="L414" s="86"/>
      <c r="M414" s="127"/>
      <c r="N414" s="260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259"/>
      <c r="K415" s="85"/>
      <c r="L415" s="86"/>
      <c r="M415" s="127"/>
      <c r="N415" s="260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259"/>
      <c r="K416" s="85"/>
      <c r="L416" s="86"/>
      <c r="M416" s="127"/>
      <c r="N416" s="260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259"/>
      <c r="K417" s="85"/>
      <c r="L417" s="86"/>
      <c r="M417" s="127"/>
      <c r="N417" s="260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259"/>
      <c r="K418" s="133"/>
      <c r="L418" s="134"/>
      <c r="M418" s="135"/>
      <c r="N418" s="260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259"/>
      <c r="K419" s="133"/>
      <c r="L419" s="85"/>
      <c r="M419" s="135"/>
      <c r="N419" s="260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259"/>
      <c r="K420" s="133"/>
      <c r="L420" s="85"/>
      <c r="M420" s="135"/>
      <c r="N420" s="260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259"/>
      <c r="K421" s="133"/>
      <c r="L421" s="85"/>
      <c r="M421" s="135"/>
      <c r="N421" s="260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259"/>
      <c r="K422" s="133"/>
      <c r="L422" s="85"/>
      <c r="M422" s="135"/>
      <c r="N422" s="260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259"/>
      <c r="K423" s="133"/>
      <c r="L423" s="85"/>
      <c r="M423" s="135"/>
      <c r="N423" s="260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259"/>
      <c r="K424" s="133"/>
      <c r="L424" s="85"/>
      <c r="M424" s="135"/>
      <c r="N424" s="260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259"/>
      <c r="K425" s="133"/>
      <c r="L425" s="85"/>
      <c r="M425" s="135"/>
      <c r="N425" s="260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259"/>
      <c r="K426" s="133"/>
      <c r="L426" s="85"/>
      <c r="M426" s="135"/>
      <c r="N426" s="260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259"/>
      <c r="K427" s="133"/>
      <c r="L427" s="85"/>
      <c r="M427" s="135"/>
      <c r="N427" s="260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259"/>
      <c r="K428" s="133"/>
      <c r="L428" s="85"/>
      <c r="M428" s="135"/>
      <c r="N428" s="260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259"/>
      <c r="K429" s="133"/>
      <c r="L429" s="85"/>
      <c r="M429" s="135"/>
      <c r="N429" s="260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259"/>
      <c r="K430" s="133"/>
      <c r="L430" s="85"/>
      <c r="M430" s="135"/>
      <c r="N430" s="260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259"/>
      <c r="K431" s="133"/>
      <c r="L431" s="85"/>
      <c r="M431" s="135"/>
      <c r="N431" s="260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259"/>
      <c r="K432" s="133"/>
      <c r="L432" s="85"/>
      <c r="M432" s="135"/>
      <c r="N432" s="260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259"/>
      <c r="K433" s="133"/>
      <c r="L433" s="85"/>
      <c r="M433" s="135"/>
      <c r="N433" s="260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259"/>
      <c r="K434" s="133"/>
      <c r="L434" s="85"/>
      <c r="M434" s="135"/>
      <c r="N434" s="260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259"/>
      <c r="K435" s="133"/>
      <c r="L435" s="85"/>
      <c r="M435" s="135"/>
      <c r="N435" s="260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259"/>
      <c r="K436" s="133"/>
      <c r="L436" s="85"/>
      <c r="M436" s="135"/>
      <c r="N436" s="260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259"/>
      <c r="K437" s="133"/>
      <c r="L437" s="85"/>
      <c r="M437" s="135"/>
      <c r="N437" s="260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259"/>
      <c r="K438" s="133"/>
      <c r="L438" s="85"/>
      <c r="M438" s="135"/>
      <c r="N438" s="260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259"/>
      <c r="K439" s="133"/>
      <c r="L439" s="85"/>
      <c r="M439" s="135"/>
      <c r="N439" s="260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259"/>
      <c r="K440" s="133"/>
      <c r="L440" s="85"/>
      <c r="M440" s="135"/>
      <c r="N440" s="260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259"/>
      <c r="K441" s="133"/>
      <c r="L441" s="85"/>
      <c r="M441" s="135"/>
      <c r="N441" s="260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259"/>
      <c r="K442" s="133"/>
      <c r="L442" s="85"/>
      <c r="M442" s="135"/>
      <c r="N442" s="260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259"/>
      <c r="K443" s="133"/>
      <c r="L443" s="85"/>
      <c r="M443" s="135"/>
      <c r="N443" s="260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259"/>
      <c r="K444" s="133"/>
      <c r="L444" s="85"/>
      <c r="M444" s="135"/>
      <c r="N444" s="260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259"/>
      <c r="K445" s="133"/>
      <c r="L445" s="85"/>
      <c r="M445" s="135"/>
      <c r="N445" s="260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259"/>
      <c r="K446" s="133"/>
      <c r="L446" s="85"/>
      <c r="M446" s="135"/>
      <c r="N446" s="260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259"/>
      <c r="K447" s="133"/>
      <c r="L447" s="85"/>
      <c r="M447" s="135"/>
      <c r="N447" s="260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259"/>
      <c r="K448" s="133"/>
      <c r="L448" s="85"/>
      <c r="M448" s="135"/>
      <c r="N448" s="260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259"/>
      <c r="K449" s="133"/>
      <c r="L449" s="85"/>
      <c r="M449" s="135"/>
      <c r="N449" s="260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259"/>
      <c r="K450" s="133"/>
      <c r="L450" s="85"/>
      <c r="M450" s="135"/>
      <c r="N450" s="260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259"/>
      <c r="K451" s="133"/>
      <c r="L451" s="85"/>
      <c r="M451" s="135"/>
      <c r="N451" s="260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259"/>
      <c r="K452" s="133"/>
      <c r="L452" s="85"/>
      <c r="M452" s="135"/>
      <c r="N452" s="260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259"/>
      <c r="K453" s="133"/>
      <c r="L453" s="85"/>
      <c r="M453" s="135"/>
      <c r="N453" s="260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259"/>
      <c r="K454" s="133"/>
      <c r="L454" s="85"/>
      <c r="M454" s="135"/>
      <c r="N454" s="260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259"/>
      <c r="K455" s="133"/>
      <c r="L455" s="85"/>
      <c r="M455" s="135"/>
      <c r="N455" s="260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259"/>
      <c r="K456" s="133"/>
      <c r="L456" s="85"/>
      <c r="M456" s="135"/>
      <c r="N456" s="260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259"/>
      <c r="K457" s="133"/>
      <c r="L457" s="85"/>
      <c r="M457" s="135"/>
      <c r="N457" s="260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259"/>
      <c r="K458" s="133"/>
      <c r="L458" s="85"/>
      <c r="M458" s="135"/>
      <c r="N458" s="260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259"/>
      <c r="K459" s="133"/>
      <c r="L459" s="85"/>
      <c r="M459" s="135"/>
      <c r="N459" s="260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259"/>
      <c r="K460" s="133"/>
      <c r="L460" s="85"/>
      <c r="M460" s="135"/>
      <c r="N460" s="260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259"/>
      <c r="K461" s="133"/>
      <c r="L461" s="85"/>
      <c r="M461" s="135"/>
      <c r="N461" s="260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259"/>
      <c r="K462" s="133"/>
      <c r="L462" s="85"/>
      <c r="M462" s="135"/>
      <c r="N462" s="260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259"/>
      <c r="K463" s="133"/>
      <c r="L463" s="85"/>
      <c r="M463" s="135"/>
      <c r="N463" s="260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259"/>
      <c r="K464" s="133"/>
      <c r="L464" s="85"/>
      <c r="M464" s="135"/>
      <c r="N464" s="260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259"/>
      <c r="K465" s="133"/>
      <c r="L465" s="85"/>
      <c r="M465" s="135"/>
      <c r="N465" s="260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259"/>
      <c r="K466" s="133"/>
      <c r="L466" s="85"/>
      <c r="M466" s="135"/>
      <c r="N466" s="260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259"/>
      <c r="K467" s="133"/>
      <c r="L467" s="85"/>
      <c r="M467" s="135"/>
      <c r="N467" s="260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259"/>
      <c r="K468" s="133"/>
      <c r="L468" s="85"/>
      <c r="M468" s="135"/>
      <c r="N468" s="260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259"/>
      <c r="K469" s="133"/>
      <c r="L469" s="85"/>
      <c r="M469" s="135"/>
      <c r="N469" s="260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259"/>
      <c r="K470" s="133"/>
      <c r="L470" s="85"/>
      <c r="M470" s="135"/>
      <c r="N470" s="260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259"/>
      <c r="K471" s="133"/>
      <c r="L471" s="85"/>
      <c r="M471" s="135"/>
      <c r="N471" s="260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259"/>
      <c r="K472" s="133"/>
      <c r="L472" s="85"/>
      <c r="M472" s="135"/>
      <c r="N472" s="260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259"/>
      <c r="K473" s="133"/>
      <c r="L473" s="85"/>
      <c r="M473" s="135"/>
      <c r="N473" s="260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259"/>
      <c r="K474" s="133"/>
      <c r="L474" s="85"/>
      <c r="M474" s="135"/>
      <c r="N474" s="260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259"/>
      <c r="K475" s="133"/>
      <c r="L475" s="85"/>
      <c r="M475" s="135"/>
      <c r="N475" s="260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259"/>
      <c r="K476" s="133"/>
      <c r="L476" s="85"/>
      <c r="M476" s="135"/>
      <c r="N476" s="260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259"/>
      <c r="K477" s="133"/>
      <c r="L477" s="85"/>
      <c r="M477" s="135"/>
      <c r="N477" s="260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259"/>
      <c r="K478" s="133"/>
      <c r="L478" s="85"/>
      <c r="M478" s="135"/>
      <c r="N478" s="260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259"/>
      <c r="K479" s="133"/>
      <c r="L479" s="85"/>
      <c r="M479" s="135"/>
      <c r="N479" s="260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259"/>
      <c r="K480" s="133"/>
      <c r="L480" s="85"/>
      <c r="M480" s="135"/>
      <c r="N480" s="260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259"/>
      <c r="K481" s="133"/>
      <c r="L481" s="85"/>
      <c r="M481" s="135"/>
      <c r="N481" s="260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259"/>
      <c r="K482" s="133"/>
      <c r="L482" s="85"/>
      <c r="M482" s="135"/>
      <c r="N482" s="260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259"/>
      <c r="K483" s="133"/>
      <c r="L483" s="85"/>
      <c r="M483" s="135"/>
      <c r="N483" s="260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259"/>
      <c r="K484" s="133"/>
      <c r="L484" s="85"/>
      <c r="M484" s="135"/>
      <c r="N484" s="260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259"/>
      <c r="K485" s="133"/>
      <c r="L485" s="85"/>
      <c r="M485" s="135"/>
      <c r="N485" s="260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259"/>
      <c r="K486" s="133"/>
      <c r="L486" s="85"/>
      <c r="M486" s="135"/>
      <c r="N486" s="260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259"/>
      <c r="K487" s="133"/>
      <c r="L487" s="85"/>
      <c r="M487" s="135"/>
      <c r="N487" s="260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259"/>
      <c r="K488" s="133"/>
      <c r="L488" s="85"/>
      <c r="M488" s="135"/>
      <c r="N488" s="260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259"/>
      <c r="K489" s="133"/>
      <c r="L489" s="85"/>
      <c r="M489" s="135"/>
      <c r="N489" s="260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259"/>
      <c r="K490" s="133"/>
      <c r="L490" s="85"/>
      <c r="M490" s="135"/>
      <c r="N490" s="260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259"/>
      <c r="K491" s="133"/>
      <c r="L491" s="85"/>
      <c r="M491" s="135"/>
      <c r="N491" s="260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259"/>
      <c r="K492" s="133"/>
      <c r="L492" s="85"/>
      <c r="M492" s="135"/>
      <c r="N492" s="260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259"/>
      <c r="K493" s="133"/>
      <c r="L493" s="85"/>
      <c r="M493" s="135"/>
      <c r="N493" s="260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259"/>
      <c r="K494" s="133"/>
      <c r="L494" s="85"/>
      <c r="M494" s="135"/>
      <c r="N494" s="260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259"/>
      <c r="K495" s="133"/>
      <c r="L495" s="85"/>
      <c r="M495" s="135"/>
      <c r="N495" s="260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259"/>
      <c r="K496" s="133"/>
      <c r="L496" s="85"/>
      <c r="M496" s="135"/>
      <c r="N496" s="260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259"/>
      <c r="K497" s="133"/>
      <c r="L497" s="85"/>
      <c r="M497" s="135"/>
      <c r="N497" s="260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259"/>
      <c r="K498" s="133"/>
      <c r="L498" s="85"/>
      <c r="M498" s="135"/>
      <c r="N498" s="260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259"/>
      <c r="K499" s="133"/>
      <c r="L499" s="85"/>
      <c r="M499" s="135"/>
      <c r="N499" s="260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259"/>
      <c r="K500" s="133"/>
      <c r="L500" s="85"/>
      <c r="M500" s="135"/>
      <c r="N500" s="260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259"/>
      <c r="K501" s="133"/>
      <c r="L501" s="85"/>
      <c r="M501" s="135"/>
      <c r="N501" s="260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259"/>
      <c r="K502" s="133"/>
      <c r="L502" s="85"/>
      <c r="M502" s="135"/>
      <c r="N502" s="260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259"/>
      <c r="K503" s="133"/>
      <c r="L503" s="85"/>
      <c r="M503" s="135"/>
      <c r="N503" s="260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259"/>
      <c r="K504" s="133"/>
      <c r="L504" s="85"/>
      <c r="M504" s="135"/>
      <c r="N504" s="260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259"/>
      <c r="K505" s="133"/>
      <c r="L505" s="85"/>
      <c r="M505" s="135"/>
      <c r="N505" s="260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259"/>
      <c r="K506" s="133"/>
      <c r="L506" s="85"/>
      <c r="M506" s="135"/>
      <c r="N506" s="260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259"/>
      <c r="K507" s="133"/>
      <c r="L507" s="85"/>
      <c r="M507" s="135"/>
      <c r="N507" s="260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259"/>
      <c r="K508" s="133"/>
      <c r="L508" s="85"/>
      <c r="M508" s="135"/>
      <c r="N508" s="260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259"/>
      <c r="K509" s="133"/>
      <c r="L509" s="85"/>
      <c r="M509" s="135"/>
      <c r="N509" s="260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259"/>
      <c r="K510" s="133"/>
      <c r="L510" s="85"/>
      <c r="M510" s="135"/>
      <c r="N510" s="260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259"/>
      <c r="K511" s="133"/>
      <c r="L511" s="85"/>
      <c r="M511" s="135"/>
      <c r="N511" s="260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259"/>
      <c r="K512" s="133"/>
      <c r="L512" s="85"/>
      <c r="M512" s="135"/>
      <c r="N512" s="260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259"/>
      <c r="K513" s="133"/>
      <c r="L513" s="85"/>
      <c r="M513" s="135"/>
      <c r="N513" s="260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259"/>
      <c r="K514" s="133"/>
      <c r="L514" s="85"/>
      <c r="M514" s="135"/>
      <c r="N514" s="260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259"/>
      <c r="K515" s="133"/>
      <c r="L515" s="85"/>
      <c r="M515" s="135"/>
      <c r="N515" s="260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259"/>
      <c r="K516" s="133"/>
      <c r="L516" s="85"/>
      <c r="M516" s="135"/>
      <c r="N516" s="260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259"/>
      <c r="K517" s="133"/>
      <c r="L517" s="85"/>
      <c r="M517" s="135"/>
      <c r="N517" s="260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259"/>
      <c r="K518" s="133"/>
      <c r="L518" s="85"/>
      <c r="M518" s="135"/>
      <c r="N518" s="260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259"/>
      <c r="K519" s="133"/>
      <c r="L519" s="85"/>
      <c r="M519" s="135"/>
      <c r="N519" s="260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259"/>
      <c r="K520" s="133"/>
      <c r="L520" s="85"/>
      <c r="M520" s="135"/>
      <c r="N520" s="260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259"/>
      <c r="K521" s="133"/>
      <c r="L521" s="85"/>
      <c r="M521" s="135"/>
      <c r="N521" s="260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259"/>
      <c r="K522" s="133"/>
      <c r="L522" s="85"/>
      <c r="M522" s="135"/>
      <c r="N522" s="260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259"/>
      <c r="K523" s="133"/>
      <c r="L523" s="85"/>
      <c r="M523" s="135"/>
      <c r="N523" s="260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259"/>
      <c r="K524" s="133"/>
      <c r="L524" s="85"/>
      <c r="M524" s="135"/>
      <c r="N524" s="260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259"/>
      <c r="K525" s="133"/>
      <c r="L525" s="85"/>
      <c r="M525" s="135"/>
      <c r="N525" s="260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259"/>
      <c r="K526" s="133"/>
      <c r="L526" s="85"/>
      <c r="M526" s="135"/>
      <c r="N526" s="260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259"/>
      <c r="K527" s="133"/>
      <c r="L527" s="85"/>
      <c r="M527" s="135"/>
      <c r="N527" s="260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259"/>
      <c r="K528" s="133"/>
      <c r="L528" s="85"/>
      <c r="M528" s="135"/>
      <c r="N528" s="260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259"/>
      <c r="K529" s="133"/>
      <c r="L529" s="85"/>
      <c r="M529" s="135"/>
      <c r="N529" s="260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259"/>
      <c r="K530" s="133"/>
      <c r="L530" s="85"/>
      <c r="M530" s="135"/>
      <c r="N530" s="260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259"/>
      <c r="K531" s="133"/>
      <c r="L531" s="85"/>
      <c r="M531" s="135"/>
      <c r="N531" s="260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259"/>
      <c r="K532" s="133"/>
      <c r="L532" s="85"/>
      <c r="M532" s="135"/>
      <c r="N532" s="260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259"/>
      <c r="K533" s="133"/>
      <c r="L533" s="85"/>
      <c r="M533" s="135"/>
      <c r="N533" s="260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259"/>
      <c r="K534" s="133"/>
      <c r="L534" s="85"/>
      <c r="M534" s="135"/>
      <c r="N534" s="260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259"/>
      <c r="K535" s="133"/>
      <c r="L535" s="85"/>
      <c r="M535" s="135"/>
      <c r="N535" s="260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259"/>
      <c r="K536" s="133"/>
      <c r="L536" s="85"/>
      <c r="M536" s="135"/>
      <c r="N536" s="260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259"/>
      <c r="K537" s="133"/>
      <c r="L537" s="85"/>
      <c r="M537" s="135"/>
      <c r="N537" s="260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259"/>
      <c r="K538" s="133"/>
      <c r="L538" s="85"/>
      <c r="M538" s="135"/>
      <c r="N538" s="260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259"/>
      <c r="K539" s="133"/>
      <c r="L539" s="85"/>
      <c r="M539" s="135"/>
      <c r="N539" s="260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259"/>
      <c r="K540" s="133"/>
      <c r="L540" s="85"/>
      <c r="M540" s="135"/>
      <c r="N540" s="260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259"/>
      <c r="K541" s="133"/>
      <c r="L541" s="85"/>
      <c r="M541" s="135"/>
      <c r="N541" s="260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259"/>
      <c r="K542" s="133"/>
      <c r="L542" s="85"/>
      <c r="M542" s="135"/>
      <c r="N542" s="260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259"/>
      <c r="K543" s="133"/>
      <c r="L543" s="85"/>
      <c r="M543" s="135"/>
      <c r="N543" s="260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259"/>
      <c r="K544" s="133"/>
      <c r="L544" s="85"/>
      <c r="M544" s="135"/>
      <c r="N544" s="260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259"/>
      <c r="K545" s="133"/>
      <c r="L545" s="85"/>
      <c r="M545" s="135"/>
      <c r="N545" s="260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259"/>
      <c r="K546" s="133"/>
      <c r="L546" s="85"/>
      <c r="M546" s="135"/>
      <c r="N546" s="260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259"/>
      <c r="K547" s="133"/>
      <c r="L547" s="85"/>
      <c r="M547" s="135"/>
      <c r="N547" s="260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259"/>
      <c r="K548" s="133"/>
      <c r="L548" s="85"/>
      <c r="M548" s="135"/>
      <c r="N548" s="260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259"/>
      <c r="K549" s="133"/>
      <c r="L549" s="85"/>
      <c r="M549" s="135"/>
      <c r="N549" s="260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259"/>
      <c r="K550" s="133"/>
      <c r="L550" s="85"/>
      <c r="M550" s="135"/>
      <c r="N550" s="260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259"/>
      <c r="K551" s="133"/>
      <c r="L551" s="85"/>
      <c r="M551" s="135"/>
      <c r="N551" s="260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259"/>
      <c r="K552" s="133"/>
      <c r="L552" s="85"/>
      <c r="M552" s="135"/>
      <c r="N552" s="260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259"/>
      <c r="K553" s="133"/>
      <c r="L553" s="85"/>
      <c r="M553" s="135"/>
      <c r="N553" s="260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259"/>
      <c r="K554" s="133"/>
      <c r="L554" s="85"/>
      <c r="M554" s="135"/>
      <c r="N554" s="260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259"/>
      <c r="K555" s="133"/>
      <c r="L555" s="85"/>
      <c r="M555" s="135"/>
      <c r="N555" s="260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259"/>
      <c r="K556" s="133"/>
      <c r="L556" s="85"/>
      <c r="M556" s="135"/>
      <c r="N556" s="260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259"/>
      <c r="K557" s="133"/>
      <c r="L557" s="85"/>
      <c r="M557" s="135"/>
      <c r="N557" s="260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259"/>
      <c r="K558" s="133"/>
      <c r="L558" s="85"/>
      <c r="M558" s="135"/>
      <c r="N558" s="260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259"/>
      <c r="K559" s="133"/>
      <c r="L559" s="85"/>
      <c r="M559" s="135"/>
      <c r="N559" s="260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259"/>
      <c r="K560" s="133"/>
      <c r="L560" s="85"/>
      <c r="M560" s="135"/>
      <c r="N560" s="260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259"/>
      <c r="K561" s="133"/>
      <c r="L561" s="85"/>
      <c r="M561" s="135"/>
      <c r="N561" s="260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259"/>
      <c r="K562" s="133"/>
      <c r="L562" s="85"/>
      <c r="M562" s="135"/>
      <c r="N562" s="260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259"/>
      <c r="K563" s="133"/>
      <c r="L563" s="85"/>
      <c r="M563" s="135"/>
      <c r="N563" s="260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259"/>
      <c r="K564" s="133"/>
      <c r="L564" s="85"/>
      <c r="M564" s="135"/>
      <c r="N564" s="260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259"/>
      <c r="K565" s="133"/>
      <c r="L565" s="85"/>
      <c r="M565" s="135"/>
      <c r="N565" s="260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259"/>
      <c r="K566" s="133"/>
      <c r="L566" s="85"/>
      <c r="M566" s="135"/>
      <c r="N566" s="260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259"/>
      <c r="K567" s="133"/>
      <c r="L567" s="85"/>
      <c r="M567" s="135"/>
      <c r="N567" s="260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259"/>
      <c r="K568" s="133"/>
      <c r="L568" s="85"/>
      <c r="M568" s="135"/>
      <c r="N568" s="260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259"/>
      <c r="K569" s="133"/>
      <c r="L569" s="85"/>
      <c r="M569" s="135"/>
      <c r="N569" s="260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259"/>
      <c r="K570" s="133"/>
      <c r="L570" s="85"/>
      <c r="M570" s="135"/>
      <c r="N570" s="260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259"/>
      <c r="K571" s="133"/>
      <c r="L571" s="85"/>
      <c r="M571" s="135"/>
      <c r="N571" s="260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259"/>
      <c r="K572" s="133"/>
      <c r="L572" s="85"/>
      <c r="M572" s="135"/>
      <c r="N572" s="260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259"/>
      <c r="K573" s="133"/>
      <c r="L573" s="85"/>
      <c r="M573" s="135"/>
      <c r="N573" s="260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259"/>
      <c r="K574" s="133"/>
      <c r="L574" s="85"/>
      <c r="M574" s="135"/>
      <c r="N574" s="260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259"/>
      <c r="K575" s="133"/>
      <c r="L575" s="85"/>
      <c r="M575" s="135"/>
      <c r="N575" s="260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259"/>
      <c r="K576" s="133"/>
      <c r="L576" s="85"/>
      <c r="M576" s="135"/>
      <c r="N576" s="260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259"/>
      <c r="K577" s="133"/>
      <c r="L577" s="85"/>
      <c r="M577" s="135"/>
      <c r="N577" s="260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259"/>
      <c r="K578" s="133"/>
      <c r="L578" s="85"/>
      <c r="M578" s="135"/>
      <c r="N578" s="260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259"/>
      <c r="K579" s="133"/>
      <c r="L579" s="85"/>
      <c r="M579" s="135"/>
      <c r="N579" s="260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259"/>
      <c r="K580" s="133"/>
      <c r="L580" s="85"/>
      <c r="M580" s="135"/>
      <c r="N580" s="260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259"/>
      <c r="K581" s="133"/>
      <c r="L581" s="85"/>
      <c r="M581" s="135"/>
      <c r="N581" s="260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259"/>
      <c r="K582" s="133"/>
      <c r="L582" s="85"/>
      <c r="M582" s="135"/>
      <c r="N582" s="260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259"/>
      <c r="K583" s="133"/>
      <c r="L583" s="85"/>
      <c r="M583" s="135"/>
      <c r="N583" s="260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259"/>
      <c r="K584" s="133"/>
      <c r="L584" s="85"/>
      <c r="M584" s="135"/>
      <c r="N584" s="260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259"/>
      <c r="K585" s="133"/>
      <c r="L585" s="85"/>
      <c r="M585" s="135"/>
      <c r="N585" s="260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259"/>
      <c r="K586" s="133"/>
      <c r="L586" s="85"/>
      <c r="M586" s="135"/>
      <c r="N586" s="260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259"/>
      <c r="K587" s="133"/>
      <c r="L587" s="85"/>
      <c r="M587" s="135"/>
      <c r="N587" s="260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259"/>
      <c r="K588" s="133"/>
      <c r="L588" s="85"/>
      <c r="M588" s="135"/>
      <c r="N588" s="260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259"/>
      <c r="K589" s="133"/>
      <c r="L589" s="85"/>
      <c r="M589" s="135"/>
      <c r="N589" s="260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259"/>
      <c r="K590" s="133"/>
      <c r="L590" s="85"/>
      <c r="M590" s="135"/>
      <c r="N590" s="260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259"/>
      <c r="K591" s="133"/>
      <c r="L591" s="85"/>
      <c r="M591" s="135"/>
      <c r="N591" s="260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259"/>
      <c r="K592" s="133"/>
      <c r="L592" s="85"/>
      <c r="M592" s="135"/>
      <c r="N592" s="260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259"/>
      <c r="K593" s="133"/>
      <c r="L593" s="85"/>
      <c r="M593" s="135"/>
      <c r="N593" s="260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259"/>
      <c r="K594" s="133"/>
      <c r="L594" s="85"/>
      <c r="M594" s="135"/>
      <c r="N594" s="260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259"/>
      <c r="K595" s="133"/>
      <c r="L595" s="85"/>
      <c r="M595" s="135"/>
      <c r="N595" s="260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259"/>
      <c r="K596" s="133"/>
      <c r="L596" s="85"/>
      <c r="M596" s="135"/>
      <c r="N596" s="260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259"/>
      <c r="K597" s="133"/>
      <c r="L597" s="85"/>
      <c r="M597" s="135"/>
      <c r="N597" s="260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259"/>
      <c r="K598" s="133"/>
      <c r="L598" s="85"/>
      <c r="M598" s="135"/>
      <c r="N598" s="260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259"/>
      <c r="K599" s="133"/>
      <c r="L599" s="85"/>
      <c r="M599" s="135"/>
      <c r="N599" s="260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259"/>
      <c r="K600" s="133"/>
      <c r="L600" s="85"/>
      <c r="M600" s="135"/>
      <c r="N600" s="260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259"/>
      <c r="K601" s="133"/>
      <c r="L601" s="85"/>
      <c r="M601" s="135"/>
      <c r="N601" s="260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259"/>
      <c r="K602" s="133"/>
      <c r="L602" s="85"/>
      <c r="M602" s="135"/>
      <c r="N602" s="260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259"/>
      <c r="K603" s="133"/>
      <c r="L603" s="85"/>
      <c r="M603" s="135"/>
      <c r="N603" s="260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259"/>
      <c r="K604" s="133"/>
      <c r="L604" s="85"/>
      <c r="M604" s="135"/>
      <c r="N604" s="260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259"/>
      <c r="K605" s="133"/>
      <c r="L605" s="85"/>
      <c r="M605" s="135"/>
      <c r="N605" s="260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259"/>
      <c r="K606" s="133"/>
      <c r="L606" s="85"/>
      <c r="M606" s="135"/>
      <c r="N606" s="260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259"/>
      <c r="K607" s="133"/>
      <c r="L607" s="85"/>
      <c r="M607" s="135"/>
      <c r="N607" s="260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259"/>
      <c r="K608" s="133"/>
      <c r="L608" s="85"/>
      <c r="M608" s="135"/>
      <c r="N608" s="260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259"/>
      <c r="K609" s="133"/>
      <c r="L609" s="85"/>
      <c r="M609" s="135"/>
      <c r="N609" s="260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259"/>
      <c r="K610" s="133"/>
      <c r="L610" s="85"/>
      <c r="M610" s="135"/>
      <c r="N610" s="260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259"/>
      <c r="K611" s="133"/>
      <c r="L611" s="85"/>
      <c r="M611" s="135"/>
      <c r="N611" s="260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259"/>
      <c r="K612" s="133"/>
      <c r="L612" s="85"/>
      <c r="M612" s="135"/>
      <c r="N612" s="260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259"/>
      <c r="K613" s="133"/>
      <c r="L613" s="85"/>
      <c r="M613" s="135"/>
      <c r="N613" s="260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259"/>
      <c r="K614" s="133"/>
      <c r="L614" s="85"/>
      <c r="M614" s="135"/>
      <c r="N614" s="260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259"/>
      <c r="K615" s="133"/>
      <c r="L615" s="85"/>
      <c r="M615" s="135"/>
      <c r="N615" s="260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259"/>
      <c r="K616" s="133"/>
      <c r="L616" s="85"/>
      <c r="M616" s="135"/>
      <c r="N616" s="260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259"/>
      <c r="K617" s="133"/>
      <c r="L617" s="85"/>
      <c r="M617" s="135"/>
      <c r="N617" s="260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259"/>
      <c r="K618" s="133"/>
      <c r="L618" s="85"/>
      <c r="M618" s="135"/>
      <c r="N618" s="260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259"/>
      <c r="K619" s="133"/>
      <c r="L619" s="85"/>
      <c r="M619" s="135"/>
      <c r="N619" s="260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259"/>
      <c r="K620" s="133"/>
      <c r="L620" s="85"/>
      <c r="M620" s="135"/>
      <c r="N620" s="260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259"/>
      <c r="K621" s="133"/>
      <c r="L621" s="85"/>
      <c r="M621" s="135"/>
      <c r="N621" s="260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259"/>
      <c r="K622" s="133"/>
      <c r="L622" s="85"/>
      <c r="M622" s="135"/>
      <c r="N622" s="260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259"/>
      <c r="K623" s="133"/>
      <c r="L623" s="85"/>
      <c r="M623" s="135"/>
      <c r="N623" s="260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259"/>
      <c r="K624" s="133"/>
      <c r="L624" s="85"/>
      <c r="M624" s="135"/>
      <c r="N624" s="260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259"/>
      <c r="K625" s="133"/>
      <c r="L625" s="85"/>
      <c r="M625" s="135"/>
      <c r="N625" s="260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259"/>
      <c r="K626" s="133"/>
      <c r="L626" s="85"/>
      <c r="M626" s="135"/>
      <c r="N626" s="260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259"/>
      <c r="K627" s="133"/>
      <c r="L627" s="85"/>
      <c r="M627" s="135"/>
      <c r="N627" s="260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259"/>
      <c r="K628" s="133"/>
      <c r="L628" s="85"/>
      <c r="M628" s="135"/>
      <c r="N628" s="260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259"/>
      <c r="K629" s="133"/>
      <c r="L629" s="85"/>
      <c r="M629" s="135"/>
      <c r="N629" s="260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259"/>
      <c r="K630" s="133"/>
      <c r="L630" s="85"/>
      <c r="M630" s="135"/>
      <c r="N630" s="260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259"/>
      <c r="K631" s="133"/>
      <c r="L631" s="85"/>
      <c r="M631" s="135"/>
      <c r="N631" s="260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259"/>
      <c r="K632" s="133"/>
      <c r="L632" s="85"/>
      <c r="M632" s="135"/>
      <c r="N632" s="260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259"/>
      <c r="K633" s="133"/>
      <c r="L633" s="85"/>
      <c r="M633" s="135"/>
      <c r="N633" s="260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259"/>
      <c r="K634" s="133"/>
      <c r="L634" s="85"/>
      <c r="M634" s="135"/>
      <c r="N634" s="260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259"/>
      <c r="K635" s="133"/>
      <c r="L635" s="85"/>
      <c r="M635" s="135"/>
      <c r="N635" s="260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259"/>
      <c r="K636" s="133"/>
      <c r="L636" s="85"/>
      <c r="M636" s="135"/>
      <c r="N636" s="260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259"/>
      <c r="K637" s="133"/>
      <c r="L637" s="85"/>
      <c r="M637" s="135"/>
      <c r="N637" s="260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259"/>
      <c r="K638" s="133"/>
      <c r="L638" s="85"/>
      <c r="M638" s="135"/>
      <c r="N638" s="260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259"/>
      <c r="K639" s="133"/>
      <c r="L639" s="85"/>
      <c r="M639" s="135"/>
      <c r="N639" s="260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259"/>
      <c r="K640" s="133"/>
      <c r="L640" s="85"/>
      <c r="M640" s="135"/>
      <c r="N640" s="260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259"/>
      <c r="K641" s="133"/>
      <c r="L641" s="85"/>
      <c r="M641" s="135"/>
      <c r="N641" s="260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259"/>
      <c r="K642" s="133"/>
      <c r="L642" s="85"/>
      <c r="M642" s="135"/>
      <c r="N642" s="260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259"/>
      <c r="K643" s="133"/>
      <c r="L643" s="85"/>
      <c r="M643" s="135"/>
      <c r="N643" s="260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259"/>
      <c r="K644" s="133"/>
      <c r="L644" s="85"/>
      <c r="M644" s="135"/>
      <c r="N644" s="260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259"/>
      <c r="K645" s="133"/>
      <c r="L645" s="85"/>
      <c r="M645" s="135"/>
      <c r="N645" s="260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259"/>
      <c r="K646" s="133"/>
      <c r="L646" s="85"/>
      <c r="M646" s="135"/>
      <c r="N646" s="260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259"/>
      <c r="K647" s="133"/>
      <c r="L647" s="85"/>
      <c r="M647" s="135"/>
      <c r="N647" s="260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259"/>
      <c r="K648" s="133"/>
      <c r="L648" s="85"/>
      <c r="M648" s="135"/>
      <c r="N648" s="260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259"/>
      <c r="K649" s="133"/>
      <c r="L649" s="85"/>
      <c r="M649" s="135"/>
      <c r="N649" s="260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259"/>
      <c r="K650" s="133"/>
      <c r="L650" s="85"/>
      <c r="M650" s="135"/>
      <c r="N650" s="260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259"/>
      <c r="K651" s="133"/>
      <c r="L651" s="85"/>
      <c r="M651" s="135"/>
      <c r="N651" s="260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259"/>
      <c r="K652" s="133"/>
      <c r="L652" s="85"/>
      <c r="M652" s="135"/>
      <c r="N652" s="260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259"/>
      <c r="K653" s="133"/>
      <c r="L653" s="85"/>
      <c r="M653" s="135"/>
      <c r="N653" s="260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259"/>
      <c r="K654" s="133"/>
      <c r="L654" s="85"/>
      <c r="M654" s="135"/>
      <c r="N654" s="260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259"/>
      <c r="K655" s="133"/>
      <c r="L655" s="85"/>
      <c r="M655" s="135"/>
      <c r="N655" s="260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259"/>
      <c r="K656" s="133"/>
      <c r="L656" s="85"/>
      <c r="M656" s="135"/>
      <c r="N656" s="260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259"/>
      <c r="K657" s="133"/>
      <c r="L657" s="85"/>
      <c r="M657" s="135"/>
      <c r="N657" s="260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259"/>
      <c r="K658" s="133"/>
      <c r="L658" s="85"/>
      <c r="M658" s="135"/>
      <c r="N658" s="260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259"/>
      <c r="K659" s="133"/>
      <c r="L659" s="85"/>
      <c r="M659" s="135"/>
      <c r="N659" s="260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259"/>
      <c r="K660" s="133"/>
      <c r="L660" s="85"/>
      <c r="M660" s="135"/>
      <c r="N660" s="260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259"/>
      <c r="K661" s="133"/>
      <c r="L661" s="85"/>
      <c r="M661" s="135"/>
      <c r="N661" s="260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259"/>
      <c r="K662" s="133"/>
      <c r="L662" s="85"/>
      <c r="M662" s="135"/>
      <c r="N662" s="260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259"/>
      <c r="K663" s="133"/>
      <c r="L663" s="85"/>
      <c r="M663" s="135"/>
      <c r="N663" s="260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259"/>
      <c r="K664" s="133"/>
      <c r="L664" s="85"/>
      <c r="M664" s="135"/>
      <c r="N664" s="260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259"/>
      <c r="K665" s="133"/>
      <c r="L665" s="85"/>
      <c r="M665" s="135"/>
      <c r="N665" s="260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259"/>
      <c r="K666" s="133"/>
      <c r="L666" s="85"/>
      <c r="M666" s="135"/>
      <c r="N666" s="260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259"/>
      <c r="K667" s="133"/>
      <c r="L667" s="85"/>
      <c r="M667" s="135"/>
      <c r="N667" s="260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259"/>
      <c r="K668" s="133"/>
      <c r="L668" s="85"/>
      <c r="M668" s="135"/>
      <c r="N668" s="260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259"/>
      <c r="K669" s="133"/>
      <c r="L669" s="85"/>
      <c r="M669" s="135"/>
      <c r="N669" s="260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259"/>
      <c r="K670" s="133"/>
      <c r="L670" s="85"/>
      <c r="M670" s="135"/>
      <c r="N670" s="260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259"/>
      <c r="K671" s="133"/>
      <c r="L671" s="85"/>
      <c r="M671" s="135"/>
      <c r="N671" s="260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259"/>
      <c r="K672" s="133"/>
      <c r="L672" s="85"/>
      <c r="M672" s="135"/>
      <c r="N672" s="260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259"/>
      <c r="K673" s="133"/>
      <c r="L673" s="85"/>
      <c r="M673" s="135"/>
      <c r="N673" s="260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259"/>
      <c r="K674" s="133"/>
      <c r="L674" s="85"/>
      <c r="M674" s="135"/>
      <c r="N674" s="260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259"/>
      <c r="K675" s="133"/>
      <c r="L675" s="85"/>
      <c r="M675" s="135"/>
      <c r="N675" s="260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259"/>
      <c r="K676" s="133"/>
      <c r="L676" s="85"/>
      <c r="M676" s="135"/>
      <c r="N676" s="260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259"/>
      <c r="K677" s="133"/>
      <c r="L677" s="85"/>
      <c r="M677" s="135"/>
      <c r="N677" s="260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259"/>
      <c r="K678" s="133"/>
      <c r="L678" s="85"/>
      <c r="M678" s="135"/>
      <c r="N678" s="260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259"/>
      <c r="K679" s="133"/>
      <c r="L679" s="85"/>
      <c r="M679" s="135"/>
      <c r="N679" s="260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259"/>
      <c r="K680" s="133"/>
      <c r="L680" s="85"/>
      <c r="M680" s="135"/>
      <c r="N680" s="260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259"/>
      <c r="K681" s="133"/>
      <c r="L681" s="85"/>
      <c r="M681" s="135"/>
      <c r="N681" s="260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259"/>
      <c r="K682" s="133"/>
      <c r="L682" s="85"/>
      <c r="M682" s="135"/>
      <c r="N682" s="260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259"/>
      <c r="K683" s="133"/>
      <c r="L683" s="85"/>
      <c r="M683" s="135"/>
      <c r="N683" s="260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259"/>
      <c r="K684" s="133"/>
      <c r="L684" s="85"/>
      <c r="M684" s="135"/>
      <c r="N684" s="260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259"/>
      <c r="K685" s="133"/>
      <c r="L685" s="85"/>
      <c r="M685" s="135"/>
      <c r="N685" s="260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259"/>
      <c r="K686" s="133"/>
      <c r="L686" s="85"/>
      <c r="M686" s="135"/>
      <c r="N686" s="260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259"/>
      <c r="K687" s="133"/>
      <c r="L687" s="85"/>
      <c r="M687" s="135"/>
      <c r="N687" s="260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259"/>
      <c r="K688" s="133"/>
      <c r="L688" s="85"/>
      <c r="M688" s="135"/>
      <c r="N688" s="260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259"/>
      <c r="K689" s="133"/>
      <c r="L689" s="85"/>
      <c r="M689" s="135"/>
      <c r="N689" s="260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259"/>
      <c r="K690" s="133"/>
      <c r="L690" s="85"/>
      <c r="M690" s="135"/>
      <c r="N690" s="260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259"/>
      <c r="K691" s="133"/>
      <c r="L691" s="85"/>
      <c r="M691" s="135"/>
      <c r="N691" s="260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259"/>
      <c r="K692" s="133"/>
      <c r="L692" s="85"/>
      <c r="M692" s="135"/>
      <c r="N692" s="260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259"/>
      <c r="K693" s="133"/>
      <c r="L693" s="85"/>
      <c r="M693" s="135"/>
      <c r="N693" s="260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259"/>
      <c r="K694" s="133"/>
      <c r="L694" s="85"/>
      <c r="M694" s="135"/>
      <c r="N694" s="260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259"/>
      <c r="K695" s="133"/>
      <c r="L695" s="85"/>
      <c r="M695" s="135"/>
      <c r="N695" s="260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259"/>
      <c r="K696" s="133"/>
      <c r="L696" s="85"/>
      <c r="M696" s="135"/>
      <c r="N696" s="260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259"/>
      <c r="K697" s="133"/>
      <c r="L697" s="85"/>
      <c r="M697" s="135"/>
      <c r="N697" s="260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259"/>
      <c r="K698" s="133"/>
      <c r="L698" s="85"/>
      <c r="M698" s="135"/>
      <c r="N698" s="260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259"/>
      <c r="K699" s="133"/>
      <c r="L699" s="85"/>
      <c r="M699" s="135"/>
      <c r="N699" s="260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259"/>
      <c r="K700" s="133"/>
      <c r="L700" s="85"/>
      <c r="M700" s="135"/>
      <c r="N700" s="260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259"/>
      <c r="K701" s="133"/>
      <c r="L701" s="85"/>
      <c r="M701" s="135"/>
      <c r="N701" s="260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259"/>
      <c r="K702" s="133"/>
      <c r="L702" s="85"/>
      <c r="M702" s="135"/>
      <c r="N702" s="260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259"/>
      <c r="K703" s="133"/>
      <c r="L703" s="85"/>
      <c r="M703" s="135"/>
      <c r="N703" s="260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259"/>
      <c r="K704" s="133"/>
      <c r="L704" s="85"/>
      <c r="M704" s="135"/>
      <c r="N704" s="260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259"/>
      <c r="K705" s="133"/>
      <c r="L705" s="85"/>
      <c r="M705" s="135"/>
      <c r="N705" s="260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259"/>
      <c r="K706" s="133"/>
      <c r="L706" s="85"/>
      <c r="M706" s="135"/>
      <c r="N706" s="260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259"/>
      <c r="K707" s="133"/>
      <c r="L707" s="85"/>
      <c r="M707" s="135"/>
      <c r="N707" s="260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259"/>
      <c r="K708" s="133"/>
      <c r="L708" s="85"/>
      <c r="M708" s="135"/>
      <c r="N708" s="260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259"/>
      <c r="K709" s="133"/>
      <c r="L709" s="85"/>
      <c r="M709" s="135"/>
      <c r="N709" s="260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259"/>
      <c r="K710" s="133"/>
      <c r="L710" s="85"/>
      <c r="M710" s="135"/>
      <c r="N710" s="260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259"/>
      <c r="K711" s="133"/>
      <c r="L711" s="85"/>
      <c r="M711" s="135"/>
      <c r="N711" s="260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259"/>
      <c r="K712" s="133"/>
      <c r="L712" s="85"/>
      <c r="M712" s="135"/>
      <c r="N712" s="260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259"/>
      <c r="K713" s="133"/>
      <c r="L713" s="85"/>
      <c r="M713" s="135"/>
      <c r="N713" s="260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259"/>
      <c r="K714" s="133"/>
      <c r="L714" s="85"/>
      <c r="M714" s="135"/>
      <c r="N714" s="260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259"/>
      <c r="K715" s="133"/>
      <c r="L715" s="85"/>
      <c r="M715" s="135"/>
      <c r="N715" s="260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259"/>
      <c r="K716" s="133"/>
      <c r="L716" s="85"/>
      <c r="M716" s="135"/>
      <c r="N716" s="260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259"/>
      <c r="K717" s="133"/>
      <c r="L717" s="85"/>
      <c r="M717" s="135"/>
      <c r="N717" s="260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259"/>
      <c r="K718" s="133"/>
      <c r="L718" s="85"/>
      <c r="M718" s="135"/>
      <c r="N718" s="260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259"/>
      <c r="K719" s="133"/>
      <c r="L719" s="85"/>
      <c r="M719" s="135"/>
      <c r="N719" s="260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259"/>
      <c r="K720" s="133"/>
      <c r="L720" s="85"/>
      <c r="M720" s="135"/>
      <c r="N720" s="260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259"/>
      <c r="K721" s="133"/>
      <c r="L721" s="85"/>
      <c r="M721" s="135"/>
      <c r="N721" s="260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259"/>
      <c r="K722" s="133"/>
      <c r="L722" s="85"/>
      <c r="M722" s="135"/>
      <c r="N722" s="260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259"/>
      <c r="K723" s="133"/>
      <c r="L723" s="85"/>
      <c r="M723" s="135"/>
      <c r="N723" s="260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259"/>
      <c r="K724" s="133"/>
      <c r="L724" s="85"/>
      <c r="M724" s="135"/>
      <c r="N724" s="260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259"/>
      <c r="K725" s="133"/>
      <c r="L725" s="85"/>
      <c r="M725" s="135"/>
      <c r="N725" s="260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259"/>
      <c r="K726" s="133"/>
      <c r="L726" s="85"/>
      <c r="M726" s="135"/>
      <c r="N726" s="260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259"/>
      <c r="K727" s="133"/>
      <c r="L727" s="85"/>
      <c r="M727" s="135"/>
      <c r="N727" s="260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259"/>
      <c r="K728" s="133"/>
      <c r="L728" s="85"/>
      <c r="M728" s="135"/>
      <c r="N728" s="260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259"/>
      <c r="K729" s="133"/>
      <c r="L729" s="85"/>
      <c r="M729" s="135"/>
      <c r="N729" s="260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259"/>
      <c r="K730" s="133"/>
      <c r="L730" s="85"/>
      <c r="M730" s="135"/>
      <c r="N730" s="260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259"/>
      <c r="K731" s="133"/>
      <c r="L731" s="85"/>
      <c r="M731" s="135"/>
      <c r="N731" s="260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259"/>
      <c r="K732" s="133"/>
      <c r="L732" s="85"/>
      <c r="M732" s="135"/>
      <c r="N732" s="260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259"/>
      <c r="K733" s="133"/>
      <c r="L733" s="85"/>
      <c r="M733" s="135"/>
      <c r="N733" s="260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259"/>
      <c r="K734" s="133"/>
      <c r="L734" s="85"/>
      <c r="M734" s="135"/>
      <c r="N734" s="260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259"/>
      <c r="K735" s="133"/>
      <c r="L735" s="85"/>
      <c r="M735" s="135"/>
      <c r="N735" s="260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259"/>
      <c r="K736" s="133"/>
      <c r="L736" s="85"/>
      <c r="M736" s="135"/>
      <c r="N736" s="260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259"/>
      <c r="K737" s="133"/>
      <c r="L737" s="85"/>
      <c r="M737" s="135"/>
      <c r="N737" s="260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259"/>
      <c r="K738" s="133"/>
      <c r="L738" s="85"/>
      <c r="M738" s="135"/>
      <c r="N738" s="260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259"/>
      <c r="K739" s="133"/>
      <c r="L739" s="85"/>
      <c r="M739" s="135"/>
      <c r="N739" s="260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259"/>
      <c r="K740" s="133"/>
      <c r="L740" s="85"/>
      <c r="M740" s="135"/>
      <c r="N740" s="260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259"/>
      <c r="K741" s="133"/>
      <c r="L741" s="85"/>
      <c r="M741" s="135"/>
      <c r="N741" s="260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259"/>
      <c r="K742" s="133"/>
      <c r="L742" s="85"/>
      <c r="M742" s="135"/>
      <c r="N742" s="260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259"/>
      <c r="K743" s="133"/>
      <c r="L743" s="85"/>
      <c r="M743" s="135"/>
      <c r="N743" s="260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259"/>
      <c r="K744" s="133"/>
      <c r="L744" s="85"/>
      <c r="M744" s="135"/>
      <c r="N744" s="260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259"/>
      <c r="K745" s="133"/>
      <c r="L745" s="85"/>
      <c r="M745" s="135"/>
      <c r="N745" s="260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259"/>
      <c r="K746" s="133"/>
      <c r="L746" s="85"/>
      <c r="M746" s="135"/>
      <c r="N746" s="260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259"/>
      <c r="K747" s="133"/>
      <c r="L747" s="85"/>
      <c r="M747" s="135"/>
      <c r="N747" s="260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259"/>
      <c r="K748" s="133"/>
      <c r="L748" s="85"/>
      <c r="M748" s="135"/>
      <c r="N748" s="260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259"/>
      <c r="K749" s="133"/>
      <c r="L749" s="85"/>
      <c r="M749" s="135"/>
      <c r="N749" s="260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259"/>
      <c r="K750" s="133"/>
      <c r="L750" s="85"/>
      <c r="M750" s="135"/>
      <c r="N750" s="260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259"/>
      <c r="K751" s="133"/>
      <c r="L751" s="85"/>
      <c r="M751" s="135"/>
      <c r="N751" s="260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259"/>
      <c r="K752" s="133"/>
      <c r="L752" s="85"/>
      <c r="M752" s="135"/>
      <c r="N752" s="260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259"/>
      <c r="K753" s="133"/>
      <c r="L753" s="85"/>
      <c r="M753" s="135"/>
      <c r="N753" s="260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259"/>
      <c r="K754" s="133"/>
      <c r="L754" s="85"/>
      <c r="M754" s="135"/>
      <c r="N754" s="260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259"/>
      <c r="K755" s="133"/>
      <c r="L755" s="85"/>
      <c r="M755" s="135"/>
      <c r="N755" s="260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259"/>
      <c r="K756" s="133"/>
      <c r="L756" s="85"/>
      <c r="M756" s="135"/>
      <c r="N756" s="260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259"/>
      <c r="K757" s="133"/>
      <c r="L757" s="85"/>
      <c r="M757" s="135"/>
      <c r="N757" s="260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259"/>
      <c r="K758" s="133"/>
      <c r="L758" s="85"/>
      <c r="M758" s="135"/>
      <c r="N758" s="260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259"/>
      <c r="K759" s="133"/>
      <c r="L759" s="85"/>
      <c r="M759" s="135"/>
      <c r="N759" s="260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259"/>
      <c r="K760" s="133"/>
      <c r="L760" s="85"/>
      <c r="M760" s="135"/>
      <c r="N760" s="260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259"/>
      <c r="K761" s="133"/>
      <c r="L761" s="85"/>
      <c r="M761" s="135"/>
      <c r="N761" s="260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259"/>
      <c r="K762" s="133"/>
      <c r="L762" s="85"/>
      <c r="M762" s="135"/>
      <c r="N762" s="260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259"/>
      <c r="K763" s="133"/>
      <c r="L763" s="85"/>
      <c r="M763" s="135"/>
      <c r="N763" s="260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259"/>
      <c r="K764" s="133"/>
      <c r="L764" s="85"/>
      <c r="M764" s="135"/>
      <c r="N764" s="260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259"/>
      <c r="K765" s="133"/>
      <c r="L765" s="85"/>
      <c r="M765" s="135"/>
      <c r="N765" s="260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259"/>
      <c r="K766" s="133"/>
      <c r="L766" s="85"/>
      <c r="M766" s="135"/>
      <c r="N766" s="260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259"/>
      <c r="K767" s="133"/>
      <c r="L767" s="85"/>
      <c r="M767" s="135"/>
      <c r="N767" s="260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259"/>
      <c r="K768" s="133"/>
      <c r="L768" s="85"/>
      <c r="M768" s="135"/>
      <c r="N768" s="260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259"/>
      <c r="K769" s="133"/>
      <c r="L769" s="85"/>
      <c r="M769" s="135"/>
      <c r="N769" s="260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259"/>
      <c r="K770" s="133"/>
      <c r="L770" s="85"/>
      <c r="M770" s="135"/>
      <c r="N770" s="260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259"/>
      <c r="K771" s="133"/>
      <c r="L771" s="85"/>
      <c r="M771" s="135"/>
      <c r="N771" s="260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259"/>
      <c r="K772" s="133"/>
      <c r="L772" s="85"/>
      <c r="M772" s="135"/>
      <c r="N772" s="260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259"/>
      <c r="K773" s="133"/>
      <c r="L773" s="85"/>
      <c r="M773" s="135"/>
      <c r="N773" s="260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259"/>
      <c r="K774" s="133"/>
      <c r="L774" s="85"/>
      <c r="M774" s="135"/>
      <c r="N774" s="260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259"/>
      <c r="K775" s="133"/>
      <c r="L775" s="85"/>
      <c r="M775" s="135"/>
      <c r="N775" s="260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259"/>
      <c r="K776" s="133"/>
      <c r="L776" s="85"/>
      <c r="M776" s="135"/>
      <c r="N776" s="260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259"/>
      <c r="K777" s="133"/>
      <c r="L777" s="85"/>
      <c r="M777" s="135"/>
      <c r="N777" s="260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259"/>
      <c r="K778" s="133"/>
      <c r="L778" s="85"/>
      <c r="M778" s="135"/>
      <c r="N778" s="260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259"/>
      <c r="K779" s="133"/>
      <c r="L779" s="85"/>
      <c r="M779" s="135"/>
      <c r="N779" s="260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259"/>
      <c r="K780" s="133"/>
      <c r="L780" s="85"/>
      <c r="M780" s="135"/>
      <c r="N780" s="260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259"/>
      <c r="K781" s="133"/>
      <c r="L781" s="85"/>
      <c r="M781" s="135"/>
      <c r="N781" s="260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259"/>
      <c r="K782" s="133"/>
      <c r="L782" s="85"/>
      <c r="M782" s="135"/>
      <c r="N782" s="260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259"/>
      <c r="K783" s="133"/>
      <c r="L783" s="85"/>
      <c r="M783" s="135"/>
      <c r="N783" s="260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259"/>
      <c r="K784" s="133"/>
      <c r="L784" s="85"/>
      <c r="M784" s="135"/>
      <c r="N784" s="260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259"/>
      <c r="K785" s="133"/>
      <c r="L785" s="85"/>
      <c r="M785" s="135"/>
      <c r="N785" s="260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259"/>
      <c r="K786" s="133"/>
      <c r="L786" s="85"/>
      <c r="M786" s="135"/>
      <c r="N786" s="260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259"/>
      <c r="K787" s="133"/>
      <c r="L787" s="85"/>
      <c r="M787" s="135"/>
      <c r="N787" s="260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259"/>
      <c r="K788" s="133"/>
      <c r="L788" s="85"/>
      <c r="M788" s="135"/>
      <c r="N788" s="260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259"/>
      <c r="K789" s="133"/>
      <c r="L789" s="85"/>
      <c r="M789" s="135"/>
      <c r="N789" s="260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259"/>
      <c r="K790" s="133"/>
      <c r="L790" s="85"/>
      <c r="M790" s="135"/>
      <c r="N790" s="260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259"/>
      <c r="K791" s="133"/>
      <c r="L791" s="85"/>
      <c r="M791" s="135"/>
      <c r="N791" s="260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259"/>
      <c r="K792" s="133"/>
      <c r="L792" s="85"/>
      <c r="M792" s="135"/>
      <c r="N792" s="260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259"/>
      <c r="K793" s="133"/>
      <c r="L793" s="85"/>
      <c r="M793" s="135"/>
      <c r="N793" s="260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259"/>
      <c r="K794" s="133"/>
      <c r="L794" s="85"/>
      <c r="M794" s="135"/>
      <c r="N794" s="260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259"/>
      <c r="K795" s="133"/>
      <c r="L795" s="85"/>
      <c r="M795" s="135"/>
      <c r="N795" s="260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259"/>
      <c r="K796" s="133"/>
      <c r="L796" s="85"/>
      <c r="M796" s="135"/>
      <c r="N796" s="260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259"/>
      <c r="K797" s="133"/>
      <c r="L797" s="85"/>
      <c r="M797" s="135"/>
      <c r="N797" s="260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259"/>
      <c r="K798" s="133"/>
      <c r="L798" s="85"/>
      <c r="M798" s="135"/>
      <c r="N798" s="260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259"/>
      <c r="K799" s="133"/>
      <c r="L799" s="85"/>
      <c r="M799" s="135"/>
      <c r="N799" s="260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259"/>
      <c r="K800" s="133"/>
      <c r="L800" s="85"/>
      <c r="M800" s="135"/>
      <c r="N800" s="260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259"/>
      <c r="K801" s="133"/>
      <c r="L801" s="85"/>
      <c r="M801" s="135"/>
      <c r="N801" s="260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259"/>
      <c r="K802" s="133"/>
      <c r="L802" s="85"/>
      <c r="M802" s="135"/>
      <c r="N802" s="260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259"/>
      <c r="K803" s="133"/>
      <c r="L803" s="85"/>
      <c r="M803" s="135"/>
      <c r="N803" s="260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259"/>
      <c r="K804" s="133"/>
      <c r="L804" s="85"/>
      <c r="M804" s="135"/>
      <c r="N804" s="260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259"/>
      <c r="K805" s="133"/>
      <c r="L805" s="85"/>
      <c r="M805" s="135"/>
      <c r="N805" s="260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259"/>
      <c r="K806" s="133"/>
      <c r="L806" s="85"/>
      <c r="M806" s="135"/>
      <c r="N806" s="260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259"/>
      <c r="K807" s="133"/>
      <c r="L807" s="85"/>
      <c r="M807" s="135"/>
      <c r="N807" s="260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259"/>
      <c r="K808" s="133"/>
      <c r="L808" s="85"/>
      <c r="M808" s="135"/>
      <c r="N808" s="260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259"/>
      <c r="K809" s="133"/>
      <c r="L809" s="85"/>
      <c r="M809" s="135"/>
      <c r="N809" s="260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259"/>
      <c r="K810" s="133"/>
      <c r="L810" s="85"/>
      <c r="M810" s="135"/>
      <c r="N810" s="260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259"/>
      <c r="K811" s="133"/>
      <c r="L811" s="85"/>
      <c r="M811" s="135"/>
      <c r="N811" s="260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259"/>
      <c r="K812" s="133"/>
      <c r="L812" s="85"/>
      <c r="M812" s="135"/>
      <c r="N812" s="260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259"/>
      <c r="K813" s="133"/>
      <c r="L813" s="85"/>
      <c r="M813" s="135"/>
      <c r="N813" s="260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259"/>
      <c r="K814" s="133"/>
      <c r="L814" s="85"/>
      <c r="M814" s="135"/>
      <c r="N814" s="260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259"/>
      <c r="K815" s="133"/>
      <c r="L815" s="85"/>
      <c r="M815" s="135"/>
      <c r="N815" s="260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259"/>
      <c r="K816" s="133"/>
      <c r="L816" s="85"/>
      <c r="M816" s="135"/>
      <c r="N816" s="260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259"/>
      <c r="K817" s="133"/>
      <c r="L817" s="85"/>
      <c r="M817" s="135"/>
      <c r="N817" s="260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259"/>
      <c r="K818" s="133"/>
      <c r="L818" s="85"/>
      <c r="M818" s="135"/>
      <c r="N818" s="260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259"/>
      <c r="K819" s="133"/>
      <c r="L819" s="85"/>
      <c r="M819" s="135"/>
      <c r="N819" s="260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259"/>
      <c r="K820" s="133"/>
      <c r="L820" s="85"/>
      <c r="M820" s="135"/>
      <c r="N820" s="260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259"/>
      <c r="K821" s="133"/>
      <c r="L821" s="85"/>
      <c r="M821" s="135"/>
      <c r="N821" s="260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259"/>
      <c r="K822" s="133"/>
      <c r="L822" s="85"/>
      <c r="M822" s="135"/>
      <c r="N822" s="260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259"/>
      <c r="K823" s="133"/>
      <c r="L823" s="85"/>
      <c r="M823" s="135"/>
      <c r="N823" s="260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259"/>
      <c r="K824" s="133"/>
      <c r="L824" s="85"/>
      <c r="M824" s="135"/>
      <c r="N824" s="260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259"/>
      <c r="K825" s="133"/>
      <c r="L825" s="85"/>
      <c r="M825" s="135"/>
      <c r="N825" s="260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259"/>
      <c r="K826" s="133"/>
      <c r="L826" s="85"/>
      <c r="M826" s="135"/>
      <c r="N826" s="260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259"/>
      <c r="K827" s="133"/>
      <c r="L827" s="85"/>
      <c r="M827" s="135"/>
      <c r="N827" s="260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259"/>
      <c r="K828" s="133"/>
      <c r="L828" s="85"/>
      <c r="M828" s="135"/>
      <c r="N828" s="260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259"/>
      <c r="K829" s="133"/>
      <c r="L829" s="85"/>
      <c r="M829" s="135"/>
      <c r="N829" s="260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259"/>
      <c r="K830" s="133"/>
      <c r="L830" s="85"/>
      <c r="M830" s="135"/>
      <c r="N830" s="260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259"/>
      <c r="K831" s="133"/>
      <c r="L831" s="85"/>
      <c r="M831" s="135"/>
      <c r="N831" s="260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259"/>
      <c r="K832" s="133"/>
      <c r="L832" s="85"/>
      <c r="M832" s="135"/>
      <c r="N832" s="260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259"/>
      <c r="K833" s="133"/>
      <c r="L833" s="85"/>
      <c r="M833" s="135"/>
      <c r="N833" s="260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259"/>
      <c r="K834" s="133"/>
      <c r="L834" s="85"/>
      <c r="M834" s="135"/>
      <c r="N834" s="260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259"/>
      <c r="K835" s="133"/>
      <c r="L835" s="85"/>
      <c r="M835" s="135"/>
      <c r="N835" s="260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259"/>
      <c r="K836" s="133"/>
      <c r="L836" s="85"/>
      <c r="M836" s="135"/>
      <c r="N836" s="260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259"/>
      <c r="K837" s="133"/>
      <c r="L837" s="85"/>
      <c r="M837" s="135"/>
      <c r="N837" s="260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259"/>
      <c r="K838" s="133"/>
      <c r="L838" s="85"/>
      <c r="M838" s="135"/>
      <c r="N838" s="260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259"/>
      <c r="K839" s="133"/>
      <c r="L839" s="85"/>
      <c r="M839" s="135"/>
      <c r="N839" s="260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259"/>
      <c r="K840" s="133"/>
      <c r="L840" s="85"/>
      <c r="M840" s="135"/>
      <c r="N840" s="260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259"/>
      <c r="K841" s="133"/>
      <c r="L841" s="85"/>
      <c r="M841" s="135"/>
      <c r="N841" s="260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259"/>
      <c r="K842" s="133"/>
      <c r="L842" s="85"/>
      <c r="M842" s="135"/>
      <c r="N842" s="260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259"/>
      <c r="K843" s="133"/>
      <c r="L843" s="85"/>
      <c r="M843" s="135"/>
      <c r="N843" s="260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259"/>
      <c r="K844" s="133"/>
      <c r="L844" s="85"/>
      <c r="M844" s="135"/>
      <c r="N844" s="260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259"/>
      <c r="K845" s="133"/>
      <c r="L845" s="85"/>
      <c r="M845" s="135"/>
      <c r="N845" s="260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259"/>
      <c r="K846" s="133"/>
      <c r="L846" s="85"/>
      <c r="M846" s="135"/>
      <c r="N846" s="260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259"/>
      <c r="K847" s="133"/>
      <c r="L847" s="85"/>
      <c r="M847" s="135"/>
      <c r="N847" s="260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259"/>
      <c r="K848" s="133"/>
      <c r="L848" s="85"/>
      <c r="M848" s="135"/>
      <c r="N848" s="260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259"/>
      <c r="K849" s="133"/>
      <c r="L849" s="85"/>
      <c r="M849" s="135"/>
      <c r="N849" s="260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259"/>
      <c r="K850" s="133"/>
      <c r="L850" s="85"/>
      <c r="M850" s="135"/>
      <c r="N850" s="260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259"/>
      <c r="K851" s="133"/>
      <c r="L851" s="85"/>
      <c r="M851" s="135"/>
      <c r="N851" s="260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259"/>
      <c r="K852" s="133"/>
      <c r="L852" s="85"/>
      <c r="M852" s="135"/>
      <c r="N852" s="260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259"/>
      <c r="K853" s="133"/>
      <c r="L853" s="85"/>
      <c r="M853" s="135"/>
      <c r="N853" s="260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259"/>
      <c r="K854" s="133"/>
      <c r="L854" s="85"/>
      <c r="M854" s="135"/>
      <c r="N854" s="260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259"/>
      <c r="K855" s="133"/>
      <c r="L855" s="85"/>
      <c r="M855" s="135"/>
      <c r="N855" s="260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259"/>
      <c r="K856" s="133"/>
      <c r="L856" s="85"/>
      <c r="M856" s="135"/>
      <c r="N856" s="260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259"/>
      <c r="K857" s="133"/>
      <c r="L857" s="85"/>
      <c r="M857" s="135"/>
      <c r="N857" s="260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259"/>
      <c r="K858" s="133"/>
      <c r="L858" s="85"/>
      <c r="M858" s="135"/>
      <c r="N858" s="260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259"/>
      <c r="K859" s="133"/>
      <c r="L859" s="85"/>
      <c r="M859" s="135"/>
      <c r="N859" s="260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259"/>
      <c r="K860" s="133"/>
      <c r="L860" s="85"/>
      <c r="M860" s="135"/>
      <c r="N860" s="260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259"/>
      <c r="K861" s="133"/>
      <c r="L861" s="85"/>
      <c r="M861" s="135"/>
      <c r="N861" s="260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259"/>
      <c r="K862" s="133"/>
      <c r="L862" s="85"/>
      <c r="M862" s="135"/>
      <c r="N862" s="260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259"/>
      <c r="K863" s="133"/>
      <c r="L863" s="85"/>
      <c r="M863" s="135"/>
      <c r="N863" s="260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259"/>
      <c r="K864" s="133"/>
      <c r="L864" s="85"/>
      <c r="M864" s="135"/>
      <c r="N864" s="260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259"/>
      <c r="K865" s="133"/>
      <c r="L865" s="85"/>
      <c r="M865" s="135"/>
      <c r="N865" s="260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259"/>
      <c r="K866" s="133"/>
      <c r="L866" s="85"/>
      <c r="M866" s="135"/>
      <c r="N866" s="260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259"/>
      <c r="K867" s="133"/>
      <c r="L867" s="85"/>
      <c r="M867" s="135"/>
      <c r="N867" s="260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259"/>
      <c r="K868" s="133"/>
      <c r="L868" s="85"/>
      <c r="M868" s="135"/>
      <c r="N868" s="260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259"/>
      <c r="K869" s="133"/>
      <c r="L869" s="85"/>
      <c r="M869" s="135"/>
      <c r="N869" s="260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259"/>
      <c r="K870" s="133"/>
      <c r="L870" s="85"/>
      <c r="M870" s="135"/>
      <c r="N870" s="260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259"/>
      <c r="K871" s="133"/>
      <c r="L871" s="85"/>
      <c r="M871" s="135"/>
      <c r="N871" s="260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259"/>
      <c r="K872" s="133"/>
      <c r="L872" s="85"/>
      <c r="M872" s="135"/>
      <c r="N872" s="260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259"/>
      <c r="K873" s="133"/>
      <c r="L873" s="85"/>
      <c r="M873" s="135"/>
      <c r="N873" s="260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259"/>
      <c r="K874" s="133"/>
      <c r="L874" s="85"/>
      <c r="M874" s="135"/>
      <c r="N874" s="260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259"/>
      <c r="K875" s="133"/>
      <c r="L875" s="85"/>
      <c r="M875" s="135"/>
      <c r="N875" s="260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259"/>
      <c r="K876" s="133"/>
      <c r="L876" s="85"/>
      <c r="M876" s="135"/>
      <c r="N876" s="260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259"/>
      <c r="K877" s="133"/>
      <c r="L877" s="85"/>
      <c r="M877" s="135"/>
      <c r="N877" s="260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259"/>
      <c r="K878" s="133"/>
      <c r="L878" s="85"/>
      <c r="M878" s="135"/>
      <c r="N878" s="260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259"/>
      <c r="K879" s="133"/>
      <c r="L879" s="85"/>
      <c r="M879" s="135"/>
      <c r="N879" s="260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259"/>
      <c r="K880" s="133"/>
      <c r="L880" s="85"/>
      <c r="M880" s="135"/>
      <c r="N880" s="260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259"/>
      <c r="K881" s="133"/>
      <c r="L881" s="85"/>
      <c r="M881" s="135"/>
      <c r="N881" s="260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259"/>
      <c r="K882" s="133"/>
      <c r="L882" s="85"/>
      <c r="M882" s="135"/>
      <c r="N882" s="260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259"/>
      <c r="K883" s="133"/>
      <c r="L883" s="85"/>
      <c r="M883" s="135"/>
      <c r="N883" s="260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259"/>
      <c r="K884" s="133"/>
      <c r="L884" s="85"/>
      <c r="M884" s="135"/>
      <c r="N884" s="260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259"/>
      <c r="K885" s="133"/>
      <c r="L885" s="85"/>
      <c r="M885" s="135"/>
      <c r="N885" s="260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259"/>
      <c r="K886" s="133"/>
      <c r="L886" s="85"/>
      <c r="M886" s="135"/>
      <c r="N886" s="260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259"/>
      <c r="K887" s="133"/>
      <c r="L887" s="85"/>
      <c r="M887" s="135"/>
      <c r="N887" s="260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259"/>
      <c r="K888" s="133"/>
      <c r="L888" s="85"/>
      <c r="M888" s="135"/>
      <c r="N888" s="260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259"/>
      <c r="K889" s="133"/>
      <c r="L889" s="85"/>
      <c r="M889" s="135"/>
      <c r="N889" s="260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259"/>
      <c r="K890" s="133"/>
      <c r="L890" s="85"/>
      <c r="M890" s="135"/>
      <c r="N890" s="260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259"/>
      <c r="K891" s="133"/>
      <c r="L891" s="85"/>
      <c r="M891" s="135"/>
      <c r="N891" s="260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259"/>
      <c r="K892" s="133"/>
      <c r="L892" s="85"/>
      <c r="M892" s="135"/>
      <c r="N892" s="260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259"/>
      <c r="K893" s="133"/>
      <c r="L893" s="85"/>
      <c r="M893" s="135"/>
      <c r="N893" s="260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259"/>
      <c r="K894" s="133"/>
      <c r="L894" s="85"/>
      <c r="M894" s="135"/>
      <c r="N894" s="260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259"/>
      <c r="K895" s="133"/>
      <c r="L895" s="85"/>
      <c r="M895" s="135"/>
      <c r="N895" s="260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259"/>
      <c r="K896" s="133"/>
      <c r="L896" s="85"/>
      <c r="M896" s="135"/>
      <c r="N896" s="260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259"/>
      <c r="K897" s="133"/>
      <c r="L897" s="85"/>
      <c r="M897" s="135"/>
      <c r="N897" s="260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259"/>
      <c r="K898" s="133"/>
      <c r="L898" s="85"/>
      <c r="M898" s="135"/>
      <c r="N898" s="260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259"/>
      <c r="K899" s="133"/>
      <c r="L899" s="85"/>
      <c r="M899" s="135"/>
      <c r="N899" s="260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259"/>
      <c r="K900" s="133"/>
      <c r="L900" s="85"/>
      <c r="M900" s="135"/>
      <c r="N900" s="260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259"/>
      <c r="K901" s="133"/>
      <c r="L901" s="85"/>
      <c r="M901" s="135"/>
      <c r="N901" s="260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259"/>
      <c r="K902" s="133"/>
      <c r="L902" s="85"/>
      <c r="M902" s="135"/>
      <c r="N902" s="260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259"/>
      <c r="K903" s="133"/>
      <c r="L903" s="85"/>
      <c r="M903" s="135"/>
      <c r="N903" s="260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259"/>
      <c r="K904" s="133"/>
      <c r="L904" s="85"/>
      <c r="M904" s="135"/>
      <c r="N904" s="260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259"/>
      <c r="K905" s="133"/>
      <c r="L905" s="85"/>
      <c r="M905" s="135"/>
      <c r="N905" s="260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259"/>
      <c r="K906" s="133"/>
      <c r="L906" s="85"/>
      <c r="M906" s="135"/>
      <c r="N906" s="260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259"/>
      <c r="K907" s="133"/>
      <c r="L907" s="85"/>
      <c r="M907" s="135"/>
      <c r="N907" s="260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259"/>
      <c r="K908" s="133"/>
      <c r="L908" s="85"/>
      <c r="M908" s="135"/>
      <c r="N908" s="260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259"/>
      <c r="K909" s="133"/>
      <c r="L909" s="85"/>
      <c r="M909" s="135"/>
      <c r="N909" s="260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259"/>
      <c r="K910" s="133"/>
      <c r="L910" s="85"/>
      <c r="M910" s="135"/>
      <c r="N910" s="260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259"/>
      <c r="K911" s="133"/>
      <c r="L911" s="85"/>
      <c r="M911" s="135"/>
      <c r="N911" s="260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259"/>
      <c r="K912" s="133"/>
      <c r="L912" s="85"/>
      <c r="M912" s="135"/>
      <c r="N912" s="260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259"/>
      <c r="K913" s="133"/>
      <c r="L913" s="85"/>
      <c r="M913" s="135"/>
      <c r="N913" s="260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259"/>
      <c r="K914" s="133"/>
      <c r="L914" s="85"/>
      <c r="M914" s="135"/>
      <c r="N914" s="260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259"/>
      <c r="K915" s="133"/>
      <c r="L915" s="85"/>
      <c r="M915" s="135"/>
      <c r="N915" s="260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259"/>
      <c r="K916" s="133"/>
      <c r="L916" s="85"/>
      <c r="M916" s="135"/>
      <c r="N916" s="260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259"/>
      <c r="K917" s="133"/>
      <c r="L917" s="85"/>
      <c r="M917" s="135"/>
      <c r="N917" s="260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259"/>
      <c r="K918" s="133"/>
      <c r="L918" s="85"/>
      <c r="M918" s="135"/>
      <c r="N918" s="260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259"/>
      <c r="K919" s="133"/>
      <c r="L919" s="85"/>
      <c r="M919" s="135"/>
      <c r="N919" s="260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259"/>
      <c r="K920" s="133"/>
      <c r="L920" s="85"/>
      <c r="M920" s="135"/>
      <c r="N920" s="260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259"/>
      <c r="K921" s="133"/>
      <c r="L921" s="85"/>
      <c r="M921" s="135"/>
      <c r="N921" s="260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259"/>
      <c r="K922" s="133"/>
      <c r="L922" s="85"/>
      <c r="M922" s="135"/>
      <c r="N922" s="260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259"/>
      <c r="K923" s="133"/>
      <c r="L923" s="85"/>
      <c r="M923" s="135"/>
      <c r="N923" s="260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259"/>
      <c r="K924" s="133"/>
      <c r="L924" s="85"/>
      <c r="M924" s="135"/>
      <c r="N924" s="260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259"/>
      <c r="K925" s="133"/>
      <c r="L925" s="85"/>
      <c r="M925" s="135"/>
      <c r="N925" s="260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259"/>
      <c r="K926" s="133"/>
      <c r="L926" s="85"/>
      <c r="M926" s="135"/>
      <c r="N926" s="260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259"/>
      <c r="K927" s="133"/>
      <c r="L927" s="85"/>
      <c r="M927" s="135"/>
      <c r="N927" s="260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259"/>
      <c r="K928" s="133"/>
      <c r="L928" s="85"/>
      <c r="M928" s="135"/>
      <c r="N928" s="260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259"/>
      <c r="K929" s="133"/>
      <c r="L929" s="85"/>
      <c r="M929" s="135"/>
      <c r="N929" s="260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259"/>
      <c r="K930" s="133"/>
      <c r="L930" s="85"/>
      <c r="M930" s="135"/>
      <c r="N930" s="260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259"/>
      <c r="K931" s="133"/>
      <c r="L931" s="85"/>
      <c r="M931" s="135"/>
      <c r="N931" s="260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259"/>
      <c r="K932" s="133"/>
      <c r="L932" s="85"/>
      <c r="M932" s="135"/>
      <c r="N932" s="260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259"/>
      <c r="K933" s="133"/>
      <c r="L933" s="85"/>
      <c r="M933" s="135"/>
      <c r="N933" s="260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259"/>
      <c r="K934" s="133"/>
      <c r="L934" s="85"/>
      <c r="M934" s="135"/>
      <c r="N934" s="260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259"/>
      <c r="K935" s="133"/>
      <c r="L935" s="85"/>
      <c r="M935" s="135"/>
      <c r="N935" s="260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259"/>
      <c r="K936" s="133"/>
      <c r="L936" s="85"/>
      <c r="M936" s="135"/>
      <c r="N936" s="260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259"/>
      <c r="K937" s="133"/>
      <c r="L937" s="85"/>
      <c r="M937" s="135"/>
      <c r="N937" s="260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259"/>
      <c r="K938" s="133"/>
      <c r="L938" s="85"/>
      <c r="M938" s="135"/>
      <c r="N938" s="260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259"/>
      <c r="K939" s="133"/>
      <c r="L939" s="85"/>
      <c r="M939" s="135"/>
      <c r="N939" s="260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259"/>
      <c r="K940" s="133"/>
      <c r="L940" s="85"/>
      <c r="M940" s="135"/>
      <c r="N940" s="260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259"/>
      <c r="K941" s="133"/>
      <c r="L941" s="85"/>
      <c r="M941" s="135"/>
      <c r="N941" s="260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259"/>
      <c r="K942" s="133"/>
      <c r="L942" s="85"/>
      <c r="M942" s="135"/>
      <c r="N942" s="260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259"/>
      <c r="K943" s="133"/>
      <c r="L943" s="85"/>
      <c r="M943" s="135"/>
      <c r="N943" s="260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259"/>
      <c r="K944" s="133"/>
      <c r="L944" s="85"/>
      <c r="M944" s="135"/>
      <c r="N944" s="260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259"/>
      <c r="K945" s="133"/>
      <c r="L945" s="85"/>
      <c r="M945" s="135"/>
      <c r="N945" s="260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259"/>
      <c r="K946" s="133"/>
      <c r="L946" s="85"/>
      <c r="M946" s="135"/>
      <c r="N946" s="260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259"/>
      <c r="K947" s="133"/>
      <c r="L947" s="85"/>
      <c r="M947" s="135"/>
      <c r="N947" s="260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259"/>
      <c r="K948" s="133"/>
      <c r="L948" s="85"/>
      <c r="M948" s="135"/>
      <c r="N948" s="260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259"/>
      <c r="K949" s="133"/>
      <c r="L949" s="85"/>
      <c r="M949" s="135"/>
      <c r="N949" s="260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259"/>
      <c r="K950" s="133"/>
      <c r="L950" s="85"/>
      <c r="M950" s="135"/>
      <c r="N950" s="260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259"/>
      <c r="K951" s="133"/>
      <c r="L951" s="85"/>
      <c r="M951" s="135"/>
      <c r="N951" s="260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259"/>
      <c r="K952" s="133"/>
      <c r="L952" s="85"/>
      <c r="M952" s="135"/>
      <c r="N952" s="260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259"/>
      <c r="K953" s="133"/>
      <c r="L953" s="85"/>
      <c r="M953" s="135"/>
      <c r="N953" s="260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259"/>
      <c r="K954" s="133"/>
      <c r="L954" s="85"/>
      <c r="M954" s="135"/>
      <c r="N954" s="260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259"/>
      <c r="K955" s="133"/>
      <c r="L955" s="85"/>
      <c r="M955" s="135"/>
      <c r="N955" s="260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259"/>
      <c r="K956" s="133"/>
      <c r="L956" s="85"/>
      <c r="M956" s="135"/>
      <c r="N956" s="260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259"/>
      <c r="K957" s="133"/>
      <c r="L957" s="85"/>
      <c r="M957" s="135"/>
      <c r="N957" s="260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259"/>
      <c r="K958" s="133"/>
      <c r="L958" s="85"/>
      <c r="M958" s="135"/>
      <c r="N958" s="260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259"/>
      <c r="K959" s="133"/>
      <c r="L959" s="85"/>
      <c r="M959" s="135"/>
      <c r="N959" s="260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259"/>
      <c r="K960" s="133"/>
      <c r="L960" s="85"/>
      <c r="M960" s="135"/>
      <c r="N960" s="260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259"/>
      <c r="K961" s="133"/>
      <c r="L961" s="85"/>
      <c r="M961" s="135"/>
      <c r="N961" s="260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259"/>
      <c r="K962" s="133"/>
      <c r="L962" s="85"/>
      <c r="M962" s="135"/>
      <c r="N962" s="260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259"/>
      <c r="K963" s="133"/>
      <c r="L963" s="85"/>
      <c r="M963" s="135"/>
      <c r="N963" s="260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259"/>
      <c r="K964" s="133"/>
      <c r="L964" s="85"/>
      <c r="M964" s="135"/>
      <c r="N964" s="260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259"/>
      <c r="K965" s="133"/>
      <c r="L965" s="85"/>
      <c r="M965" s="135"/>
      <c r="N965" s="260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259"/>
      <c r="K966" s="133"/>
      <c r="L966" s="85"/>
      <c r="M966" s="135"/>
      <c r="N966" s="260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259"/>
      <c r="K967" s="133"/>
      <c r="L967" s="85"/>
      <c r="M967" s="135"/>
      <c r="N967" s="260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259"/>
      <c r="K968" s="133"/>
      <c r="L968" s="85"/>
      <c r="M968" s="135"/>
      <c r="N968" s="260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259"/>
      <c r="K969" s="133"/>
      <c r="L969" s="85"/>
      <c r="M969" s="135"/>
      <c r="N969" s="260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259"/>
      <c r="K970" s="133"/>
      <c r="L970" s="85"/>
      <c r="M970" s="135"/>
      <c r="N970" s="260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259"/>
      <c r="K971" s="133"/>
      <c r="L971" s="85"/>
      <c r="M971" s="135"/>
      <c r="N971" s="260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259"/>
      <c r="K972" s="133"/>
      <c r="L972" s="85"/>
      <c r="M972" s="135"/>
      <c r="N972" s="260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259"/>
      <c r="K973" s="133"/>
      <c r="L973" s="85"/>
      <c r="M973" s="135"/>
      <c r="N973" s="260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259"/>
      <c r="K974" s="133"/>
      <c r="L974" s="85"/>
      <c r="M974" s="135"/>
      <c r="N974" s="260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259"/>
      <c r="K975" s="133"/>
      <c r="L975" s="85"/>
      <c r="M975" s="135"/>
      <c r="N975" s="260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259"/>
      <c r="K976" s="133"/>
      <c r="L976" s="85"/>
      <c r="M976" s="135"/>
      <c r="N976" s="260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259"/>
      <c r="K977" s="133"/>
      <c r="L977" s="85"/>
      <c r="M977" s="135"/>
      <c r="N977" s="260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259"/>
      <c r="K978" s="133"/>
      <c r="L978" s="85"/>
      <c r="M978" s="135"/>
      <c r="N978" s="260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259"/>
      <c r="K979" s="133"/>
      <c r="L979" s="85"/>
      <c r="M979" s="135"/>
      <c r="N979" s="260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259"/>
      <c r="K980" s="133"/>
      <c r="L980" s="85"/>
      <c r="M980" s="135"/>
      <c r="N980" s="260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259"/>
      <c r="K981" s="133"/>
      <c r="L981" s="85"/>
      <c r="M981" s="135"/>
      <c r="N981" s="260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259"/>
      <c r="K982" s="133"/>
      <c r="L982" s="85"/>
      <c r="M982" s="135"/>
      <c r="N982" s="260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259"/>
      <c r="K983" s="133"/>
      <c r="L983" s="85"/>
      <c r="M983" s="135"/>
      <c r="N983" s="260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259"/>
      <c r="K984" s="133"/>
      <c r="L984" s="85"/>
      <c r="M984" s="135"/>
      <c r="N984" s="260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259"/>
      <c r="K985" s="133"/>
      <c r="L985" s="85"/>
      <c r="M985" s="135"/>
      <c r="N985" s="260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259"/>
      <c r="K986" s="133"/>
      <c r="L986" s="85"/>
      <c r="M986" s="135"/>
      <c r="N986" s="260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259"/>
      <c r="K987" s="133"/>
      <c r="L987" s="85"/>
      <c r="M987" s="135"/>
      <c r="N987" s="260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259"/>
      <c r="K988" s="133"/>
      <c r="L988" s="85"/>
      <c r="M988" s="135"/>
      <c r="N988" s="260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259"/>
      <c r="K989" s="133"/>
      <c r="L989" s="85"/>
      <c r="M989" s="135"/>
      <c r="N989" s="260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259"/>
      <c r="K990" s="133"/>
      <c r="L990" s="85"/>
      <c r="M990" s="135"/>
      <c r="N990" s="260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259"/>
      <c r="K991" s="133"/>
      <c r="L991" s="85"/>
      <c r="M991" s="135"/>
      <c r="N991" s="260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259"/>
      <c r="K992" s="133"/>
      <c r="L992" s="85"/>
      <c r="M992" s="135"/>
      <c r="N992" s="260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259"/>
      <c r="K993" s="133"/>
      <c r="L993" s="85"/>
      <c r="M993" s="135"/>
      <c r="N993" s="260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259"/>
      <c r="K994" s="133"/>
      <c r="L994" s="85"/>
      <c r="M994" s="135"/>
      <c r="N994" s="260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259"/>
      <c r="K995" s="133"/>
      <c r="L995" s="85"/>
      <c r="M995" s="135"/>
      <c r="N995" s="260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259"/>
      <c r="K996" s="133"/>
      <c r="L996" s="85"/>
      <c r="M996" s="135"/>
      <c r="N996" s="260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259"/>
      <c r="K997" s="133"/>
      <c r="L997" s="85"/>
      <c r="M997" s="135"/>
      <c r="N997" s="260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259"/>
      <c r="K998" s="133"/>
      <c r="L998" s="85"/>
      <c r="M998" s="135"/>
      <c r="N998" s="260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259"/>
      <c r="K999" s="133"/>
      <c r="L999" s="85"/>
      <c r="M999" s="135"/>
      <c r="N999" s="260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259"/>
      <c r="K1000" s="133"/>
      <c r="L1000" s="85"/>
      <c r="M1000" s="135"/>
      <c r="N1000" s="260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1" t="s">
        <v>0</v>
      </c>
      <c r="B1" s="2"/>
      <c r="C1" s="3" t="s">
        <v>2238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257"/>
      <c r="K2" s="11"/>
      <c r="L2" s="11"/>
      <c r="M2" s="13"/>
      <c r="N2" s="258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259"/>
      <c r="K3" s="16"/>
      <c r="L3" s="16"/>
      <c r="M3" s="18"/>
      <c r="N3" s="260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2385</v>
      </c>
      <c r="D4" s="21"/>
      <c r="E4" s="20"/>
      <c r="F4" s="21"/>
      <c r="G4" s="23" t="s">
        <v>2386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6"/>
      <c r="T5" s="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261" t="s">
        <v>2233</v>
      </c>
      <c r="K6" s="47" t="s">
        <v>12</v>
      </c>
      <c r="L6" s="48" t="s">
        <v>13</v>
      </c>
      <c r="M6" s="49" t="s">
        <v>10</v>
      </c>
      <c r="N6" s="262" t="s">
        <v>2233</v>
      </c>
      <c r="O6" s="51" t="s">
        <v>12</v>
      </c>
      <c r="P6" s="51" t="s">
        <v>13</v>
      </c>
      <c r="Q6" s="30"/>
      <c r="R6" s="39"/>
      <c r="S6" s="6"/>
      <c r="T6" s="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450</v>
      </c>
      <c r="D7" s="54" t="s">
        <v>16</v>
      </c>
      <c r="E7" s="29"/>
      <c r="F7" s="30"/>
      <c r="G7" s="55">
        <v>1.0</v>
      </c>
      <c r="H7" s="241">
        <v>45536.0</v>
      </c>
      <c r="I7" s="57" t="s">
        <v>451</v>
      </c>
      <c r="J7" s="263">
        <f>'8月BM'!C25</f>
        <v>2114.36</v>
      </c>
      <c r="K7" s="59"/>
      <c r="L7" s="60"/>
      <c r="M7" s="61"/>
      <c r="N7" s="264"/>
      <c r="O7" s="63"/>
      <c r="P7" s="205"/>
      <c r="Q7" s="41"/>
      <c r="R7" s="39"/>
      <c r="S7" s="6"/>
      <c r="T7" s="27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45545.0</v>
      </c>
      <c r="I8" s="68"/>
      <c r="J8" s="265"/>
      <c r="K8" s="70"/>
      <c r="L8" s="88"/>
      <c r="M8" s="72" t="s">
        <v>20</v>
      </c>
      <c r="N8" s="266">
        <v>27.5</v>
      </c>
      <c r="O8" s="74" t="s">
        <v>2387</v>
      </c>
      <c r="P8" s="94" t="s">
        <v>2388</v>
      </c>
      <c r="Q8" s="41"/>
      <c r="R8" s="39"/>
      <c r="S8" s="6"/>
      <c r="T8" s="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2114.36</v>
      </c>
      <c r="D9" s="30"/>
      <c r="E9" s="29"/>
      <c r="F9" s="30"/>
      <c r="G9" s="66">
        <v>3.0</v>
      </c>
      <c r="H9" s="153"/>
      <c r="I9" s="68"/>
      <c r="J9" s="265"/>
      <c r="K9" s="70"/>
      <c r="L9" s="88"/>
      <c r="M9" s="72"/>
      <c r="N9" s="266"/>
      <c r="O9" s="72"/>
      <c r="P9" s="94"/>
      <c r="Q9" s="41"/>
      <c r="R9" s="39"/>
      <c r="S9" s="27"/>
      <c r="T9" s="27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/>
      <c r="I10" s="84"/>
      <c r="J10" s="259"/>
      <c r="K10" s="85"/>
      <c r="L10" s="86"/>
      <c r="M10" s="72"/>
      <c r="N10" s="266"/>
      <c r="O10" s="74"/>
      <c r="P10" s="94"/>
      <c r="Q10" s="41"/>
      <c r="R10" s="39"/>
      <c r="S10" s="6"/>
      <c r="T10" s="6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27.5</v>
      </c>
      <c r="D11" s="30"/>
      <c r="E11" s="29"/>
      <c r="F11" s="30"/>
      <c r="G11" s="66">
        <v>5.0</v>
      </c>
      <c r="H11" s="153"/>
      <c r="I11" s="68"/>
      <c r="J11" s="265"/>
      <c r="K11" s="87"/>
      <c r="L11" s="71"/>
      <c r="M11" s="72"/>
      <c r="N11" s="266"/>
      <c r="O11" s="72"/>
      <c r="P11" s="94"/>
      <c r="Q11" s="41"/>
      <c r="R11" s="39"/>
      <c r="S11" s="6"/>
      <c r="T11" s="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/>
      <c r="I12" s="68"/>
      <c r="J12" s="265"/>
      <c r="K12" s="87"/>
      <c r="L12" s="71"/>
      <c r="M12" s="72"/>
      <c r="N12" s="266"/>
      <c r="O12" s="72"/>
      <c r="P12" s="94"/>
      <c r="Q12" s="41"/>
      <c r="R12" s="39"/>
      <c r="S12" s="6"/>
      <c r="T12" s="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2086.86</v>
      </c>
      <c r="D13" s="30"/>
      <c r="E13" s="29"/>
      <c r="F13" s="30"/>
      <c r="G13" s="66">
        <v>7.0</v>
      </c>
      <c r="H13" s="153"/>
      <c r="I13" s="68"/>
      <c r="J13" s="265"/>
      <c r="K13" s="87"/>
      <c r="L13" s="71"/>
      <c r="M13" s="72"/>
      <c r="N13" s="266"/>
      <c r="O13" s="72"/>
      <c r="P13" s="94"/>
      <c r="Q13" s="41"/>
      <c r="R13" s="39"/>
      <c r="S13" s="27"/>
      <c r="T13" s="27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/>
      <c r="I14" s="84"/>
      <c r="J14" s="259"/>
      <c r="K14" s="85"/>
      <c r="L14" s="86"/>
      <c r="M14" s="72"/>
      <c r="N14" s="266"/>
      <c r="O14" s="72"/>
      <c r="P14" s="94"/>
      <c r="Q14" s="41"/>
      <c r="R14" s="39"/>
      <c r="S14" s="6"/>
      <c r="T14" s="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/>
      <c r="I15" s="68"/>
      <c r="J15" s="265"/>
      <c r="K15" s="87"/>
      <c r="L15" s="71"/>
      <c r="M15" s="72"/>
      <c r="N15" s="266"/>
      <c r="O15" s="72"/>
      <c r="P15" s="94"/>
      <c r="Q15" s="41"/>
      <c r="R15" s="39"/>
      <c r="S15" s="6"/>
      <c r="T15" s="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/>
      <c r="I16" s="154"/>
      <c r="J16" s="259"/>
      <c r="K16" s="92"/>
      <c r="L16" s="173"/>
      <c r="M16" s="72"/>
      <c r="N16" s="266"/>
      <c r="O16" s="72"/>
      <c r="P16" s="94"/>
      <c r="Q16" s="41"/>
      <c r="R16" s="39"/>
      <c r="S16" s="27"/>
      <c r="T16" s="27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/>
      <c r="I17" s="154"/>
      <c r="J17" s="259"/>
      <c r="K17" s="92"/>
      <c r="L17" s="173"/>
      <c r="M17" s="72"/>
      <c r="N17" s="266"/>
      <c r="O17" s="74"/>
      <c r="P17" s="94"/>
      <c r="Q17" s="41"/>
      <c r="R17" s="39"/>
      <c r="S17" s="6"/>
      <c r="T17" s="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/>
      <c r="I18" s="154"/>
      <c r="J18" s="259"/>
      <c r="K18" s="92"/>
      <c r="L18" s="173"/>
      <c r="M18" s="72"/>
      <c r="N18" s="266"/>
      <c r="O18" s="72"/>
      <c r="P18" s="94"/>
      <c r="Q18" s="41"/>
      <c r="R18" s="39"/>
      <c r="S18" s="6"/>
      <c r="T18" s="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/>
      <c r="I19" s="154"/>
      <c r="J19" s="259"/>
      <c r="K19" s="93"/>
      <c r="L19" s="155"/>
      <c r="M19" s="72"/>
      <c r="N19" s="266"/>
      <c r="O19" s="74"/>
      <c r="P19" s="94"/>
      <c r="Q19" s="41"/>
      <c r="R19" s="39"/>
      <c r="S19" s="27"/>
      <c r="T19" s="27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/>
      <c r="I20" s="154"/>
      <c r="J20" s="259"/>
      <c r="K20" s="93"/>
      <c r="L20" s="155"/>
      <c r="M20" s="72"/>
      <c r="N20" s="266"/>
      <c r="O20" s="72"/>
      <c r="P20" s="94"/>
      <c r="Q20" s="41"/>
      <c r="R20" s="39"/>
      <c r="S20" s="6"/>
      <c r="T20" s="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2114.36</v>
      </c>
      <c r="D21" s="30"/>
      <c r="E21" s="29"/>
      <c r="F21" s="30"/>
      <c r="G21" s="66">
        <v>15.0</v>
      </c>
      <c r="H21" s="153"/>
      <c r="I21" s="154"/>
      <c r="J21" s="259"/>
      <c r="K21" s="93"/>
      <c r="L21" s="155"/>
      <c r="M21" s="72"/>
      <c r="N21" s="266"/>
      <c r="O21" s="72"/>
      <c r="P21" s="94"/>
      <c r="Q21" s="41"/>
      <c r="R21" s="39"/>
      <c r="S21" s="6"/>
      <c r="T21" s="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/>
      <c r="I22" s="68"/>
      <c r="J22" s="265"/>
      <c r="K22" s="93"/>
      <c r="L22" s="88"/>
      <c r="M22" s="72"/>
      <c r="N22" s="260"/>
      <c r="O22" s="74"/>
      <c r="P22" s="75"/>
      <c r="Q22" s="41"/>
      <c r="R22" s="39"/>
      <c r="S22" s="27"/>
      <c r="T22" s="27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27.5</v>
      </c>
      <c r="D23" s="30"/>
      <c r="E23" s="29"/>
      <c r="F23" s="30"/>
      <c r="G23" s="66">
        <v>17.0</v>
      </c>
      <c r="H23" s="153"/>
      <c r="I23" s="68"/>
      <c r="J23" s="265"/>
      <c r="K23" s="87"/>
      <c r="L23" s="71"/>
      <c r="M23" s="72"/>
      <c r="N23" s="266"/>
      <c r="O23" s="72"/>
      <c r="P23" s="94"/>
      <c r="Q23" s="41"/>
      <c r="R23" s="39"/>
      <c r="S23" s="6"/>
      <c r="T23" s="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/>
      <c r="I24" s="68"/>
      <c r="J24" s="265"/>
      <c r="K24" s="85"/>
      <c r="L24" s="86"/>
      <c r="M24" s="72"/>
      <c r="N24" s="266"/>
      <c r="O24" s="74"/>
      <c r="P24" s="94"/>
      <c r="Q24" s="41"/>
      <c r="R24" s="39"/>
      <c r="S24" s="6"/>
      <c r="T24" s="6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2086.86</v>
      </c>
      <c r="D25" s="30"/>
      <c r="E25" s="29"/>
      <c r="F25" s="30"/>
      <c r="G25" s="66">
        <v>19.0</v>
      </c>
      <c r="H25" s="153"/>
      <c r="I25" s="68"/>
      <c r="J25" s="265"/>
      <c r="K25" s="70"/>
      <c r="L25" s="88"/>
      <c r="M25" s="72"/>
      <c r="N25" s="266"/>
      <c r="O25" s="72"/>
      <c r="P25" s="94"/>
      <c r="Q25" s="41"/>
      <c r="R25" s="39"/>
      <c r="S25" s="27"/>
      <c r="T25" s="27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/>
      <c r="I26" s="68"/>
      <c r="J26" s="265"/>
      <c r="K26" s="70"/>
      <c r="L26" s="71"/>
      <c r="M26" s="72"/>
      <c r="N26" s="266"/>
      <c r="O26" s="74"/>
      <c r="P26" s="94"/>
      <c r="Q26" s="41"/>
      <c r="R26" s="39"/>
      <c r="S26" s="6"/>
      <c r="T26" s="6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/>
      <c r="I27" s="68"/>
      <c r="J27" s="265"/>
      <c r="K27" s="70"/>
      <c r="L27" s="71"/>
      <c r="M27" s="72"/>
      <c r="N27" s="266"/>
      <c r="O27" s="74"/>
      <c r="P27" s="75"/>
      <c r="Q27" s="41"/>
      <c r="R27" s="39"/>
      <c r="S27" s="6"/>
      <c r="T27" s="6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/>
      <c r="I28" s="68"/>
      <c r="J28" s="265"/>
      <c r="K28" s="85"/>
      <c r="L28" s="86"/>
      <c r="M28" s="72"/>
      <c r="N28" s="266"/>
      <c r="O28" s="74"/>
      <c r="P28" s="75"/>
      <c r="Q28" s="41"/>
      <c r="R28" s="39"/>
      <c r="S28" s="27"/>
      <c r="T28" s="27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265"/>
      <c r="K29" s="70"/>
      <c r="L29" s="71"/>
      <c r="M29" s="72"/>
      <c r="N29" s="266"/>
      <c r="O29" s="74"/>
      <c r="P29" s="75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265"/>
      <c r="K30" s="85"/>
      <c r="L30" s="86"/>
      <c r="M30" s="72"/>
      <c r="N30" s="266"/>
      <c r="O30" s="74"/>
      <c r="P30" s="75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265"/>
      <c r="K31" s="70"/>
      <c r="L31" s="88"/>
      <c r="M31" s="72"/>
      <c r="N31" s="266"/>
      <c r="O31" s="74"/>
      <c r="P31" s="75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259"/>
      <c r="K32" s="85"/>
      <c r="L32" s="86"/>
      <c r="M32" s="72"/>
      <c r="N32" s="266"/>
      <c r="O32" s="74"/>
      <c r="P32" s="75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265"/>
      <c r="K33" s="70"/>
      <c r="L33" s="71"/>
      <c r="M33" s="72"/>
      <c r="N33" s="266"/>
      <c r="O33" s="74"/>
      <c r="P33" s="75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265"/>
      <c r="K34" s="87"/>
      <c r="L34" s="71"/>
      <c r="M34" s="72"/>
      <c r="N34" s="266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265"/>
      <c r="K35" s="85"/>
      <c r="L35" s="71"/>
      <c r="M35" s="72"/>
      <c r="N35" s="266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84"/>
      <c r="J36" s="259"/>
      <c r="K36" s="85"/>
      <c r="L36" s="86"/>
      <c r="M36" s="72"/>
      <c r="N36" s="266"/>
      <c r="O36" s="74"/>
      <c r="P36" s="75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265"/>
      <c r="K37" s="85"/>
      <c r="L37" s="86"/>
      <c r="M37" s="72"/>
      <c r="N37" s="266"/>
      <c r="O37" s="74"/>
      <c r="P37" s="75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265"/>
      <c r="K38" s="85"/>
      <c r="L38" s="86"/>
      <c r="M38" s="72"/>
      <c r="N38" s="266"/>
      <c r="O38" s="74"/>
      <c r="P38" s="75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265"/>
      <c r="K39" s="70"/>
      <c r="L39" s="88"/>
      <c r="M39" s="72"/>
      <c r="N39" s="266"/>
      <c r="O39" s="74"/>
      <c r="P39" s="75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265"/>
      <c r="K40" s="70"/>
      <c r="L40" s="88"/>
      <c r="M40" s="72"/>
      <c r="N40" s="266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265"/>
      <c r="K41" s="70"/>
      <c r="L41" s="88"/>
      <c r="M41" s="72"/>
      <c r="N41" s="266"/>
      <c r="O41" s="74"/>
      <c r="P41" s="75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265"/>
      <c r="K42" s="70"/>
      <c r="L42" s="88"/>
      <c r="M42" s="72"/>
      <c r="N42" s="266"/>
      <c r="O42" s="74"/>
      <c r="P42" s="75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265"/>
      <c r="K43" s="87"/>
      <c r="L43" s="71"/>
      <c r="M43" s="72"/>
      <c r="N43" s="266"/>
      <c r="O43" s="74"/>
      <c r="P43" s="75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259"/>
      <c r="K44" s="85"/>
      <c r="L44" s="86"/>
      <c r="M44" s="72"/>
      <c r="N44" s="266"/>
      <c r="O44" s="74"/>
      <c r="P44" s="75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265"/>
      <c r="K45" s="85"/>
      <c r="L45" s="86"/>
      <c r="M45" s="72"/>
      <c r="N45" s="266"/>
      <c r="O45" s="74"/>
      <c r="P45" s="75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84"/>
      <c r="J46" s="259"/>
      <c r="K46" s="85"/>
      <c r="L46" s="86"/>
      <c r="M46" s="72"/>
      <c r="N46" s="266"/>
      <c r="O46" s="74"/>
      <c r="P46" s="75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265"/>
      <c r="K47" s="70"/>
      <c r="L47" s="71"/>
      <c r="M47" s="72"/>
      <c r="N47" s="266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265"/>
      <c r="K48" s="87"/>
      <c r="L48" s="71"/>
      <c r="M48" s="72"/>
      <c r="N48" s="266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265"/>
      <c r="K49" s="85"/>
      <c r="L49" s="71"/>
      <c r="M49" s="147"/>
      <c r="N49" s="266"/>
      <c r="O49" s="126"/>
      <c r="P49" s="75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265"/>
      <c r="K50" s="85"/>
      <c r="L50" s="71"/>
      <c r="M50" s="72"/>
      <c r="N50" s="266"/>
      <c r="O50" s="74"/>
      <c r="P50" s="94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265"/>
      <c r="K51" s="87"/>
      <c r="L51" s="71"/>
      <c r="M51" s="147"/>
      <c r="N51" s="266"/>
      <c r="O51" s="126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265"/>
      <c r="K52" s="87"/>
      <c r="L52" s="71"/>
      <c r="M52" s="72"/>
      <c r="N52" s="266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265"/>
      <c r="K53" s="70"/>
      <c r="L53" s="88"/>
      <c r="M53" s="72"/>
      <c r="N53" s="266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259"/>
      <c r="K54" s="85"/>
      <c r="L54" s="86"/>
      <c r="M54" s="72"/>
      <c r="N54" s="266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265"/>
      <c r="K55" s="87"/>
      <c r="L55" s="71"/>
      <c r="M55" s="72"/>
      <c r="N55" s="266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265"/>
      <c r="K56" s="87"/>
      <c r="L56" s="71"/>
      <c r="M56" s="72"/>
      <c r="N56" s="266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265"/>
      <c r="K57" s="70"/>
      <c r="L57" s="71"/>
      <c r="M57" s="72"/>
      <c r="N57" s="266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265"/>
      <c r="K58" s="87"/>
      <c r="L58" s="71"/>
      <c r="M58" s="147"/>
      <c r="N58" s="266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265"/>
      <c r="K59" s="85"/>
      <c r="L59" s="71"/>
      <c r="M59" s="72"/>
      <c r="N59" s="266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265"/>
      <c r="K60" s="85"/>
      <c r="L60" s="71"/>
      <c r="M60" s="72"/>
      <c r="N60" s="266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265"/>
      <c r="K61" s="85"/>
      <c r="L61" s="71"/>
      <c r="M61" s="72"/>
      <c r="N61" s="266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265"/>
      <c r="K62" s="87"/>
      <c r="L62" s="71"/>
      <c r="M62" s="147"/>
      <c r="N62" s="266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265"/>
      <c r="K63" s="87"/>
      <c r="L63" s="71"/>
      <c r="M63" s="72"/>
      <c r="N63" s="266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265"/>
      <c r="K64" s="87"/>
      <c r="L64" s="71"/>
      <c r="M64" s="72"/>
      <c r="N64" s="266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265"/>
      <c r="K65" s="70"/>
      <c r="L65" s="88"/>
      <c r="M65" s="72"/>
      <c r="N65" s="266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265"/>
      <c r="K66" s="70"/>
      <c r="L66" s="88"/>
      <c r="M66" s="147"/>
      <c r="N66" s="266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265"/>
      <c r="K67" s="87"/>
      <c r="L67" s="71"/>
      <c r="M67" s="147"/>
      <c r="N67" s="266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259"/>
      <c r="K68" s="85"/>
      <c r="L68" s="86"/>
      <c r="M68" s="147"/>
      <c r="N68" s="266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265"/>
      <c r="K69" s="85"/>
      <c r="L69" s="71"/>
      <c r="M69" s="72"/>
      <c r="N69" s="266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265"/>
      <c r="K70" s="70"/>
      <c r="L70" s="71"/>
      <c r="M70" s="72"/>
      <c r="N70" s="266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265"/>
      <c r="K71" s="87"/>
      <c r="L71" s="71"/>
      <c r="M71" s="72"/>
      <c r="N71" s="266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265"/>
      <c r="K72" s="85"/>
      <c r="L72" s="71"/>
      <c r="M72" s="147"/>
      <c r="N72" s="266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265"/>
      <c r="K73" s="93"/>
      <c r="L73" s="71"/>
      <c r="M73" s="72"/>
      <c r="N73" s="266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265"/>
      <c r="K74" s="87"/>
      <c r="L74" s="71"/>
      <c r="M74" s="72"/>
      <c r="N74" s="266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265"/>
      <c r="K75" s="87"/>
      <c r="L75" s="71"/>
      <c r="M75" s="72"/>
      <c r="N75" s="266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265"/>
      <c r="K76" s="85"/>
      <c r="L76" s="71"/>
      <c r="M76" s="72"/>
      <c r="N76" s="266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265"/>
      <c r="K77" s="87"/>
      <c r="L77" s="71"/>
      <c r="M77" s="147"/>
      <c r="N77" s="266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265"/>
      <c r="K78" s="87"/>
      <c r="L78" s="71"/>
      <c r="M78" s="72"/>
      <c r="N78" s="266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265"/>
      <c r="K79" s="70"/>
      <c r="L79" s="71"/>
      <c r="M79" s="147"/>
      <c r="N79" s="266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259"/>
      <c r="K80" s="92"/>
      <c r="L80" s="173"/>
      <c r="M80" s="72"/>
      <c r="N80" s="266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265"/>
      <c r="K81" s="87"/>
      <c r="L81" s="71"/>
      <c r="M81" s="72"/>
      <c r="N81" s="266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265"/>
      <c r="K82" s="87"/>
      <c r="L82" s="71"/>
      <c r="M82" s="147"/>
      <c r="N82" s="266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265"/>
      <c r="K83" s="87"/>
      <c r="L83" s="71"/>
      <c r="M83" s="72"/>
      <c r="N83" s="266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265"/>
      <c r="K84" s="70"/>
      <c r="L84" s="88"/>
      <c r="M84" s="72"/>
      <c r="N84" s="266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265"/>
      <c r="K85" s="70"/>
      <c r="L85" s="71"/>
      <c r="M85" s="147"/>
      <c r="N85" s="266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265"/>
      <c r="K86" s="85"/>
      <c r="L86" s="71"/>
      <c r="M86" s="147"/>
      <c r="N86" s="266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265"/>
      <c r="K87" s="85"/>
      <c r="L87" s="71"/>
      <c r="M87" s="72"/>
      <c r="N87" s="266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265"/>
      <c r="K88" s="85"/>
      <c r="L88" s="71"/>
      <c r="M88" s="147"/>
      <c r="N88" s="266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265"/>
      <c r="K89" s="70"/>
      <c r="L89" s="88"/>
      <c r="M89" s="147"/>
      <c r="N89" s="266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259"/>
      <c r="K90" s="85"/>
      <c r="L90" s="86"/>
      <c r="M90" s="72"/>
      <c r="N90" s="266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265"/>
      <c r="K91" s="87"/>
      <c r="L91" s="71"/>
      <c r="M91" s="72"/>
      <c r="N91" s="266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259"/>
      <c r="K92" s="85"/>
      <c r="L92" s="86"/>
      <c r="M92" s="72"/>
      <c r="N92" s="266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265"/>
      <c r="K93" s="70"/>
      <c r="L93" s="88"/>
      <c r="M93" s="147"/>
      <c r="N93" s="266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265"/>
      <c r="K94" s="70"/>
      <c r="L94" s="71"/>
      <c r="M94" s="147"/>
      <c r="N94" s="266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265"/>
      <c r="K95" s="87"/>
      <c r="L95" s="71"/>
      <c r="M95" s="147"/>
      <c r="N95" s="266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265"/>
      <c r="K96" s="87"/>
      <c r="L96" s="71"/>
      <c r="M96" s="72"/>
      <c r="N96" s="266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259"/>
      <c r="K97" s="85"/>
      <c r="L97" s="86"/>
      <c r="M97" s="72"/>
      <c r="N97" s="266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259"/>
      <c r="K98" s="85"/>
      <c r="L98" s="86"/>
      <c r="M98" s="147"/>
      <c r="N98" s="266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259"/>
      <c r="K99" s="92"/>
      <c r="L99" s="173"/>
      <c r="M99" s="72"/>
      <c r="N99" s="266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259"/>
      <c r="K100" s="85"/>
      <c r="L100" s="86"/>
      <c r="M100" s="72"/>
      <c r="N100" s="266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259"/>
      <c r="K101" s="87"/>
      <c r="L101" s="71"/>
      <c r="M101" s="147"/>
      <c r="N101" s="266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265"/>
      <c r="K102" s="87"/>
      <c r="L102" s="71"/>
      <c r="M102" s="72"/>
      <c r="N102" s="266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265"/>
      <c r="K103" s="87"/>
      <c r="L103" s="71"/>
      <c r="M103" s="147"/>
      <c r="N103" s="266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259"/>
      <c r="K104" s="93"/>
      <c r="L104" s="155"/>
      <c r="M104" s="72"/>
      <c r="N104" s="266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265"/>
      <c r="K105" s="87"/>
      <c r="L105" s="71"/>
      <c r="M105" s="72"/>
      <c r="N105" s="266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259"/>
      <c r="K106" s="93"/>
      <c r="L106" s="155"/>
      <c r="M106" s="72"/>
      <c r="N106" s="266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259"/>
      <c r="K107" s="93"/>
      <c r="L107" s="155"/>
      <c r="M107" s="147"/>
      <c r="N107" s="266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259"/>
      <c r="K108" s="85"/>
      <c r="L108" s="86"/>
      <c r="M108" s="72"/>
      <c r="N108" s="266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265"/>
      <c r="K109" s="70"/>
      <c r="L109" s="71"/>
      <c r="M109" s="72"/>
      <c r="N109" s="266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265"/>
      <c r="K110" s="70"/>
      <c r="L110" s="71"/>
      <c r="M110" s="72"/>
      <c r="N110" s="266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259"/>
      <c r="K111" s="92"/>
      <c r="L111" s="173"/>
      <c r="M111" s="147"/>
      <c r="N111" s="260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259"/>
      <c r="K112" s="85"/>
      <c r="L112" s="86"/>
      <c r="M112" s="147"/>
      <c r="N112" s="260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154"/>
      <c r="J113" s="259"/>
      <c r="K113" s="93"/>
      <c r="L113" s="155"/>
      <c r="M113" s="147"/>
      <c r="N113" s="260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259"/>
      <c r="K114" s="93"/>
      <c r="L114" s="155"/>
      <c r="M114" s="147"/>
      <c r="N114" s="260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259"/>
      <c r="K115" s="85"/>
      <c r="L115" s="86"/>
      <c r="M115" s="147"/>
      <c r="N115" s="260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259"/>
      <c r="K116" s="92"/>
      <c r="L116" s="155"/>
      <c r="M116" s="147"/>
      <c r="N116" s="260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259"/>
      <c r="K117" s="85"/>
      <c r="L117" s="155"/>
      <c r="M117" s="147"/>
      <c r="N117" s="260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259"/>
      <c r="K118" s="93"/>
      <c r="L118" s="155"/>
      <c r="M118" s="147"/>
      <c r="N118" s="260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259"/>
      <c r="K119" s="93"/>
      <c r="L119" s="155"/>
      <c r="M119" s="147"/>
      <c r="N119" s="260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265"/>
      <c r="K120" s="87"/>
      <c r="L120" s="71"/>
      <c r="M120" s="147"/>
      <c r="N120" s="266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259"/>
      <c r="K121" s="70"/>
      <c r="L121" s="88"/>
      <c r="M121" s="72"/>
      <c r="N121" s="266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265"/>
      <c r="K122" s="70"/>
      <c r="L122" s="88"/>
      <c r="M122" s="147"/>
      <c r="N122" s="266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265"/>
      <c r="K123" s="70"/>
      <c r="L123" s="71"/>
      <c r="M123" s="72"/>
      <c r="N123" s="266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265"/>
      <c r="K124" s="70"/>
      <c r="L124" s="88"/>
      <c r="M124" s="72"/>
      <c r="N124" s="266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259"/>
      <c r="K125" s="85"/>
      <c r="L125" s="86"/>
      <c r="M125" s="72"/>
      <c r="N125" s="266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259"/>
      <c r="K126" s="85"/>
      <c r="L126" s="86"/>
      <c r="M126" s="72"/>
      <c r="N126" s="266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265"/>
      <c r="K127" s="87"/>
      <c r="L127" s="88"/>
      <c r="M127" s="72"/>
      <c r="N127" s="266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265"/>
      <c r="K128" s="70"/>
      <c r="L128" s="71"/>
      <c r="M128" s="147"/>
      <c r="N128" s="266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265"/>
      <c r="K129" s="70"/>
      <c r="L129" s="71"/>
      <c r="M129" s="147"/>
      <c r="N129" s="266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259"/>
      <c r="K130" s="85"/>
      <c r="L130" s="86"/>
      <c r="M130" s="72"/>
      <c r="N130" s="266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265"/>
      <c r="K131" s="87"/>
      <c r="L131" s="71"/>
      <c r="M131" s="72"/>
      <c r="N131" s="266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259"/>
      <c r="K132" s="85"/>
      <c r="L132" s="86"/>
      <c r="M132" s="72"/>
      <c r="N132" s="266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265"/>
      <c r="K133" s="70"/>
      <c r="L133" s="88"/>
      <c r="M133" s="72"/>
      <c r="N133" s="266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265"/>
      <c r="K134" s="70"/>
      <c r="L134" s="88"/>
      <c r="M134" s="72"/>
      <c r="N134" s="266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265"/>
      <c r="K135" s="85"/>
      <c r="L135" s="71"/>
      <c r="M135" s="72"/>
      <c r="N135" s="266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265"/>
      <c r="K136" s="70"/>
      <c r="L136" s="71"/>
      <c r="M136" s="72"/>
      <c r="N136" s="266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259"/>
      <c r="K137" s="85"/>
      <c r="L137" s="86"/>
      <c r="M137" s="72"/>
      <c r="N137" s="266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265"/>
      <c r="K138" s="70"/>
      <c r="L138" s="71"/>
      <c r="M138" s="72"/>
      <c r="N138" s="266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265"/>
      <c r="K139" s="70"/>
      <c r="L139" s="71"/>
      <c r="M139" s="147"/>
      <c r="N139" s="266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265"/>
      <c r="K140" s="70"/>
      <c r="L140" s="88"/>
      <c r="M140" s="72"/>
      <c r="N140" s="266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259"/>
      <c r="K141" s="85"/>
      <c r="L141" s="86"/>
      <c r="M141" s="147"/>
      <c r="N141" s="266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265"/>
      <c r="K142" s="85"/>
      <c r="L142" s="71"/>
      <c r="M142" s="72"/>
      <c r="N142" s="266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265"/>
      <c r="K143" s="85"/>
      <c r="L143" s="71"/>
      <c r="M143" s="147"/>
      <c r="N143" s="266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265"/>
      <c r="K144" s="85"/>
      <c r="L144" s="71"/>
      <c r="M144" s="72"/>
      <c r="N144" s="266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265"/>
      <c r="K145" s="87"/>
      <c r="L145" s="71"/>
      <c r="M145" s="72"/>
      <c r="N145" s="266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265"/>
      <c r="K146" s="87"/>
      <c r="L146" s="71"/>
      <c r="M146" s="147"/>
      <c r="N146" s="266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259"/>
      <c r="K147" s="85"/>
      <c r="L147" s="86"/>
      <c r="M147" s="72"/>
      <c r="N147" s="266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259"/>
      <c r="K148" s="85"/>
      <c r="L148" s="86"/>
      <c r="M148" s="72"/>
      <c r="N148" s="266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259"/>
      <c r="K149" s="85"/>
      <c r="L149" s="86"/>
      <c r="M149" s="147"/>
      <c r="N149" s="266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259"/>
      <c r="K150" s="85"/>
      <c r="L150" s="86"/>
      <c r="M150" s="72"/>
      <c r="N150" s="266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265"/>
      <c r="K151" s="70"/>
      <c r="L151" s="88"/>
      <c r="M151" s="147"/>
      <c r="N151" s="266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265"/>
      <c r="K152" s="87"/>
      <c r="L152" s="71"/>
      <c r="M152" s="72"/>
      <c r="N152" s="266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265"/>
      <c r="K153" s="85"/>
      <c r="L153" s="71"/>
      <c r="M153" s="72"/>
      <c r="N153" s="266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259"/>
      <c r="K154" s="85"/>
      <c r="L154" s="86"/>
      <c r="M154" s="147"/>
      <c r="N154" s="260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265"/>
      <c r="K155" s="85"/>
      <c r="L155" s="71"/>
      <c r="M155" s="72"/>
      <c r="N155" s="266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259"/>
      <c r="K156" s="85"/>
      <c r="L156" s="86"/>
      <c r="M156" s="147"/>
      <c r="N156" s="266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265"/>
      <c r="K157" s="87"/>
      <c r="L157" s="71"/>
      <c r="M157" s="72"/>
      <c r="N157" s="266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265"/>
      <c r="K158" s="87"/>
      <c r="L158" s="71"/>
      <c r="M158" s="72"/>
      <c r="N158" s="266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265"/>
      <c r="K159" s="85"/>
      <c r="L159" s="71"/>
      <c r="M159" s="147"/>
      <c r="N159" s="266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259"/>
      <c r="K160" s="93"/>
      <c r="L160" s="155"/>
      <c r="M160" s="72"/>
      <c r="N160" s="266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259"/>
      <c r="K161" s="93"/>
      <c r="L161" s="155"/>
      <c r="M161" s="72"/>
      <c r="N161" s="266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265"/>
      <c r="K162" s="87"/>
      <c r="L162" s="71"/>
      <c r="M162" s="147"/>
      <c r="N162" s="266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265"/>
      <c r="K163" s="87"/>
      <c r="L163" s="71"/>
      <c r="M163" s="72"/>
      <c r="N163" s="266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265"/>
      <c r="K164" s="87"/>
      <c r="L164" s="71"/>
      <c r="M164" s="72"/>
      <c r="N164" s="266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265"/>
      <c r="K165" s="87"/>
      <c r="L165" s="71"/>
      <c r="M165" s="147"/>
      <c r="N165" s="266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265"/>
      <c r="K166" s="87"/>
      <c r="L166" s="71"/>
      <c r="M166" s="147"/>
      <c r="N166" s="266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259"/>
      <c r="K167" s="85"/>
      <c r="L167" s="86"/>
      <c r="M167" s="72"/>
      <c r="N167" s="266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259"/>
      <c r="K168" s="85"/>
      <c r="L168" s="86"/>
      <c r="M168" s="72"/>
      <c r="N168" s="266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259"/>
      <c r="K169" s="85"/>
      <c r="L169" s="86"/>
      <c r="M169" s="72"/>
      <c r="N169" s="266"/>
      <c r="O169" s="74"/>
      <c r="P169" s="94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259"/>
      <c r="K170" s="85"/>
      <c r="L170" s="86"/>
      <c r="M170" s="72"/>
      <c r="N170" s="266"/>
      <c r="O170" s="74"/>
      <c r="P170" s="94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259"/>
      <c r="K171" s="85"/>
      <c r="L171" s="86"/>
      <c r="M171" s="72"/>
      <c r="N171" s="266"/>
      <c r="O171" s="74"/>
      <c r="P171" s="94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265"/>
      <c r="K172" s="87"/>
      <c r="L172" s="71"/>
      <c r="M172" s="72"/>
      <c r="N172" s="266"/>
      <c r="O172" s="74"/>
      <c r="P172" s="94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68"/>
      <c r="J173" s="265"/>
      <c r="K173" s="87"/>
      <c r="L173" s="71"/>
      <c r="M173" s="72"/>
      <c r="N173" s="266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68"/>
      <c r="J174" s="265"/>
      <c r="K174" s="87"/>
      <c r="L174" s="71"/>
      <c r="M174" s="72"/>
      <c r="N174" s="266"/>
      <c r="O174" s="74"/>
      <c r="P174" s="94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84"/>
      <c r="J175" s="259"/>
      <c r="K175" s="85"/>
      <c r="L175" s="86"/>
      <c r="M175" s="72"/>
      <c r="N175" s="266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259"/>
      <c r="K176" s="85"/>
      <c r="L176" s="86"/>
      <c r="M176" s="72"/>
      <c r="N176" s="266"/>
      <c r="O176" s="74"/>
      <c r="P176" s="94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259"/>
      <c r="K177" s="85"/>
      <c r="L177" s="86"/>
      <c r="M177" s="72"/>
      <c r="N177" s="266"/>
      <c r="O177" s="74"/>
      <c r="P177" s="94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265"/>
      <c r="K178" s="87"/>
      <c r="L178" s="71"/>
      <c r="M178" s="72"/>
      <c r="N178" s="266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265"/>
      <c r="K179" s="87"/>
      <c r="L179" s="71"/>
      <c r="M179" s="72"/>
      <c r="N179" s="266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259"/>
      <c r="K180" s="85"/>
      <c r="L180" s="86"/>
      <c r="M180" s="72"/>
      <c r="N180" s="266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259"/>
      <c r="K181" s="85"/>
      <c r="L181" s="86"/>
      <c r="M181" s="72"/>
      <c r="N181" s="266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259"/>
      <c r="K182" s="85"/>
      <c r="L182" s="86"/>
      <c r="M182" s="72"/>
      <c r="N182" s="266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265"/>
      <c r="K183" s="87"/>
      <c r="L183" s="71"/>
      <c r="M183" s="127"/>
      <c r="N183" s="260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265"/>
      <c r="K184" s="87"/>
      <c r="L184" s="71"/>
      <c r="M184" s="127"/>
      <c r="N184" s="260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265"/>
      <c r="K185" s="87"/>
      <c r="L185" s="71"/>
      <c r="M185" s="72"/>
      <c r="N185" s="266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259"/>
      <c r="K186" s="85"/>
      <c r="L186" s="86"/>
      <c r="M186" s="72"/>
      <c r="N186" s="266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259"/>
      <c r="K187" s="85"/>
      <c r="L187" s="86"/>
      <c r="M187" s="72"/>
      <c r="N187" s="266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259"/>
      <c r="K188" s="85"/>
      <c r="L188" s="86"/>
      <c r="M188" s="72"/>
      <c r="N188" s="266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259"/>
      <c r="K189" s="85"/>
      <c r="L189" s="86"/>
      <c r="M189" s="72"/>
      <c r="N189" s="266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259"/>
      <c r="K190" s="85"/>
      <c r="L190" s="86"/>
      <c r="M190" s="72"/>
      <c r="N190" s="266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265"/>
      <c r="K191" s="87"/>
      <c r="L191" s="71"/>
      <c r="M191" s="127"/>
      <c r="N191" s="260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259"/>
      <c r="K192" s="85"/>
      <c r="L192" s="86"/>
      <c r="M192" s="127"/>
      <c r="N192" s="260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259"/>
      <c r="K193" s="85"/>
      <c r="L193" s="86"/>
      <c r="M193" s="127"/>
      <c r="N193" s="260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259"/>
      <c r="K194" s="85"/>
      <c r="L194" s="86"/>
      <c r="M194" s="127"/>
      <c r="N194" s="260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259"/>
      <c r="K195" s="85"/>
      <c r="L195" s="86"/>
      <c r="M195" s="127"/>
      <c r="N195" s="260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259"/>
      <c r="K196" s="85"/>
      <c r="L196" s="86"/>
      <c r="M196" s="127"/>
      <c r="N196" s="260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259"/>
      <c r="K197" s="85"/>
      <c r="L197" s="86"/>
      <c r="M197" s="127"/>
      <c r="N197" s="260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259"/>
      <c r="K198" s="85"/>
      <c r="L198" s="86"/>
      <c r="M198" s="127"/>
      <c r="N198" s="260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259"/>
      <c r="K199" s="85"/>
      <c r="L199" s="86"/>
      <c r="M199" s="127"/>
      <c r="N199" s="260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259"/>
      <c r="K200" s="85"/>
      <c r="L200" s="86"/>
      <c r="M200" s="127"/>
      <c r="N200" s="260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259"/>
      <c r="K201" s="85"/>
      <c r="L201" s="86"/>
      <c r="M201" s="127"/>
      <c r="N201" s="260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259"/>
      <c r="K202" s="85"/>
      <c r="L202" s="86"/>
      <c r="M202" s="127"/>
      <c r="N202" s="260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259"/>
      <c r="K203" s="85"/>
      <c r="L203" s="86"/>
      <c r="M203" s="127"/>
      <c r="N203" s="260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259"/>
      <c r="K204" s="85"/>
      <c r="L204" s="86"/>
      <c r="M204" s="127"/>
      <c r="N204" s="260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259"/>
      <c r="K205" s="85"/>
      <c r="L205" s="86"/>
      <c r="M205" s="127"/>
      <c r="N205" s="260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259"/>
      <c r="K206" s="85"/>
      <c r="L206" s="86"/>
      <c r="M206" s="127"/>
      <c r="N206" s="260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259"/>
      <c r="K207" s="85"/>
      <c r="L207" s="86"/>
      <c r="M207" s="127"/>
      <c r="N207" s="260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259"/>
      <c r="K208" s="85"/>
      <c r="L208" s="86"/>
      <c r="M208" s="127"/>
      <c r="N208" s="260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259"/>
      <c r="K209" s="85"/>
      <c r="L209" s="86"/>
      <c r="M209" s="127"/>
      <c r="N209" s="260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259"/>
      <c r="K210" s="85"/>
      <c r="L210" s="86"/>
      <c r="M210" s="127"/>
      <c r="N210" s="260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259"/>
      <c r="K211" s="85"/>
      <c r="L211" s="86"/>
      <c r="M211" s="127"/>
      <c r="N211" s="260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259"/>
      <c r="K212" s="85"/>
      <c r="L212" s="86"/>
      <c r="M212" s="127"/>
      <c r="N212" s="260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259"/>
      <c r="K213" s="85"/>
      <c r="L213" s="86"/>
      <c r="M213" s="127"/>
      <c r="N213" s="260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259"/>
      <c r="K214" s="85"/>
      <c r="L214" s="86"/>
      <c r="M214" s="127"/>
      <c r="N214" s="260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259"/>
      <c r="K215" s="85"/>
      <c r="L215" s="86"/>
      <c r="M215" s="127"/>
      <c r="N215" s="260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259"/>
      <c r="K216" s="85"/>
      <c r="L216" s="86"/>
      <c r="M216" s="127"/>
      <c r="N216" s="260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259"/>
      <c r="K217" s="85"/>
      <c r="L217" s="86"/>
      <c r="M217" s="127"/>
      <c r="N217" s="260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259"/>
      <c r="K218" s="85"/>
      <c r="L218" s="86"/>
      <c r="M218" s="127"/>
      <c r="N218" s="260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259"/>
      <c r="K219" s="85"/>
      <c r="L219" s="86"/>
      <c r="M219" s="127"/>
      <c r="N219" s="260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259"/>
      <c r="K220" s="85"/>
      <c r="L220" s="86"/>
      <c r="M220" s="127"/>
      <c r="N220" s="260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259"/>
      <c r="K221" s="85"/>
      <c r="L221" s="86"/>
      <c r="M221" s="127"/>
      <c r="N221" s="260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259"/>
      <c r="K222" s="85"/>
      <c r="L222" s="86"/>
      <c r="M222" s="127"/>
      <c r="N222" s="260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259"/>
      <c r="K223" s="85"/>
      <c r="L223" s="86"/>
      <c r="M223" s="127"/>
      <c r="N223" s="260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259"/>
      <c r="K224" s="85"/>
      <c r="L224" s="86"/>
      <c r="M224" s="127"/>
      <c r="N224" s="260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259"/>
      <c r="K225" s="85"/>
      <c r="L225" s="86"/>
      <c r="M225" s="127"/>
      <c r="N225" s="260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259"/>
      <c r="K226" s="85"/>
      <c r="L226" s="86"/>
      <c r="M226" s="127"/>
      <c r="N226" s="260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259"/>
      <c r="K227" s="85"/>
      <c r="L227" s="86"/>
      <c r="M227" s="127"/>
      <c r="N227" s="260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259"/>
      <c r="K228" s="85"/>
      <c r="L228" s="86"/>
      <c r="M228" s="127"/>
      <c r="N228" s="260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259"/>
      <c r="K229" s="85"/>
      <c r="L229" s="86"/>
      <c r="M229" s="127"/>
      <c r="N229" s="260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259"/>
      <c r="K230" s="85"/>
      <c r="L230" s="86"/>
      <c r="M230" s="127"/>
      <c r="N230" s="260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259"/>
      <c r="K231" s="85"/>
      <c r="L231" s="86"/>
      <c r="M231" s="127"/>
      <c r="N231" s="260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259"/>
      <c r="K232" s="85"/>
      <c r="L232" s="86"/>
      <c r="M232" s="127"/>
      <c r="N232" s="260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259"/>
      <c r="K233" s="85"/>
      <c r="L233" s="86"/>
      <c r="M233" s="127"/>
      <c r="N233" s="260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259"/>
      <c r="K234" s="85"/>
      <c r="L234" s="86"/>
      <c r="M234" s="127"/>
      <c r="N234" s="260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259"/>
      <c r="K235" s="85"/>
      <c r="L235" s="86"/>
      <c r="M235" s="127"/>
      <c r="N235" s="260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259"/>
      <c r="K236" s="85"/>
      <c r="L236" s="86"/>
      <c r="M236" s="127"/>
      <c r="N236" s="260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259"/>
      <c r="K237" s="85"/>
      <c r="L237" s="86"/>
      <c r="M237" s="127"/>
      <c r="N237" s="260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259"/>
      <c r="K238" s="85"/>
      <c r="L238" s="86"/>
      <c r="M238" s="127"/>
      <c r="N238" s="260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259"/>
      <c r="K239" s="85"/>
      <c r="L239" s="86"/>
      <c r="M239" s="127"/>
      <c r="N239" s="260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259"/>
      <c r="K240" s="85"/>
      <c r="L240" s="86"/>
      <c r="M240" s="127"/>
      <c r="N240" s="260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259"/>
      <c r="K241" s="85"/>
      <c r="L241" s="86"/>
      <c r="M241" s="127"/>
      <c r="N241" s="260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259"/>
      <c r="K242" s="85"/>
      <c r="L242" s="86"/>
      <c r="M242" s="127"/>
      <c r="N242" s="260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259"/>
      <c r="K243" s="85"/>
      <c r="L243" s="86"/>
      <c r="M243" s="127"/>
      <c r="N243" s="260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259"/>
      <c r="K244" s="85"/>
      <c r="L244" s="86"/>
      <c r="M244" s="127"/>
      <c r="N244" s="260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259"/>
      <c r="K245" s="85"/>
      <c r="L245" s="86"/>
      <c r="M245" s="127"/>
      <c r="N245" s="260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259"/>
      <c r="K246" s="85"/>
      <c r="L246" s="86"/>
      <c r="M246" s="127"/>
      <c r="N246" s="260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259"/>
      <c r="K247" s="85"/>
      <c r="L247" s="86"/>
      <c r="M247" s="127"/>
      <c r="N247" s="260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259"/>
      <c r="K248" s="85"/>
      <c r="L248" s="86"/>
      <c r="M248" s="127"/>
      <c r="N248" s="260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259"/>
      <c r="K249" s="85"/>
      <c r="L249" s="86"/>
      <c r="M249" s="127"/>
      <c r="N249" s="260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259"/>
      <c r="K250" s="85"/>
      <c r="L250" s="86"/>
      <c r="M250" s="127"/>
      <c r="N250" s="260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259"/>
      <c r="K251" s="85"/>
      <c r="L251" s="86"/>
      <c r="M251" s="127"/>
      <c r="N251" s="260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259"/>
      <c r="K252" s="85"/>
      <c r="L252" s="86"/>
      <c r="M252" s="127"/>
      <c r="N252" s="260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259"/>
      <c r="K253" s="85"/>
      <c r="L253" s="86"/>
      <c r="M253" s="127"/>
      <c r="N253" s="260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259"/>
      <c r="K254" s="85"/>
      <c r="L254" s="86"/>
      <c r="M254" s="127"/>
      <c r="N254" s="260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259"/>
      <c r="K255" s="85"/>
      <c r="L255" s="86"/>
      <c r="M255" s="127"/>
      <c r="N255" s="260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259"/>
      <c r="K256" s="85"/>
      <c r="L256" s="86"/>
      <c r="M256" s="127"/>
      <c r="N256" s="260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259"/>
      <c r="K257" s="85"/>
      <c r="L257" s="86"/>
      <c r="M257" s="127"/>
      <c r="N257" s="260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259"/>
      <c r="K258" s="85"/>
      <c r="L258" s="86"/>
      <c r="M258" s="127"/>
      <c r="N258" s="260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259"/>
      <c r="K259" s="85"/>
      <c r="L259" s="86"/>
      <c r="M259" s="127"/>
      <c r="N259" s="260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259"/>
      <c r="K260" s="85"/>
      <c r="L260" s="86"/>
      <c r="M260" s="127"/>
      <c r="N260" s="260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259"/>
      <c r="K261" s="85"/>
      <c r="L261" s="86"/>
      <c r="M261" s="127"/>
      <c r="N261" s="260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259"/>
      <c r="K262" s="85"/>
      <c r="L262" s="86"/>
      <c r="M262" s="127"/>
      <c r="N262" s="260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259"/>
      <c r="K263" s="85"/>
      <c r="L263" s="86"/>
      <c r="M263" s="127"/>
      <c r="N263" s="260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259"/>
      <c r="K264" s="85"/>
      <c r="L264" s="86"/>
      <c r="M264" s="127"/>
      <c r="N264" s="260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259"/>
      <c r="K265" s="85"/>
      <c r="L265" s="86"/>
      <c r="M265" s="127"/>
      <c r="N265" s="260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259"/>
      <c r="K266" s="85"/>
      <c r="L266" s="86"/>
      <c r="M266" s="127"/>
      <c r="N266" s="260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259"/>
      <c r="K267" s="85"/>
      <c r="L267" s="86"/>
      <c r="M267" s="127"/>
      <c r="N267" s="260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259"/>
      <c r="K268" s="85"/>
      <c r="L268" s="86"/>
      <c r="M268" s="127"/>
      <c r="N268" s="260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259"/>
      <c r="K269" s="85"/>
      <c r="L269" s="86"/>
      <c r="M269" s="127"/>
      <c r="N269" s="260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259"/>
      <c r="K270" s="85"/>
      <c r="L270" s="86"/>
      <c r="M270" s="127"/>
      <c r="N270" s="260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259"/>
      <c r="K271" s="85"/>
      <c r="L271" s="86"/>
      <c r="M271" s="127"/>
      <c r="N271" s="260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259"/>
      <c r="K272" s="85"/>
      <c r="L272" s="86"/>
      <c r="M272" s="127"/>
      <c r="N272" s="260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259"/>
      <c r="K273" s="85"/>
      <c r="L273" s="86"/>
      <c r="M273" s="127"/>
      <c r="N273" s="260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259"/>
      <c r="K274" s="85"/>
      <c r="L274" s="86"/>
      <c r="M274" s="127"/>
      <c r="N274" s="260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259"/>
      <c r="K275" s="85"/>
      <c r="L275" s="86"/>
      <c r="M275" s="127"/>
      <c r="N275" s="260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259"/>
      <c r="K276" s="85"/>
      <c r="L276" s="86"/>
      <c r="M276" s="127"/>
      <c r="N276" s="260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259"/>
      <c r="K277" s="85"/>
      <c r="L277" s="86"/>
      <c r="M277" s="127"/>
      <c r="N277" s="260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259"/>
      <c r="K278" s="85"/>
      <c r="L278" s="86"/>
      <c r="M278" s="127"/>
      <c r="N278" s="260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259"/>
      <c r="K279" s="85"/>
      <c r="L279" s="86"/>
      <c r="M279" s="127"/>
      <c r="N279" s="260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259"/>
      <c r="K280" s="85"/>
      <c r="L280" s="86"/>
      <c r="M280" s="127"/>
      <c r="N280" s="260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259"/>
      <c r="K281" s="85"/>
      <c r="L281" s="86"/>
      <c r="M281" s="127"/>
      <c r="N281" s="260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259"/>
      <c r="K282" s="85"/>
      <c r="L282" s="86"/>
      <c r="M282" s="127"/>
      <c r="N282" s="260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259"/>
      <c r="K283" s="85"/>
      <c r="L283" s="86"/>
      <c r="M283" s="127"/>
      <c r="N283" s="260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259"/>
      <c r="K284" s="85"/>
      <c r="L284" s="86"/>
      <c r="M284" s="127"/>
      <c r="N284" s="260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259"/>
      <c r="K285" s="85"/>
      <c r="L285" s="86"/>
      <c r="M285" s="127"/>
      <c r="N285" s="260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259"/>
      <c r="K286" s="85"/>
      <c r="L286" s="86"/>
      <c r="M286" s="127"/>
      <c r="N286" s="260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259"/>
      <c r="K287" s="85"/>
      <c r="L287" s="86"/>
      <c r="M287" s="127"/>
      <c r="N287" s="260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259"/>
      <c r="K288" s="85"/>
      <c r="L288" s="86"/>
      <c r="M288" s="127"/>
      <c r="N288" s="260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259"/>
      <c r="K289" s="85"/>
      <c r="L289" s="86"/>
      <c r="M289" s="127"/>
      <c r="N289" s="260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259"/>
      <c r="K290" s="85"/>
      <c r="L290" s="86"/>
      <c r="M290" s="127"/>
      <c r="N290" s="260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259"/>
      <c r="K291" s="85"/>
      <c r="L291" s="86"/>
      <c r="M291" s="127"/>
      <c r="N291" s="260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259"/>
      <c r="K292" s="85"/>
      <c r="L292" s="86"/>
      <c r="M292" s="127"/>
      <c r="N292" s="260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259"/>
      <c r="K293" s="85"/>
      <c r="L293" s="86"/>
      <c r="M293" s="127"/>
      <c r="N293" s="260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259"/>
      <c r="K294" s="85"/>
      <c r="L294" s="86"/>
      <c r="M294" s="127"/>
      <c r="N294" s="260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259"/>
      <c r="K295" s="85"/>
      <c r="L295" s="86"/>
      <c r="M295" s="127"/>
      <c r="N295" s="260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259"/>
      <c r="K296" s="85"/>
      <c r="L296" s="86"/>
      <c r="M296" s="127"/>
      <c r="N296" s="260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259"/>
      <c r="K297" s="85"/>
      <c r="L297" s="86"/>
      <c r="M297" s="127"/>
      <c r="N297" s="260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259"/>
      <c r="K298" s="85"/>
      <c r="L298" s="86"/>
      <c r="M298" s="127"/>
      <c r="N298" s="260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259"/>
      <c r="K299" s="85"/>
      <c r="L299" s="86"/>
      <c r="M299" s="127"/>
      <c r="N299" s="260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259"/>
      <c r="K300" s="85"/>
      <c r="L300" s="86"/>
      <c r="M300" s="127"/>
      <c r="N300" s="260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259"/>
      <c r="K301" s="85"/>
      <c r="L301" s="86"/>
      <c r="M301" s="127"/>
      <c r="N301" s="260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259"/>
      <c r="K302" s="85"/>
      <c r="L302" s="86"/>
      <c r="M302" s="127"/>
      <c r="N302" s="260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259"/>
      <c r="K303" s="85"/>
      <c r="L303" s="86"/>
      <c r="M303" s="127"/>
      <c r="N303" s="260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259"/>
      <c r="K304" s="85"/>
      <c r="L304" s="86"/>
      <c r="M304" s="127"/>
      <c r="N304" s="260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259"/>
      <c r="K305" s="85"/>
      <c r="L305" s="86"/>
      <c r="M305" s="127"/>
      <c r="N305" s="260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259"/>
      <c r="K306" s="85"/>
      <c r="L306" s="86"/>
      <c r="M306" s="127"/>
      <c r="N306" s="260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259"/>
      <c r="K307" s="85"/>
      <c r="L307" s="86"/>
      <c r="M307" s="127"/>
      <c r="N307" s="260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259"/>
      <c r="K308" s="85"/>
      <c r="L308" s="86"/>
      <c r="M308" s="127"/>
      <c r="N308" s="260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259"/>
      <c r="K309" s="85"/>
      <c r="L309" s="86"/>
      <c r="M309" s="127"/>
      <c r="N309" s="260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259"/>
      <c r="K310" s="85"/>
      <c r="L310" s="86"/>
      <c r="M310" s="127"/>
      <c r="N310" s="260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259"/>
      <c r="K311" s="85"/>
      <c r="L311" s="86"/>
      <c r="M311" s="127"/>
      <c r="N311" s="260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259"/>
      <c r="K312" s="85"/>
      <c r="L312" s="86"/>
      <c r="M312" s="127"/>
      <c r="N312" s="260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259"/>
      <c r="K313" s="85"/>
      <c r="L313" s="86"/>
      <c r="M313" s="127"/>
      <c r="N313" s="260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259"/>
      <c r="K314" s="85"/>
      <c r="L314" s="86"/>
      <c r="M314" s="127"/>
      <c r="N314" s="260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259"/>
      <c r="K315" s="85"/>
      <c r="L315" s="86"/>
      <c r="M315" s="127"/>
      <c r="N315" s="260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259"/>
      <c r="K316" s="85"/>
      <c r="L316" s="86"/>
      <c r="M316" s="127"/>
      <c r="N316" s="260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259"/>
      <c r="K317" s="85"/>
      <c r="L317" s="86"/>
      <c r="M317" s="127"/>
      <c r="N317" s="260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259"/>
      <c r="K318" s="85"/>
      <c r="L318" s="86"/>
      <c r="M318" s="127"/>
      <c r="N318" s="260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259"/>
      <c r="K319" s="85"/>
      <c r="L319" s="86"/>
      <c r="M319" s="127"/>
      <c r="N319" s="260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259"/>
      <c r="K320" s="85"/>
      <c r="L320" s="86"/>
      <c r="M320" s="127"/>
      <c r="N320" s="260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259"/>
      <c r="K321" s="85"/>
      <c r="L321" s="86"/>
      <c r="M321" s="127"/>
      <c r="N321" s="260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259"/>
      <c r="K322" s="85"/>
      <c r="L322" s="86"/>
      <c r="M322" s="127"/>
      <c r="N322" s="260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259"/>
      <c r="K323" s="85"/>
      <c r="L323" s="86"/>
      <c r="M323" s="127"/>
      <c r="N323" s="260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259"/>
      <c r="K324" s="85"/>
      <c r="L324" s="86"/>
      <c r="M324" s="127"/>
      <c r="N324" s="260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259"/>
      <c r="K325" s="85"/>
      <c r="L325" s="86"/>
      <c r="M325" s="127"/>
      <c r="N325" s="260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259"/>
      <c r="K326" s="85"/>
      <c r="L326" s="86"/>
      <c r="M326" s="127"/>
      <c r="N326" s="260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259"/>
      <c r="K327" s="85"/>
      <c r="L327" s="86"/>
      <c r="M327" s="127"/>
      <c r="N327" s="260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259"/>
      <c r="K328" s="85"/>
      <c r="L328" s="86"/>
      <c r="M328" s="127"/>
      <c r="N328" s="260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259"/>
      <c r="K329" s="85"/>
      <c r="L329" s="86"/>
      <c r="M329" s="127"/>
      <c r="N329" s="260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259"/>
      <c r="K330" s="85"/>
      <c r="L330" s="86"/>
      <c r="M330" s="127"/>
      <c r="N330" s="260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259"/>
      <c r="K331" s="85"/>
      <c r="L331" s="86"/>
      <c r="M331" s="127"/>
      <c r="N331" s="260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259"/>
      <c r="K332" s="85"/>
      <c r="L332" s="86"/>
      <c r="M332" s="127"/>
      <c r="N332" s="260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259"/>
      <c r="K333" s="85"/>
      <c r="L333" s="86"/>
      <c r="M333" s="127"/>
      <c r="N333" s="260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259"/>
      <c r="K334" s="85"/>
      <c r="L334" s="86"/>
      <c r="M334" s="127"/>
      <c r="N334" s="260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259"/>
      <c r="K335" s="85"/>
      <c r="L335" s="86"/>
      <c r="M335" s="127"/>
      <c r="N335" s="260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259"/>
      <c r="K336" s="85"/>
      <c r="L336" s="86"/>
      <c r="M336" s="127"/>
      <c r="N336" s="260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259"/>
      <c r="K337" s="85"/>
      <c r="L337" s="86"/>
      <c r="M337" s="127"/>
      <c r="N337" s="260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259"/>
      <c r="K338" s="85"/>
      <c r="L338" s="86"/>
      <c r="M338" s="127"/>
      <c r="N338" s="260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259"/>
      <c r="K339" s="85"/>
      <c r="L339" s="86"/>
      <c r="M339" s="127"/>
      <c r="N339" s="260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259"/>
      <c r="K340" s="85"/>
      <c r="L340" s="86"/>
      <c r="M340" s="127"/>
      <c r="N340" s="260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259"/>
      <c r="K341" s="85"/>
      <c r="L341" s="86"/>
      <c r="M341" s="127"/>
      <c r="N341" s="260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259"/>
      <c r="K342" s="85"/>
      <c r="L342" s="86"/>
      <c r="M342" s="127"/>
      <c r="N342" s="260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259"/>
      <c r="K343" s="85"/>
      <c r="L343" s="86"/>
      <c r="M343" s="127"/>
      <c r="N343" s="260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259"/>
      <c r="K344" s="85"/>
      <c r="L344" s="86"/>
      <c r="M344" s="127"/>
      <c r="N344" s="260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259"/>
      <c r="K345" s="85"/>
      <c r="L345" s="86"/>
      <c r="M345" s="127"/>
      <c r="N345" s="260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259"/>
      <c r="K346" s="85"/>
      <c r="L346" s="86"/>
      <c r="M346" s="127"/>
      <c r="N346" s="260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259"/>
      <c r="K347" s="85"/>
      <c r="L347" s="86"/>
      <c r="M347" s="127"/>
      <c r="N347" s="260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259"/>
      <c r="K348" s="85"/>
      <c r="L348" s="86"/>
      <c r="M348" s="127"/>
      <c r="N348" s="260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259"/>
      <c r="K349" s="85"/>
      <c r="L349" s="86"/>
      <c r="M349" s="127"/>
      <c r="N349" s="260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259"/>
      <c r="K350" s="85"/>
      <c r="L350" s="86"/>
      <c r="M350" s="127"/>
      <c r="N350" s="260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259"/>
      <c r="K351" s="85"/>
      <c r="L351" s="86"/>
      <c r="M351" s="127"/>
      <c r="N351" s="260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259"/>
      <c r="K352" s="85"/>
      <c r="L352" s="86"/>
      <c r="M352" s="127"/>
      <c r="N352" s="260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259"/>
      <c r="K353" s="85"/>
      <c r="L353" s="86"/>
      <c r="M353" s="127"/>
      <c r="N353" s="260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259"/>
      <c r="K354" s="85"/>
      <c r="L354" s="86"/>
      <c r="M354" s="127"/>
      <c r="N354" s="260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259"/>
      <c r="K355" s="85"/>
      <c r="L355" s="86"/>
      <c r="M355" s="127"/>
      <c r="N355" s="260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259"/>
      <c r="K356" s="85"/>
      <c r="L356" s="86"/>
      <c r="M356" s="127"/>
      <c r="N356" s="260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259"/>
      <c r="K357" s="85"/>
      <c r="L357" s="86"/>
      <c r="M357" s="127"/>
      <c r="N357" s="260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259"/>
      <c r="K358" s="85"/>
      <c r="L358" s="86"/>
      <c r="M358" s="127"/>
      <c r="N358" s="260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259"/>
      <c r="K359" s="85"/>
      <c r="L359" s="86"/>
      <c r="M359" s="127"/>
      <c r="N359" s="260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259"/>
      <c r="K360" s="85"/>
      <c r="L360" s="86"/>
      <c r="M360" s="127"/>
      <c r="N360" s="260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259"/>
      <c r="K361" s="85"/>
      <c r="L361" s="86"/>
      <c r="M361" s="127"/>
      <c r="N361" s="260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259"/>
      <c r="K362" s="85"/>
      <c r="L362" s="86"/>
      <c r="M362" s="127"/>
      <c r="N362" s="260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259"/>
      <c r="K363" s="85"/>
      <c r="L363" s="86"/>
      <c r="M363" s="127"/>
      <c r="N363" s="260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259"/>
      <c r="K364" s="85"/>
      <c r="L364" s="86"/>
      <c r="M364" s="127"/>
      <c r="N364" s="260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259"/>
      <c r="K365" s="85"/>
      <c r="L365" s="86"/>
      <c r="M365" s="127"/>
      <c r="N365" s="260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259"/>
      <c r="K366" s="85"/>
      <c r="L366" s="86"/>
      <c r="M366" s="127"/>
      <c r="N366" s="260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259"/>
      <c r="K367" s="85"/>
      <c r="L367" s="86"/>
      <c r="M367" s="127"/>
      <c r="N367" s="260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259"/>
      <c r="K368" s="85"/>
      <c r="L368" s="86"/>
      <c r="M368" s="127"/>
      <c r="N368" s="260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259"/>
      <c r="K369" s="85"/>
      <c r="L369" s="86"/>
      <c r="M369" s="127"/>
      <c r="N369" s="260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259"/>
      <c r="K370" s="85"/>
      <c r="L370" s="86"/>
      <c r="M370" s="127"/>
      <c r="N370" s="260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259"/>
      <c r="K371" s="85"/>
      <c r="L371" s="86"/>
      <c r="M371" s="127"/>
      <c r="N371" s="260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259"/>
      <c r="K372" s="85"/>
      <c r="L372" s="86"/>
      <c r="M372" s="127"/>
      <c r="N372" s="260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259"/>
      <c r="K373" s="85"/>
      <c r="L373" s="86"/>
      <c r="M373" s="127"/>
      <c r="N373" s="260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259"/>
      <c r="K374" s="85"/>
      <c r="L374" s="86"/>
      <c r="M374" s="127"/>
      <c r="N374" s="260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259"/>
      <c r="K375" s="85"/>
      <c r="L375" s="86"/>
      <c r="M375" s="127"/>
      <c r="N375" s="260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259"/>
      <c r="K376" s="85"/>
      <c r="L376" s="86"/>
      <c r="M376" s="127"/>
      <c r="N376" s="260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259"/>
      <c r="K377" s="85"/>
      <c r="L377" s="86"/>
      <c r="M377" s="127"/>
      <c r="N377" s="260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259"/>
      <c r="K378" s="85"/>
      <c r="L378" s="86"/>
      <c r="M378" s="127"/>
      <c r="N378" s="260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259"/>
      <c r="K379" s="85"/>
      <c r="L379" s="86"/>
      <c r="M379" s="127"/>
      <c r="N379" s="260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259"/>
      <c r="K380" s="85"/>
      <c r="L380" s="86"/>
      <c r="M380" s="127"/>
      <c r="N380" s="260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259"/>
      <c r="K381" s="85"/>
      <c r="L381" s="86"/>
      <c r="M381" s="127"/>
      <c r="N381" s="260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259"/>
      <c r="K382" s="85"/>
      <c r="L382" s="86"/>
      <c r="M382" s="127"/>
      <c r="N382" s="260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259"/>
      <c r="K383" s="85"/>
      <c r="L383" s="86"/>
      <c r="M383" s="127"/>
      <c r="N383" s="260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259"/>
      <c r="K384" s="85"/>
      <c r="L384" s="86"/>
      <c r="M384" s="127"/>
      <c r="N384" s="260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259"/>
      <c r="K385" s="85"/>
      <c r="L385" s="86"/>
      <c r="M385" s="127"/>
      <c r="N385" s="260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259"/>
      <c r="K386" s="85"/>
      <c r="L386" s="86"/>
      <c r="M386" s="127"/>
      <c r="N386" s="260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259"/>
      <c r="K387" s="85"/>
      <c r="L387" s="86"/>
      <c r="M387" s="127"/>
      <c r="N387" s="260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259"/>
      <c r="K388" s="85"/>
      <c r="L388" s="86"/>
      <c r="M388" s="127"/>
      <c r="N388" s="260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259"/>
      <c r="K389" s="85"/>
      <c r="L389" s="86"/>
      <c r="M389" s="127"/>
      <c r="N389" s="260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259"/>
      <c r="K390" s="85"/>
      <c r="L390" s="86"/>
      <c r="M390" s="127"/>
      <c r="N390" s="260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259"/>
      <c r="K391" s="85"/>
      <c r="L391" s="86"/>
      <c r="M391" s="127"/>
      <c r="N391" s="260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259"/>
      <c r="K392" s="85"/>
      <c r="L392" s="86"/>
      <c r="M392" s="127"/>
      <c r="N392" s="260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259"/>
      <c r="K393" s="85"/>
      <c r="L393" s="86"/>
      <c r="M393" s="127"/>
      <c r="N393" s="260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259"/>
      <c r="K394" s="85"/>
      <c r="L394" s="86"/>
      <c r="M394" s="127"/>
      <c r="N394" s="260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259"/>
      <c r="K395" s="85"/>
      <c r="L395" s="86"/>
      <c r="M395" s="127"/>
      <c r="N395" s="260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259"/>
      <c r="K396" s="85"/>
      <c r="L396" s="86"/>
      <c r="M396" s="127"/>
      <c r="N396" s="260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259"/>
      <c r="K397" s="85"/>
      <c r="L397" s="86"/>
      <c r="M397" s="127"/>
      <c r="N397" s="260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259"/>
      <c r="K398" s="85"/>
      <c r="L398" s="86"/>
      <c r="M398" s="127"/>
      <c r="N398" s="260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259"/>
      <c r="K399" s="85"/>
      <c r="L399" s="86"/>
      <c r="M399" s="127"/>
      <c r="N399" s="260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259"/>
      <c r="K400" s="85"/>
      <c r="L400" s="86"/>
      <c r="M400" s="127"/>
      <c r="N400" s="260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259"/>
      <c r="K401" s="85"/>
      <c r="L401" s="86"/>
      <c r="M401" s="127"/>
      <c r="N401" s="260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259"/>
      <c r="K402" s="85"/>
      <c r="L402" s="86"/>
      <c r="M402" s="127"/>
      <c r="N402" s="260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259"/>
      <c r="K403" s="85"/>
      <c r="L403" s="86"/>
      <c r="M403" s="127"/>
      <c r="N403" s="260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259"/>
      <c r="K404" s="85"/>
      <c r="L404" s="86"/>
      <c r="M404" s="127"/>
      <c r="N404" s="260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259"/>
      <c r="K405" s="85"/>
      <c r="L405" s="86"/>
      <c r="M405" s="127"/>
      <c r="N405" s="260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259"/>
      <c r="K406" s="85"/>
      <c r="L406" s="86"/>
      <c r="M406" s="127"/>
      <c r="N406" s="260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259"/>
      <c r="K407" s="85"/>
      <c r="L407" s="86"/>
      <c r="M407" s="127"/>
      <c r="N407" s="260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259"/>
      <c r="K408" s="85"/>
      <c r="L408" s="86"/>
      <c r="M408" s="127"/>
      <c r="N408" s="260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259"/>
      <c r="K409" s="85"/>
      <c r="L409" s="86"/>
      <c r="M409" s="127"/>
      <c r="N409" s="260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259"/>
      <c r="K410" s="85"/>
      <c r="L410" s="86"/>
      <c r="M410" s="127"/>
      <c r="N410" s="260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259"/>
      <c r="K411" s="85"/>
      <c r="L411" s="86"/>
      <c r="M411" s="127"/>
      <c r="N411" s="260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259"/>
      <c r="K412" s="85"/>
      <c r="L412" s="86"/>
      <c r="M412" s="127"/>
      <c r="N412" s="260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259"/>
      <c r="K413" s="85"/>
      <c r="L413" s="86"/>
      <c r="M413" s="127"/>
      <c r="N413" s="260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259"/>
      <c r="K414" s="85"/>
      <c r="L414" s="86"/>
      <c r="M414" s="127"/>
      <c r="N414" s="260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259"/>
      <c r="K415" s="85"/>
      <c r="L415" s="86"/>
      <c r="M415" s="127"/>
      <c r="N415" s="260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259"/>
      <c r="K416" s="85"/>
      <c r="L416" s="86"/>
      <c r="M416" s="127"/>
      <c r="N416" s="260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259"/>
      <c r="K417" s="85"/>
      <c r="L417" s="86"/>
      <c r="M417" s="127"/>
      <c r="N417" s="260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259"/>
      <c r="K418" s="133"/>
      <c r="L418" s="134"/>
      <c r="M418" s="135"/>
      <c r="N418" s="260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259"/>
      <c r="K419" s="133"/>
      <c r="L419" s="85"/>
      <c r="M419" s="135"/>
      <c r="N419" s="260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259"/>
      <c r="K420" s="133"/>
      <c r="L420" s="85"/>
      <c r="M420" s="135"/>
      <c r="N420" s="260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259"/>
      <c r="K421" s="133"/>
      <c r="L421" s="85"/>
      <c r="M421" s="135"/>
      <c r="N421" s="260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259"/>
      <c r="K422" s="133"/>
      <c r="L422" s="85"/>
      <c r="M422" s="135"/>
      <c r="N422" s="260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259"/>
      <c r="K423" s="133"/>
      <c r="L423" s="85"/>
      <c r="M423" s="135"/>
      <c r="N423" s="260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259"/>
      <c r="K424" s="133"/>
      <c r="L424" s="85"/>
      <c r="M424" s="135"/>
      <c r="N424" s="260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259"/>
      <c r="K425" s="133"/>
      <c r="L425" s="85"/>
      <c r="M425" s="135"/>
      <c r="N425" s="260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259"/>
      <c r="K426" s="133"/>
      <c r="L426" s="85"/>
      <c r="M426" s="135"/>
      <c r="N426" s="260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259"/>
      <c r="K427" s="133"/>
      <c r="L427" s="85"/>
      <c r="M427" s="135"/>
      <c r="N427" s="260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259"/>
      <c r="K428" s="133"/>
      <c r="L428" s="85"/>
      <c r="M428" s="135"/>
      <c r="N428" s="260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259"/>
      <c r="K429" s="133"/>
      <c r="L429" s="85"/>
      <c r="M429" s="135"/>
      <c r="N429" s="260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259"/>
      <c r="K430" s="133"/>
      <c r="L430" s="85"/>
      <c r="M430" s="135"/>
      <c r="N430" s="260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259"/>
      <c r="K431" s="133"/>
      <c r="L431" s="85"/>
      <c r="M431" s="135"/>
      <c r="N431" s="260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259"/>
      <c r="K432" s="133"/>
      <c r="L432" s="85"/>
      <c r="M432" s="135"/>
      <c r="N432" s="260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259"/>
      <c r="K433" s="133"/>
      <c r="L433" s="85"/>
      <c r="M433" s="135"/>
      <c r="N433" s="260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259"/>
      <c r="K434" s="133"/>
      <c r="L434" s="85"/>
      <c r="M434" s="135"/>
      <c r="N434" s="260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259"/>
      <c r="K435" s="133"/>
      <c r="L435" s="85"/>
      <c r="M435" s="135"/>
      <c r="N435" s="260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259"/>
      <c r="K436" s="133"/>
      <c r="L436" s="85"/>
      <c r="M436" s="135"/>
      <c r="N436" s="260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259"/>
      <c r="K437" s="133"/>
      <c r="L437" s="85"/>
      <c r="M437" s="135"/>
      <c r="N437" s="260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259"/>
      <c r="K438" s="133"/>
      <c r="L438" s="85"/>
      <c r="M438" s="135"/>
      <c r="N438" s="260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259"/>
      <c r="K439" s="133"/>
      <c r="L439" s="85"/>
      <c r="M439" s="135"/>
      <c r="N439" s="260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259"/>
      <c r="K440" s="133"/>
      <c r="L440" s="85"/>
      <c r="M440" s="135"/>
      <c r="N440" s="260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259"/>
      <c r="K441" s="133"/>
      <c r="L441" s="85"/>
      <c r="M441" s="135"/>
      <c r="N441" s="260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259"/>
      <c r="K442" s="133"/>
      <c r="L442" s="85"/>
      <c r="M442" s="135"/>
      <c r="N442" s="260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259"/>
      <c r="K443" s="133"/>
      <c r="L443" s="85"/>
      <c r="M443" s="135"/>
      <c r="N443" s="260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259"/>
      <c r="K444" s="133"/>
      <c r="L444" s="85"/>
      <c r="M444" s="135"/>
      <c r="N444" s="260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259"/>
      <c r="K445" s="133"/>
      <c r="L445" s="85"/>
      <c r="M445" s="135"/>
      <c r="N445" s="260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259"/>
      <c r="K446" s="133"/>
      <c r="L446" s="85"/>
      <c r="M446" s="135"/>
      <c r="N446" s="260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259"/>
      <c r="K447" s="133"/>
      <c r="L447" s="85"/>
      <c r="M447" s="135"/>
      <c r="N447" s="260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259"/>
      <c r="K448" s="133"/>
      <c r="L448" s="85"/>
      <c r="M448" s="135"/>
      <c r="N448" s="260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259"/>
      <c r="K449" s="133"/>
      <c r="L449" s="85"/>
      <c r="M449" s="135"/>
      <c r="N449" s="260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259"/>
      <c r="K450" s="133"/>
      <c r="L450" s="85"/>
      <c r="M450" s="135"/>
      <c r="N450" s="260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259"/>
      <c r="K451" s="133"/>
      <c r="L451" s="85"/>
      <c r="M451" s="135"/>
      <c r="N451" s="260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259"/>
      <c r="K452" s="133"/>
      <c r="L452" s="85"/>
      <c r="M452" s="135"/>
      <c r="N452" s="260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259"/>
      <c r="K453" s="133"/>
      <c r="L453" s="85"/>
      <c r="M453" s="135"/>
      <c r="N453" s="260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259"/>
      <c r="K454" s="133"/>
      <c r="L454" s="85"/>
      <c r="M454" s="135"/>
      <c r="N454" s="260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259"/>
      <c r="K455" s="133"/>
      <c r="L455" s="85"/>
      <c r="M455" s="135"/>
      <c r="N455" s="260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259"/>
      <c r="K456" s="133"/>
      <c r="L456" s="85"/>
      <c r="M456" s="135"/>
      <c r="N456" s="260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259"/>
      <c r="K457" s="133"/>
      <c r="L457" s="85"/>
      <c r="M457" s="135"/>
      <c r="N457" s="260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259"/>
      <c r="K458" s="133"/>
      <c r="L458" s="85"/>
      <c r="M458" s="135"/>
      <c r="N458" s="260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259"/>
      <c r="K459" s="133"/>
      <c r="L459" s="85"/>
      <c r="M459" s="135"/>
      <c r="N459" s="260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259"/>
      <c r="K460" s="133"/>
      <c r="L460" s="85"/>
      <c r="M460" s="135"/>
      <c r="N460" s="260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259"/>
      <c r="K461" s="133"/>
      <c r="L461" s="85"/>
      <c r="M461" s="135"/>
      <c r="N461" s="260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259"/>
      <c r="K462" s="133"/>
      <c r="L462" s="85"/>
      <c r="M462" s="135"/>
      <c r="N462" s="260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259"/>
      <c r="K463" s="133"/>
      <c r="L463" s="85"/>
      <c r="M463" s="135"/>
      <c r="N463" s="260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259"/>
      <c r="K464" s="133"/>
      <c r="L464" s="85"/>
      <c r="M464" s="135"/>
      <c r="N464" s="260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259"/>
      <c r="K465" s="133"/>
      <c r="L465" s="85"/>
      <c r="M465" s="135"/>
      <c r="N465" s="260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259"/>
      <c r="K466" s="133"/>
      <c r="L466" s="85"/>
      <c r="M466" s="135"/>
      <c r="N466" s="260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259"/>
      <c r="K467" s="133"/>
      <c r="L467" s="85"/>
      <c r="M467" s="135"/>
      <c r="N467" s="260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259"/>
      <c r="K468" s="133"/>
      <c r="L468" s="85"/>
      <c r="M468" s="135"/>
      <c r="N468" s="260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259"/>
      <c r="K469" s="133"/>
      <c r="L469" s="85"/>
      <c r="M469" s="135"/>
      <c r="N469" s="260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259"/>
      <c r="K470" s="133"/>
      <c r="L470" s="85"/>
      <c r="M470" s="135"/>
      <c r="N470" s="260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259"/>
      <c r="K471" s="133"/>
      <c r="L471" s="85"/>
      <c r="M471" s="135"/>
      <c r="N471" s="260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259"/>
      <c r="K472" s="133"/>
      <c r="L472" s="85"/>
      <c r="M472" s="135"/>
      <c r="N472" s="260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259"/>
      <c r="K473" s="133"/>
      <c r="L473" s="85"/>
      <c r="M473" s="135"/>
      <c r="N473" s="260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259"/>
      <c r="K474" s="133"/>
      <c r="L474" s="85"/>
      <c r="M474" s="135"/>
      <c r="N474" s="260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259"/>
      <c r="K475" s="133"/>
      <c r="L475" s="85"/>
      <c r="M475" s="135"/>
      <c r="N475" s="260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259"/>
      <c r="K476" s="133"/>
      <c r="L476" s="85"/>
      <c r="M476" s="135"/>
      <c r="N476" s="260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259"/>
      <c r="K477" s="133"/>
      <c r="L477" s="85"/>
      <c r="M477" s="135"/>
      <c r="N477" s="260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259"/>
      <c r="K478" s="133"/>
      <c r="L478" s="85"/>
      <c r="M478" s="135"/>
      <c r="N478" s="260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259"/>
      <c r="K479" s="133"/>
      <c r="L479" s="85"/>
      <c r="M479" s="135"/>
      <c r="N479" s="260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259"/>
      <c r="K480" s="133"/>
      <c r="L480" s="85"/>
      <c r="M480" s="135"/>
      <c r="N480" s="260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259"/>
      <c r="K481" s="133"/>
      <c r="L481" s="85"/>
      <c r="M481" s="135"/>
      <c r="N481" s="260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259"/>
      <c r="K482" s="133"/>
      <c r="L482" s="85"/>
      <c r="M482" s="135"/>
      <c r="N482" s="260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259"/>
      <c r="K483" s="133"/>
      <c r="L483" s="85"/>
      <c r="M483" s="135"/>
      <c r="N483" s="260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259"/>
      <c r="K484" s="133"/>
      <c r="L484" s="85"/>
      <c r="M484" s="135"/>
      <c r="N484" s="260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259"/>
      <c r="K485" s="133"/>
      <c r="L485" s="85"/>
      <c r="M485" s="135"/>
      <c r="N485" s="260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259"/>
      <c r="K486" s="133"/>
      <c r="L486" s="85"/>
      <c r="M486" s="135"/>
      <c r="N486" s="260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259"/>
      <c r="K487" s="133"/>
      <c r="L487" s="85"/>
      <c r="M487" s="135"/>
      <c r="N487" s="260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259"/>
      <c r="K488" s="133"/>
      <c r="L488" s="85"/>
      <c r="M488" s="135"/>
      <c r="N488" s="260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259"/>
      <c r="K489" s="133"/>
      <c r="L489" s="85"/>
      <c r="M489" s="135"/>
      <c r="N489" s="260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259"/>
      <c r="K490" s="133"/>
      <c r="L490" s="85"/>
      <c r="M490" s="135"/>
      <c r="N490" s="260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259"/>
      <c r="K491" s="133"/>
      <c r="L491" s="85"/>
      <c r="M491" s="135"/>
      <c r="N491" s="260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259"/>
      <c r="K492" s="133"/>
      <c r="L492" s="85"/>
      <c r="M492" s="135"/>
      <c r="N492" s="260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259"/>
      <c r="K493" s="133"/>
      <c r="L493" s="85"/>
      <c r="M493" s="135"/>
      <c r="N493" s="260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259"/>
      <c r="K494" s="133"/>
      <c r="L494" s="85"/>
      <c r="M494" s="135"/>
      <c r="N494" s="260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259"/>
      <c r="K495" s="133"/>
      <c r="L495" s="85"/>
      <c r="M495" s="135"/>
      <c r="N495" s="260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259"/>
      <c r="K496" s="133"/>
      <c r="L496" s="85"/>
      <c r="M496" s="135"/>
      <c r="N496" s="260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259"/>
      <c r="K497" s="133"/>
      <c r="L497" s="85"/>
      <c r="M497" s="135"/>
      <c r="N497" s="260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259"/>
      <c r="K498" s="133"/>
      <c r="L498" s="85"/>
      <c r="M498" s="135"/>
      <c r="N498" s="260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259"/>
      <c r="K499" s="133"/>
      <c r="L499" s="85"/>
      <c r="M499" s="135"/>
      <c r="N499" s="260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259"/>
      <c r="K500" s="133"/>
      <c r="L500" s="85"/>
      <c r="M500" s="135"/>
      <c r="N500" s="260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259"/>
      <c r="K501" s="133"/>
      <c r="L501" s="85"/>
      <c r="M501" s="135"/>
      <c r="N501" s="260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259"/>
      <c r="K502" s="133"/>
      <c r="L502" s="85"/>
      <c r="M502" s="135"/>
      <c r="N502" s="260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259"/>
      <c r="K503" s="133"/>
      <c r="L503" s="85"/>
      <c r="M503" s="135"/>
      <c r="N503" s="260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259"/>
      <c r="K504" s="133"/>
      <c r="L504" s="85"/>
      <c r="M504" s="135"/>
      <c r="N504" s="260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259"/>
      <c r="K505" s="133"/>
      <c r="L505" s="85"/>
      <c r="M505" s="135"/>
      <c r="N505" s="260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259"/>
      <c r="K506" s="133"/>
      <c r="L506" s="85"/>
      <c r="M506" s="135"/>
      <c r="N506" s="260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259"/>
      <c r="K507" s="133"/>
      <c r="L507" s="85"/>
      <c r="M507" s="135"/>
      <c r="N507" s="260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259"/>
      <c r="K508" s="133"/>
      <c r="L508" s="85"/>
      <c r="M508" s="135"/>
      <c r="N508" s="260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259"/>
      <c r="K509" s="133"/>
      <c r="L509" s="85"/>
      <c r="M509" s="135"/>
      <c r="N509" s="260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259"/>
      <c r="K510" s="133"/>
      <c r="L510" s="85"/>
      <c r="M510" s="135"/>
      <c r="N510" s="260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259"/>
      <c r="K511" s="133"/>
      <c r="L511" s="85"/>
      <c r="M511" s="135"/>
      <c r="N511" s="260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259"/>
      <c r="K512" s="133"/>
      <c r="L512" s="85"/>
      <c r="M512" s="135"/>
      <c r="N512" s="260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259"/>
      <c r="K513" s="133"/>
      <c r="L513" s="85"/>
      <c r="M513" s="135"/>
      <c r="N513" s="260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259"/>
      <c r="K514" s="133"/>
      <c r="L514" s="85"/>
      <c r="M514" s="135"/>
      <c r="N514" s="260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259"/>
      <c r="K515" s="133"/>
      <c r="L515" s="85"/>
      <c r="M515" s="135"/>
      <c r="N515" s="260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259"/>
      <c r="K516" s="133"/>
      <c r="L516" s="85"/>
      <c r="M516" s="135"/>
      <c r="N516" s="260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259"/>
      <c r="K517" s="133"/>
      <c r="L517" s="85"/>
      <c r="M517" s="135"/>
      <c r="N517" s="260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259"/>
      <c r="K518" s="133"/>
      <c r="L518" s="85"/>
      <c r="M518" s="135"/>
      <c r="N518" s="260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259"/>
      <c r="K519" s="133"/>
      <c r="L519" s="85"/>
      <c r="M519" s="135"/>
      <c r="N519" s="260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259"/>
      <c r="K520" s="133"/>
      <c r="L520" s="85"/>
      <c r="M520" s="135"/>
      <c r="N520" s="260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259"/>
      <c r="K521" s="133"/>
      <c r="L521" s="85"/>
      <c r="M521" s="135"/>
      <c r="N521" s="260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259"/>
      <c r="K522" s="133"/>
      <c r="L522" s="85"/>
      <c r="M522" s="135"/>
      <c r="N522" s="260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259"/>
      <c r="K523" s="133"/>
      <c r="L523" s="85"/>
      <c r="M523" s="135"/>
      <c r="N523" s="260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259"/>
      <c r="K524" s="133"/>
      <c r="L524" s="85"/>
      <c r="M524" s="135"/>
      <c r="N524" s="260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259"/>
      <c r="K525" s="133"/>
      <c r="L525" s="85"/>
      <c r="M525" s="135"/>
      <c r="N525" s="260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259"/>
      <c r="K526" s="133"/>
      <c r="L526" s="85"/>
      <c r="M526" s="135"/>
      <c r="N526" s="260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259"/>
      <c r="K527" s="133"/>
      <c r="L527" s="85"/>
      <c r="M527" s="135"/>
      <c r="N527" s="260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259"/>
      <c r="K528" s="133"/>
      <c r="L528" s="85"/>
      <c r="M528" s="135"/>
      <c r="N528" s="260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259"/>
      <c r="K529" s="133"/>
      <c r="L529" s="85"/>
      <c r="M529" s="135"/>
      <c r="N529" s="260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259"/>
      <c r="K530" s="133"/>
      <c r="L530" s="85"/>
      <c r="M530" s="135"/>
      <c r="N530" s="260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259"/>
      <c r="K531" s="133"/>
      <c r="L531" s="85"/>
      <c r="M531" s="135"/>
      <c r="N531" s="260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259"/>
      <c r="K532" s="133"/>
      <c r="L532" s="85"/>
      <c r="M532" s="135"/>
      <c r="N532" s="260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259"/>
      <c r="K533" s="133"/>
      <c r="L533" s="85"/>
      <c r="M533" s="135"/>
      <c r="N533" s="260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259"/>
      <c r="K534" s="133"/>
      <c r="L534" s="85"/>
      <c r="M534" s="135"/>
      <c r="N534" s="260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259"/>
      <c r="K535" s="133"/>
      <c r="L535" s="85"/>
      <c r="M535" s="135"/>
      <c r="N535" s="260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259"/>
      <c r="K536" s="133"/>
      <c r="L536" s="85"/>
      <c r="M536" s="135"/>
      <c r="N536" s="260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259"/>
      <c r="K537" s="133"/>
      <c r="L537" s="85"/>
      <c r="M537" s="135"/>
      <c r="N537" s="260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259"/>
      <c r="K538" s="133"/>
      <c r="L538" s="85"/>
      <c r="M538" s="135"/>
      <c r="N538" s="260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259"/>
      <c r="K539" s="133"/>
      <c r="L539" s="85"/>
      <c r="M539" s="135"/>
      <c r="N539" s="260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259"/>
      <c r="K540" s="133"/>
      <c r="L540" s="85"/>
      <c r="M540" s="135"/>
      <c r="N540" s="260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259"/>
      <c r="K541" s="133"/>
      <c r="L541" s="85"/>
      <c r="M541" s="135"/>
      <c r="N541" s="260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259"/>
      <c r="K542" s="133"/>
      <c r="L542" s="85"/>
      <c r="M542" s="135"/>
      <c r="N542" s="260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259"/>
      <c r="K543" s="133"/>
      <c r="L543" s="85"/>
      <c r="M543" s="135"/>
      <c r="N543" s="260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259"/>
      <c r="K544" s="133"/>
      <c r="L544" s="85"/>
      <c r="M544" s="135"/>
      <c r="N544" s="260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259"/>
      <c r="K545" s="133"/>
      <c r="L545" s="85"/>
      <c r="M545" s="135"/>
      <c r="N545" s="260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259"/>
      <c r="K546" s="133"/>
      <c r="L546" s="85"/>
      <c r="M546" s="135"/>
      <c r="N546" s="260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259"/>
      <c r="K547" s="133"/>
      <c r="L547" s="85"/>
      <c r="M547" s="135"/>
      <c r="N547" s="260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259"/>
      <c r="K548" s="133"/>
      <c r="L548" s="85"/>
      <c r="M548" s="135"/>
      <c r="N548" s="260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259"/>
      <c r="K549" s="133"/>
      <c r="L549" s="85"/>
      <c r="M549" s="135"/>
      <c r="N549" s="260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259"/>
      <c r="K550" s="133"/>
      <c r="L550" s="85"/>
      <c r="M550" s="135"/>
      <c r="N550" s="260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259"/>
      <c r="K551" s="133"/>
      <c r="L551" s="85"/>
      <c r="M551" s="135"/>
      <c r="N551" s="260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259"/>
      <c r="K552" s="133"/>
      <c r="L552" s="85"/>
      <c r="M552" s="135"/>
      <c r="N552" s="260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259"/>
      <c r="K553" s="133"/>
      <c r="L553" s="85"/>
      <c r="M553" s="135"/>
      <c r="N553" s="260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259"/>
      <c r="K554" s="133"/>
      <c r="L554" s="85"/>
      <c r="M554" s="135"/>
      <c r="N554" s="260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259"/>
      <c r="K555" s="133"/>
      <c r="L555" s="85"/>
      <c r="M555" s="135"/>
      <c r="N555" s="260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259"/>
      <c r="K556" s="133"/>
      <c r="L556" s="85"/>
      <c r="M556" s="135"/>
      <c r="N556" s="260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259"/>
      <c r="K557" s="133"/>
      <c r="L557" s="85"/>
      <c r="M557" s="135"/>
      <c r="N557" s="260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259"/>
      <c r="K558" s="133"/>
      <c r="L558" s="85"/>
      <c r="M558" s="135"/>
      <c r="N558" s="260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259"/>
      <c r="K559" s="133"/>
      <c r="L559" s="85"/>
      <c r="M559" s="135"/>
      <c r="N559" s="260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259"/>
      <c r="K560" s="133"/>
      <c r="L560" s="85"/>
      <c r="M560" s="135"/>
      <c r="N560" s="260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259"/>
      <c r="K561" s="133"/>
      <c r="L561" s="85"/>
      <c r="M561" s="135"/>
      <c r="N561" s="260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259"/>
      <c r="K562" s="133"/>
      <c r="L562" s="85"/>
      <c r="M562" s="135"/>
      <c r="N562" s="260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259"/>
      <c r="K563" s="133"/>
      <c r="L563" s="85"/>
      <c r="M563" s="135"/>
      <c r="N563" s="260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259"/>
      <c r="K564" s="133"/>
      <c r="L564" s="85"/>
      <c r="M564" s="135"/>
      <c r="N564" s="260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259"/>
      <c r="K565" s="133"/>
      <c r="L565" s="85"/>
      <c r="M565" s="135"/>
      <c r="N565" s="260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259"/>
      <c r="K566" s="133"/>
      <c r="L566" s="85"/>
      <c r="M566" s="135"/>
      <c r="N566" s="260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259"/>
      <c r="K567" s="133"/>
      <c r="L567" s="85"/>
      <c r="M567" s="135"/>
      <c r="N567" s="260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259"/>
      <c r="K568" s="133"/>
      <c r="L568" s="85"/>
      <c r="M568" s="135"/>
      <c r="N568" s="260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259"/>
      <c r="K569" s="133"/>
      <c r="L569" s="85"/>
      <c r="M569" s="135"/>
      <c r="N569" s="260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259"/>
      <c r="K570" s="133"/>
      <c r="L570" s="85"/>
      <c r="M570" s="135"/>
      <c r="N570" s="260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259"/>
      <c r="K571" s="133"/>
      <c r="L571" s="85"/>
      <c r="M571" s="135"/>
      <c r="N571" s="260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259"/>
      <c r="K572" s="133"/>
      <c r="L572" s="85"/>
      <c r="M572" s="135"/>
      <c r="N572" s="260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259"/>
      <c r="K573" s="133"/>
      <c r="L573" s="85"/>
      <c r="M573" s="135"/>
      <c r="N573" s="260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259"/>
      <c r="K574" s="133"/>
      <c r="L574" s="85"/>
      <c r="M574" s="135"/>
      <c r="N574" s="260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259"/>
      <c r="K575" s="133"/>
      <c r="L575" s="85"/>
      <c r="M575" s="135"/>
      <c r="N575" s="260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259"/>
      <c r="K576" s="133"/>
      <c r="L576" s="85"/>
      <c r="M576" s="135"/>
      <c r="N576" s="260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259"/>
      <c r="K577" s="133"/>
      <c r="L577" s="85"/>
      <c r="M577" s="135"/>
      <c r="N577" s="260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259"/>
      <c r="K578" s="133"/>
      <c r="L578" s="85"/>
      <c r="M578" s="135"/>
      <c r="N578" s="260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259"/>
      <c r="K579" s="133"/>
      <c r="L579" s="85"/>
      <c r="M579" s="135"/>
      <c r="N579" s="260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259"/>
      <c r="K580" s="133"/>
      <c r="L580" s="85"/>
      <c r="M580" s="135"/>
      <c r="N580" s="260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259"/>
      <c r="K581" s="133"/>
      <c r="L581" s="85"/>
      <c r="M581" s="135"/>
      <c r="N581" s="260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259"/>
      <c r="K582" s="133"/>
      <c r="L582" s="85"/>
      <c r="M582" s="135"/>
      <c r="N582" s="260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259"/>
      <c r="K583" s="133"/>
      <c r="L583" s="85"/>
      <c r="M583" s="135"/>
      <c r="N583" s="260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259"/>
      <c r="K584" s="133"/>
      <c r="L584" s="85"/>
      <c r="M584" s="135"/>
      <c r="N584" s="260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259"/>
      <c r="K585" s="133"/>
      <c r="L585" s="85"/>
      <c r="M585" s="135"/>
      <c r="N585" s="260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259"/>
      <c r="K586" s="133"/>
      <c r="L586" s="85"/>
      <c r="M586" s="135"/>
      <c r="N586" s="260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259"/>
      <c r="K587" s="133"/>
      <c r="L587" s="85"/>
      <c r="M587" s="135"/>
      <c r="N587" s="260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259"/>
      <c r="K588" s="133"/>
      <c r="L588" s="85"/>
      <c r="M588" s="135"/>
      <c r="N588" s="260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259"/>
      <c r="K589" s="133"/>
      <c r="L589" s="85"/>
      <c r="M589" s="135"/>
      <c r="N589" s="260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259"/>
      <c r="K590" s="133"/>
      <c r="L590" s="85"/>
      <c r="M590" s="135"/>
      <c r="N590" s="260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259"/>
      <c r="K591" s="133"/>
      <c r="L591" s="85"/>
      <c r="M591" s="135"/>
      <c r="N591" s="260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259"/>
      <c r="K592" s="133"/>
      <c r="L592" s="85"/>
      <c r="M592" s="135"/>
      <c r="N592" s="260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259"/>
      <c r="K593" s="133"/>
      <c r="L593" s="85"/>
      <c r="M593" s="135"/>
      <c r="N593" s="260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259"/>
      <c r="K594" s="133"/>
      <c r="L594" s="85"/>
      <c r="M594" s="135"/>
      <c r="N594" s="260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259"/>
      <c r="K595" s="133"/>
      <c r="L595" s="85"/>
      <c r="M595" s="135"/>
      <c r="N595" s="260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259"/>
      <c r="K596" s="133"/>
      <c r="L596" s="85"/>
      <c r="M596" s="135"/>
      <c r="N596" s="260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259"/>
      <c r="K597" s="133"/>
      <c r="L597" s="85"/>
      <c r="M597" s="135"/>
      <c r="N597" s="260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259"/>
      <c r="K598" s="133"/>
      <c r="L598" s="85"/>
      <c r="M598" s="135"/>
      <c r="N598" s="260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259"/>
      <c r="K599" s="133"/>
      <c r="L599" s="85"/>
      <c r="M599" s="135"/>
      <c r="N599" s="260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259"/>
      <c r="K600" s="133"/>
      <c r="L600" s="85"/>
      <c r="M600" s="135"/>
      <c r="N600" s="260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259"/>
      <c r="K601" s="133"/>
      <c r="L601" s="85"/>
      <c r="M601" s="135"/>
      <c r="N601" s="260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259"/>
      <c r="K602" s="133"/>
      <c r="L602" s="85"/>
      <c r="M602" s="135"/>
      <c r="N602" s="260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259"/>
      <c r="K603" s="133"/>
      <c r="L603" s="85"/>
      <c r="M603" s="135"/>
      <c r="N603" s="260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259"/>
      <c r="K604" s="133"/>
      <c r="L604" s="85"/>
      <c r="M604" s="135"/>
      <c r="N604" s="260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259"/>
      <c r="K605" s="133"/>
      <c r="L605" s="85"/>
      <c r="M605" s="135"/>
      <c r="N605" s="260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259"/>
      <c r="K606" s="133"/>
      <c r="L606" s="85"/>
      <c r="M606" s="135"/>
      <c r="N606" s="260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259"/>
      <c r="K607" s="133"/>
      <c r="L607" s="85"/>
      <c r="M607" s="135"/>
      <c r="N607" s="260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259"/>
      <c r="K608" s="133"/>
      <c r="L608" s="85"/>
      <c r="M608" s="135"/>
      <c r="N608" s="260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259"/>
      <c r="K609" s="133"/>
      <c r="L609" s="85"/>
      <c r="M609" s="135"/>
      <c r="N609" s="260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259"/>
      <c r="K610" s="133"/>
      <c r="L610" s="85"/>
      <c r="M610" s="135"/>
      <c r="N610" s="260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259"/>
      <c r="K611" s="133"/>
      <c r="L611" s="85"/>
      <c r="M611" s="135"/>
      <c r="N611" s="260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259"/>
      <c r="K612" s="133"/>
      <c r="L612" s="85"/>
      <c r="M612" s="135"/>
      <c r="N612" s="260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259"/>
      <c r="K613" s="133"/>
      <c r="L613" s="85"/>
      <c r="M613" s="135"/>
      <c r="N613" s="260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259"/>
      <c r="K614" s="133"/>
      <c r="L614" s="85"/>
      <c r="M614" s="135"/>
      <c r="N614" s="260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259"/>
      <c r="K615" s="133"/>
      <c r="L615" s="85"/>
      <c r="M615" s="135"/>
      <c r="N615" s="260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259"/>
      <c r="K616" s="133"/>
      <c r="L616" s="85"/>
      <c r="M616" s="135"/>
      <c r="N616" s="260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259"/>
      <c r="K617" s="133"/>
      <c r="L617" s="85"/>
      <c r="M617" s="135"/>
      <c r="N617" s="260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259"/>
      <c r="K618" s="133"/>
      <c r="L618" s="85"/>
      <c r="M618" s="135"/>
      <c r="N618" s="260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259"/>
      <c r="K619" s="133"/>
      <c r="L619" s="85"/>
      <c r="M619" s="135"/>
      <c r="N619" s="260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259"/>
      <c r="K620" s="133"/>
      <c r="L620" s="85"/>
      <c r="M620" s="135"/>
      <c r="N620" s="260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259"/>
      <c r="K621" s="133"/>
      <c r="L621" s="85"/>
      <c r="M621" s="135"/>
      <c r="N621" s="260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259"/>
      <c r="K622" s="133"/>
      <c r="L622" s="85"/>
      <c r="M622" s="135"/>
      <c r="N622" s="260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259"/>
      <c r="K623" s="133"/>
      <c r="L623" s="85"/>
      <c r="M623" s="135"/>
      <c r="N623" s="260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259"/>
      <c r="K624" s="133"/>
      <c r="L624" s="85"/>
      <c r="M624" s="135"/>
      <c r="N624" s="260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259"/>
      <c r="K625" s="133"/>
      <c r="L625" s="85"/>
      <c r="M625" s="135"/>
      <c r="N625" s="260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259"/>
      <c r="K626" s="133"/>
      <c r="L626" s="85"/>
      <c r="M626" s="135"/>
      <c r="N626" s="260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259"/>
      <c r="K627" s="133"/>
      <c r="L627" s="85"/>
      <c r="M627" s="135"/>
      <c r="N627" s="260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259"/>
      <c r="K628" s="133"/>
      <c r="L628" s="85"/>
      <c r="M628" s="135"/>
      <c r="N628" s="260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259"/>
      <c r="K629" s="133"/>
      <c r="L629" s="85"/>
      <c r="M629" s="135"/>
      <c r="N629" s="260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259"/>
      <c r="K630" s="133"/>
      <c r="L630" s="85"/>
      <c r="M630" s="135"/>
      <c r="N630" s="260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259"/>
      <c r="K631" s="133"/>
      <c r="L631" s="85"/>
      <c r="M631" s="135"/>
      <c r="N631" s="260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259"/>
      <c r="K632" s="133"/>
      <c r="L632" s="85"/>
      <c r="M632" s="135"/>
      <c r="N632" s="260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259"/>
      <c r="K633" s="133"/>
      <c r="L633" s="85"/>
      <c r="M633" s="135"/>
      <c r="N633" s="260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259"/>
      <c r="K634" s="133"/>
      <c r="L634" s="85"/>
      <c r="M634" s="135"/>
      <c r="N634" s="260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259"/>
      <c r="K635" s="133"/>
      <c r="L635" s="85"/>
      <c r="M635" s="135"/>
      <c r="N635" s="260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259"/>
      <c r="K636" s="133"/>
      <c r="L636" s="85"/>
      <c r="M636" s="135"/>
      <c r="N636" s="260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259"/>
      <c r="K637" s="133"/>
      <c r="L637" s="85"/>
      <c r="M637" s="135"/>
      <c r="N637" s="260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259"/>
      <c r="K638" s="133"/>
      <c r="L638" s="85"/>
      <c r="M638" s="135"/>
      <c r="N638" s="260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259"/>
      <c r="K639" s="133"/>
      <c r="L639" s="85"/>
      <c r="M639" s="135"/>
      <c r="N639" s="260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259"/>
      <c r="K640" s="133"/>
      <c r="L640" s="85"/>
      <c r="M640" s="135"/>
      <c r="N640" s="260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259"/>
      <c r="K641" s="133"/>
      <c r="L641" s="85"/>
      <c r="M641" s="135"/>
      <c r="N641" s="260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259"/>
      <c r="K642" s="133"/>
      <c r="L642" s="85"/>
      <c r="M642" s="135"/>
      <c r="N642" s="260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259"/>
      <c r="K643" s="133"/>
      <c r="L643" s="85"/>
      <c r="M643" s="135"/>
      <c r="N643" s="260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259"/>
      <c r="K644" s="133"/>
      <c r="L644" s="85"/>
      <c r="M644" s="135"/>
      <c r="N644" s="260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259"/>
      <c r="K645" s="133"/>
      <c r="L645" s="85"/>
      <c r="M645" s="135"/>
      <c r="N645" s="260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259"/>
      <c r="K646" s="133"/>
      <c r="L646" s="85"/>
      <c r="M646" s="135"/>
      <c r="N646" s="260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259"/>
      <c r="K647" s="133"/>
      <c r="L647" s="85"/>
      <c r="M647" s="135"/>
      <c r="N647" s="260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259"/>
      <c r="K648" s="133"/>
      <c r="L648" s="85"/>
      <c r="M648" s="135"/>
      <c r="N648" s="260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259"/>
      <c r="K649" s="133"/>
      <c r="L649" s="85"/>
      <c r="M649" s="135"/>
      <c r="N649" s="260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259"/>
      <c r="K650" s="133"/>
      <c r="L650" s="85"/>
      <c r="M650" s="135"/>
      <c r="N650" s="260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259"/>
      <c r="K651" s="133"/>
      <c r="L651" s="85"/>
      <c r="M651" s="135"/>
      <c r="N651" s="260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259"/>
      <c r="K652" s="133"/>
      <c r="L652" s="85"/>
      <c r="M652" s="135"/>
      <c r="N652" s="260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259"/>
      <c r="K653" s="133"/>
      <c r="L653" s="85"/>
      <c r="M653" s="135"/>
      <c r="N653" s="260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259"/>
      <c r="K654" s="133"/>
      <c r="L654" s="85"/>
      <c r="M654" s="135"/>
      <c r="N654" s="260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259"/>
      <c r="K655" s="133"/>
      <c r="L655" s="85"/>
      <c r="M655" s="135"/>
      <c r="N655" s="260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259"/>
      <c r="K656" s="133"/>
      <c r="L656" s="85"/>
      <c r="M656" s="135"/>
      <c r="N656" s="260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259"/>
      <c r="K657" s="133"/>
      <c r="L657" s="85"/>
      <c r="M657" s="135"/>
      <c r="N657" s="260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259"/>
      <c r="K658" s="133"/>
      <c r="L658" s="85"/>
      <c r="M658" s="135"/>
      <c r="N658" s="260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259"/>
      <c r="K659" s="133"/>
      <c r="L659" s="85"/>
      <c r="M659" s="135"/>
      <c r="N659" s="260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259"/>
      <c r="K660" s="133"/>
      <c r="L660" s="85"/>
      <c r="M660" s="135"/>
      <c r="N660" s="260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259"/>
      <c r="K661" s="133"/>
      <c r="L661" s="85"/>
      <c r="M661" s="135"/>
      <c r="N661" s="260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259"/>
      <c r="K662" s="133"/>
      <c r="L662" s="85"/>
      <c r="M662" s="135"/>
      <c r="N662" s="260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259"/>
      <c r="K663" s="133"/>
      <c r="L663" s="85"/>
      <c r="M663" s="135"/>
      <c r="N663" s="260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259"/>
      <c r="K664" s="133"/>
      <c r="L664" s="85"/>
      <c r="M664" s="135"/>
      <c r="N664" s="260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259"/>
      <c r="K665" s="133"/>
      <c r="L665" s="85"/>
      <c r="M665" s="135"/>
      <c r="N665" s="260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259"/>
      <c r="K666" s="133"/>
      <c r="L666" s="85"/>
      <c r="M666" s="135"/>
      <c r="N666" s="260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259"/>
      <c r="K667" s="133"/>
      <c r="L667" s="85"/>
      <c r="M667" s="135"/>
      <c r="N667" s="260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259"/>
      <c r="K668" s="133"/>
      <c r="L668" s="85"/>
      <c r="M668" s="135"/>
      <c r="N668" s="260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259"/>
      <c r="K669" s="133"/>
      <c r="L669" s="85"/>
      <c r="M669" s="135"/>
      <c r="N669" s="260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259"/>
      <c r="K670" s="133"/>
      <c r="L670" s="85"/>
      <c r="M670" s="135"/>
      <c r="N670" s="260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259"/>
      <c r="K671" s="133"/>
      <c r="L671" s="85"/>
      <c r="M671" s="135"/>
      <c r="N671" s="260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259"/>
      <c r="K672" s="133"/>
      <c r="L672" s="85"/>
      <c r="M672" s="135"/>
      <c r="N672" s="260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259"/>
      <c r="K673" s="133"/>
      <c r="L673" s="85"/>
      <c r="M673" s="135"/>
      <c r="N673" s="260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259"/>
      <c r="K674" s="133"/>
      <c r="L674" s="85"/>
      <c r="M674" s="135"/>
      <c r="N674" s="260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259"/>
      <c r="K675" s="133"/>
      <c r="L675" s="85"/>
      <c r="M675" s="135"/>
      <c r="N675" s="260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259"/>
      <c r="K676" s="133"/>
      <c r="L676" s="85"/>
      <c r="M676" s="135"/>
      <c r="N676" s="260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259"/>
      <c r="K677" s="133"/>
      <c r="L677" s="85"/>
      <c r="M677" s="135"/>
      <c r="N677" s="260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259"/>
      <c r="K678" s="133"/>
      <c r="L678" s="85"/>
      <c r="M678" s="135"/>
      <c r="N678" s="260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259"/>
      <c r="K679" s="133"/>
      <c r="L679" s="85"/>
      <c r="M679" s="135"/>
      <c r="N679" s="260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259"/>
      <c r="K680" s="133"/>
      <c r="L680" s="85"/>
      <c r="M680" s="135"/>
      <c r="N680" s="260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259"/>
      <c r="K681" s="133"/>
      <c r="L681" s="85"/>
      <c r="M681" s="135"/>
      <c r="N681" s="260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259"/>
      <c r="K682" s="133"/>
      <c r="L682" s="85"/>
      <c r="M682" s="135"/>
      <c r="N682" s="260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259"/>
      <c r="K683" s="133"/>
      <c r="L683" s="85"/>
      <c r="M683" s="135"/>
      <c r="N683" s="260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259"/>
      <c r="K684" s="133"/>
      <c r="L684" s="85"/>
      <c r="M684" s="135"/>
      <c r="N684" s="260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259"/>
      <c r="K685" s="133"/>
      <c r="L685" s="85"/>
      <c r="M685" s="135"/>
      <c r="N685" s="260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259"/>
      <c r="K686" s="133"/>
      <c r="L686" s="85"/>
      <c r="M686" s="135"/>
      <c r="N686" s="260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259"/>
      <c r="K687" s="133"/>
      <c r="L687" s="85"/>
      <c r="M687" s="135"/>
      <c r="N687" s="260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259"/>
      <c r="K688" s="133"/>
      <c r="L688" s="85"/>
      <c r="M688" s="135"/>
      <c r="N688" s="260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259"/>
      <c r="K689" s="133"/>
      <c r="L689" s="85"/>
      <c r="M689" s="135"/>
      <c r="N689" s="260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259"/>
      <c r="K690" s="133"/>
      <c r="L690" s="85"/>
      <c r="M690" s="135"/>
      <c r="N690" s="260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259"/>
      <c r="K691" s="133"/>
      <c r="L691" s="85"/>
      <c r="M691" s="135"/>
      <c r="N691" s="260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259"/>
      <c r="K692" s="133"/>
      <c r="L692" s="85"/>
      <c r="M692" s="135"/>
      <c r="N692" s="260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259"/>
      <c r="K693" s="133"/>
      <c r="L693" s="85"/>
      <c r="M693" s="135"/>
      <c r="N693" s="260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259"/>
      <c r="K694" s="133"/>
      <c r="L694" s="85"/>
      <c r="M694" s="135"/>
      <c r="N694" s="260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259"/>
      <c r="K695" s="133"/>
      <c r="L695" s="85"/>
      <c r="M695" s="135"/>
      <c r="N695" s="260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259"/>
      <c r="K696" s="133"/>
      <c r="L696" s="85"/>
      <c r="M696" s="135"/>
      <c r="N696" s="260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259"/>
      <c r="K697" s="133"/>
      <c r="L697" s="85"/>
      <c r="M697" s="135"/>
      <c r="N697" s="260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259"/>
      <c r="K698" s="133"/>
      <c r="L698" s="85"/>
      <c r="M698" s="135"/>
      <c r="N698" s="260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259"/>
      <c r="K699" s="133"/>
      <c r="L699" s="85"/>
      <c r="M699" s="135"/>
      <c r="N699" s="260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259"/>
      <c r="K700" s="133"/>
      <c r="L700" s="85"/>
      <c r="M700" s="135"/>
      <c r="N700" s="260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259"/>
      <c r="K701" s="133"/>
      <c r="L701" s="85"/>
      <c r="M701" s="135"/>
      <c r="N701" s="260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259"/>
      <c r="K702" s="133"/>
      <c r="L702" s="85"/>
      <c r="M702" s="135"/>
      <c r="N702" s="260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259"/>
      <c r="K703" s="133"/>
      <c r="L703" s="85"/>
      <c r="M703" s="135"/>
      <c r="N703" s="260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259"/>
      <c r="K704" s="133"/>
      <c r="L704" s="85"/>
      <c r="M704" s="135"/>
      <c r="N704" s="260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259"/>
      <c r="K705" s="133"/>
      <c r="L705" s="85"/>
      <c r="M705" s="135"/>
      <c r="N705" s="260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259"/>
      <c r="K706" s="133"/>
      <c r="L706" s="85"/>
      <c r="M706" s="135"/>
      <c r="N706" s="260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259"/>
      <c r="K707" s="133"/>
      <c r="L707" s="85"/>
      <c r="M707" s="135"/>
      <c r="N707" s="260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259"/>
      <c r="K708" s="133"/>
      <c r="L708" s="85"/>
      <c r="M708" s="135"/>
      <c r="N708" s="260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259"/>
      <c r="K709" s="133"/>
      <c r="L709" s="85"/>
      <c r="M709" s="135"/>
      <c r="N709" s="260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259"/>
      <c r="K710" s="133"/>
      <c r="L710" s="85"/>
      <c r="M710" s="135"/>
      <c r="N710" s="260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259"/>
      <c r="K711" s="133"/>
      <c r="L711" s="85"/>
      <c r="M711" s="135"/>
      <c r="N711" s="260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259"/>
      <c r="K712" s="133"/>
      <c r="L712" s="85"/>
      <c r="M712" s="135"/>
      <c r="N712" s="260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259"/>
      <c r="K713" s="133"/>
      <c r="L713" s="85"/>
      <c r="M713" s="135"/>
      <c r="N713" s="260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259"/>
      <c r="K714" s="133"/>
      <c r="L714" s="85"/>
      <c r="M714" s="135"/>
      <c r="N714" s="260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259"/>
      <c r="K715" s="133"/>
      <c r="L715" s="85"/>
      <c r="M715" s="135"/>
      <c r="N715" s="260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259"/>
      <c r="K716" s="133"/>
      <c r="L716" s="85"/>
      <c r="M716" s="135"/>
      <c r="N716" s="260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259"/>
      <c r="K717" s="133"/>
      <c r="L717" s="85"/>
      <c r="M717" s="135"/>
      <c r="N717" s="260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259"/>
      <c r="K718" s="133"/>
      <c r="L718" s="85"/>
      <c r="M718" s="135"/>
      <c r="N718" s="260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259"/>
      <c r="K719" s="133"/>
      <c r="L719" s="85"/>
      <c r="M719" s="135"/>
      <c r="N719" s="260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259"/>
      <c r="K720" s="133"/>
      <c r="L720" s="85"/>
      <c r="M720" s="135"/>
      <c r="N720" s="260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259"/>
      <c r="K721" s="133"/>
      <c r="L721" s="85"/>
      <c r="M721" s="135"/>
      <c r="N721" s="260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259"/>
      <c r="K722" s="133"/>
      <c r="L722" s="85"/>
      <c r="M722" s="135"/>
      <c r="N722" s="260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259"/>
      <c r="K723" s="133"/>
      <c r="L723" s="85"/>
      <c r="M723" s="135"/>
      <c r="N723" s="260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259"/>
      <c r="K724" s="133"/>
      <c r="L724" s="85"/>
      <c r="M724" s="135"/>
      <c r="N724" s="260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259"/>
      <c r="K725" s="133"/>
      <c r="L725" s="85"/>
      <c r="M725" s="135"/>
      <c r="N725" s="260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259"/>
      <c r="K726" s="133"/>
      <c r="L726" s="85"/>
      <c r="M726" s="135"/>
      <c r="N726" s="260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259"/>
      <c r="K727" s="133"/>
      <c r="L727" s="85"/>
      <c r="M727" s="135"/>
      <c r="N727" s="260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259"/>
      <c r="K728" s="133"/>
      <c r="L728" s="85"/>
      <c r="M728" s="135"/>
      <c r="N728" s="260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259"/>
      <c r="K729" s="133"/>
      <c r="L729" s="85"/>
      <c r="M729" s="135"/>
      <c r="N729" s="260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259"/>
      <c r="K730" s="133"/>
      <c r="L730" s="85"/>
      <c r="M730" s="135"/>
      <c r="N730" s="260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259"/>
      <c r="K731" s="133"/>
      <c r="L731" s="85"/>
      <c r="M731" s="135"/>
      <c r="N731" s="260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259"/>
      <c r="K732" s="133"/>
      <c r="L732" s="85"/>
      <c r="M732" s="135"/>
      <c r="N732" s="260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259"/>
      <c r="K733" s="133"/>
      <c r="L733" s="85"/>
      <c r="M733" s="135"/>
      <c r="N733" s="260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259"/>
      <c r="K734" s="133"/>
      <c r="L734" s="85"/>
      <c r="M734" s="135"/>
      <c r="N734" s="260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259"/>
      <c r="K735" s="133"/>
      <c r="L735" s="85"/>
      <c r="M735" s="135"/>
      <c r="N735" s="260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259"/>
      <c r="K736" s="133"/>
      <c r="L736" s="85"/>
      <c r="M736" s="135"/>
      <c r="N736" s="260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259"/>
      <c r="K737" s="133"/>
      <c r="L737" s="85"/>
      <c r="M737" s="135"/>
      <c r="N737" s="260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259"/>
      <c r="K738" s="133"/>
      <c r="L738" s="85"/>
      <c r="M738" s="135"/>
      <c r="N738" s="260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259"/>
      <c r="K739" s="133"/>
      <c r="L739" s="85"/>
      <c r="M739" s="135"/>
      <c r="N739" s="260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259"/>
      <c r="K740" s="133"/>
      <c r="L740" s="85"/>
      <c r="M740" s="135"/>
      <c r="N740" s="260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259"/>
      <c r="K741" s="133"/>
      <c r="L741" s="85"/>
      <c r="M741" s="135"/>
      <c r="N741" s="260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259"/>
      <c r="K742" s="133"/>
      <c r="L742" s="85"/>
      <c r="M742" s="135"/>
      <c r="N742" s="260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259"/>
      <c r="K743" s="133"/>
      <c r="L743" s="85"/>
      <c r="M743" s="135"/>
      <c r="N743" s="260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259"/>
      <c r="K744" s="133"/>
      <c r="L744" s="85"/>
      <c r="M744" s="135"/>
      <c r="N744" s="260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259"/>
      <c r="K745" s="133"/>
      <c r="L745" s="85"/>
      <c r="M745" s="135"/>
      <c r="N745" s="260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259"/>
      <c r="K746" s="133"/>
      <c r="L746" s="85"/>
      <c r="M746" s="135"/>
      <c r="N746" s="260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259"/>
      <c r="K747" s="133"/>
      <c r="L747" s="85"/>
      <c r="M747" s="135"/>
      <c r="N747" s="260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259"/>
      <c r="K748" s="133"/>
      <c r="L748" s="85"/>
      <c r="M748" s="135"/>
      <c r="N748" s="260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259"/>
      <c r="K749" s="133"/>
      <c r="L749" s="85"/>
      <c r="M749" s="135"/>
      <c r="N749" s="260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259"/>
      <c r="K750" s="133"/>
      <c r="L750" s="85"/>
      <c r="M750" s="135"/>
      <c r="N750" s="260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259"/>
      <c r="K751" s="133"/>
      <c r="L751" s="85"/>
      <c r="M751" s="135"/>
      <c r="N751" s="260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259"/>
      <c r="K752" s="133"/>
      <c r="L752" s="85"/>
      <c r="M752" s="135"/>
      <c r="N752" s="260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259"/>
      <c r="K753" s="133"/>
      <c r="L753" s="85"/>
      <c r="M753" s="135"/>
      <c r="N753" s="260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259"/>
      <c r="K754" s="133"/>
      <c r="L754" s="85"/>
      <c r="M754" s="135"/>
      <c r="N754" s="260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259"/>
      <c r="K755" s="133"/>
      <c r="L755" s="85"/>
      <c r="M755" s="135"/>
      <c r="N755" s="260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259"/>
      <c r="K756" s="133"/>
      <c r="L756" s="85"/>
      <c r="M756" s="135"/>
      <c r="N756" s="260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259"/>
      <c r="K757" s="133"/>
      <c r="L757" s="85"/>
      <c r="M757" s="135"/>
      <c r="N757" s="260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259"/>
      <c r="K758" s="133"/>
      <c r="L758" s="85"/>
      <c r="M758" s="135"/>
      <c r="N758" s="260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259"/>
      <c r="K759" s="133"/>
      <c r="L759" s="85"/>
      <c r="M759" s="135"/>
      <c r="N759" s="260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259"/>
      <c r="K760" s="133"/>
      <c r="L760" s="85"/>
      <c r="M760" s="135"/>
      <c r="N760" s="260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259"/>
      <c r="K761" s="133"/>
      <c r="L761" s="85"/>
      <c r="M761" s="135"/>
      <c r="N761" s="260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259"/>
      <c r="K762" s="133"/>
      <c r="L762" s="85"/>
      <c r="M762" s="135"/>
      <c r="N762" s="260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259"/>
      <c r="K763" s="133"/>
      <c r="L763" s="85"/>
      <c r="M763" s="135"/>
      <c r="N763" s="260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259"/>
      <c r="K764" s="133"/>
      <c r="L764" s="85"/>
      <c r="M764" s="135"/>
      <c r="N764" s="260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259"/>
      <c r="K765" s="133"/>
      <c r="L765" s="85"/>
      <c r="M765" s="135"/>
      <c r="N765" s="260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259"/>
      <c r="K766" s="133"/>
      <c r="L766" s="85"/>
      <c r="M766" s="135"/>
      <c r="N766" s="260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259"/>
      <c r="K767" s="133"/>
      <c r="L767" s="85"/>
      <c r="M767" s="135"/>
      <c r="N767" s="260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259"/>
      <c r="K768" s="133"/>
      <c r="L768" s="85"/>
      <c r="M768" s="135"/>
      <c r="N768" s="260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259"/>
      <c r="K769" s="133"/>
      <c r="L769" s="85"/>
      <c r="M769" s="135"/>
      <c r="N769" s="260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259"/>
      <c r="K770" s="133"/>
      <c r="L770" s="85"/>
      <c r="M770" s="135"/>
      <c r="N770" s="260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259"/>
      <c r="K771" s="133"/>
      <c r="L771" s="85"/>
      <c r="M771" s="135"/>
      <c r="N771" s="260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259"/>
      <c r="K772" s="133"/>
      <c r="L772" s="85"/>
      <c r="M772" s="135"/>
      <c r="N772" s="260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259"/>
      <c r="K773" s="133"/>
      <c r="L773" s="85"/>
      <c r="M773" s="135"/>
      <c r="N773" s="260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259"/>
      <c r="K774" s="133"/>
      <c r="L774" s="85"/>
      <c r="M774" s="135"/>
      <c r="N774" s="260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259"/>
      <c r="K775" s="133"/>
      <c r="L775" s="85"/>
      <c r="M775" s="135"/>
      <c r="N775" s="260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259"/>
      <c r="K776" s="133"/>
      <c r="L776" s="85"/>
      <c r="M776" s="135"/>
      <c r="N776" s="260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259"/>
      <c r="K777" s="133"/>
      <c r="L777" s="85"/>
      <c r="M777" s="135"/>
      <c r="N777" s="260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259"/>
      <c r="K778" s="133"/>
      <c r="L778" s="85"/>
      <c r="M778" s="135"/>
      <c r="N778" s="260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259"/>
      <c r="K779" s="133"/>
      <c r="L779" s="85"/>
      <c r="M779" s="135"/>
      <c r="N779" s="260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259"/>
      <c r="K780" s="133"/>
      <c r="L780" s="85"/>
      <c r="M780" s="135"/>
      <c r="N780" s="260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259"/>
      <c r="K781" s="133"/>
      <c r="L781" s="85"/>
      <c r="M781" s="135"/>
      <c r="N781" s="260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259"/>
      <c r="K782" s="133"/>
      <c r="L782" s="85"/>
      <c r="M782" s="135"/>
      <c r="N782" s="260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259"/>
      <c r="K783" s="133"/>
      <c r="L783" s="85"/>
      <c r="M783" s="135"/>
      <c r="N783" s="260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259"/>
      <c r="K784" s="133"/>
      <c r="L784" s="85"/>
      <c r="M784" s="135"/>
      <c r="N784" s="260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259"/>
      <c r="K785" s="133"/>
      <c r="L785" s="85"/>
      <c r="M785" s="135"/>
      <c r="N785" s="260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259"/>
      <c r="K786" s="133"/>
      <c r="L786" s="85"/>
      <c r="M786" s="135"/>
      <c r="N786" s="260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259"/>
      <c r="K787" s="133"/>
      <c r="L787" s="85"/>
      <c r="M787" s="135"/>
      <c r="N787" s="260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259"/>
      <c r="K788" s="133"/>
      <c r="L788" s="85"/>
      <c r="M788" s="135"/>
      <c r="N788" s="260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259"/>
      <c r="K789" s="133"/>
      <c r="L789" s="85"/>
      <c r="M789" s="135"/>
      <c r="N789" s="260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259"/>
      <c r="K790" s="133"/>
      <c r="L790" s="85"/>
      <c r="M790" s="135"/>
      <c r="N790" s="260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259"/>
      <c r="K791" s="133"/>
      <c r="L791" s="85"/>
      <c r="M791" s="135"/>
      <c r="N791" s="260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259"/>
      <c r="K792" s="133"/>
      <c r="L792" s="85"/>
      <c r="M792" s="135"/>
      <c r="N792" s="260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259"/>
      <c r="K793" s="133"/>
      <c r="L793" s="85"/>
      <c r="M793" s="135"/>
      <c r="N793" s="260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259"/>
      <c r="K794" s="133"/>
      <c r="L794" s="85"/>
      <c r="M794" s="135"/>
      <c r="N794" s="260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259"/>
      <c r="K795" s="133"/>
      <c r="L795" s="85"/>
      <c r="M795" s="135"/>
      <c r="N795" s="260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259"/>
      <c r="K796" s="133"/>
      <c r="L796" s="85"/>
      <c r="M796" s="135"/>
      <c r="N796" s="260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259"/>
      <c r="K797" s="133"/>
      <c r="L797" s="85"/>
      <c r="M797" s="135"/>
      <c r="N797" s="260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259"/>
      <c r="K798" s="133"/>
      <c r="L798" s="85"/>
      <c r="M798" s="135"/>
      <c r="N798" s="260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259"/>
      <c r="K799" s="133"/>
      <c r="L799" s="85"/>
      <c r="M799" s="135"/>
      <c r="N799" s="260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259"/>
      <c r="K800" s="133"/>
      <c r="L800" s="85"/>
      <c r="M800" s="135"/>
      <c r="N800" s="260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259"/>
      <c r="K801" s="133"/>
      <c r="L801" s="85"/>
      <c r="M801" s="135"/>
      <c r="N801" s="260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259"/>
      <c r="K802" s="133"/>
      <c r="L802" s="85"/>
      <c r="M802" s="135"/>
      <c r="N802" s="260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259"/>
      <c r="K803" s="133"/>
      <c r="L803" s="85"/>
      <c r="M803" s="135"/>
      <c r="N803" s="260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259"/>
      <c r="K804" s="133"/>
      <c r="L804" s="85"/>
      <c r="M804" s="135"/>
      <c r="N804" s="260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259"/>
      <c r="K805" s="133"/>
      <c r="L805" s="85"/>
      <c r="M805" s="135"/>
      <c r="N805" s="260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259"/>
      <c r="K806" s="133"/>
      <c r="L806" s="85"/>
      <c r="M806" s="135"/>
      <c r="N806" s="260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259"/>
      <c r="K807" s="133"/>
      <c r="L807" s="85"/>
      <c r="M807" s="135"/>
      <c r="N807" s="260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259"/>
      <c r="K808" s="133"/>
      <c r="L808" s="85"/>
      <c r="M808" s="135"/>
      <c r="N808" s="260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259"/>
      <c r="K809" s="133"/>
      <c r="L809" s="85"/>
      <c r="M809" s="135"/>
      <c r="N809" s="260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259"/>
      <c r="K810" s="133"/>
      <c r="L810" s="85"/>
      <c r="M810" s="135"/>
      <c r="N810" s="260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259"/>
      <c r="K811" s="133"/>
      <c r="L811" s="85"/>
      <c r="M811" s="135"/>
      <c r="N811" s="260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259"/>
      <c r="K812" s="133"/>
      <c r="L812" s="85"/>
      <c r="M812" s="135"/>
      <c r="N812" s="260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259"/>
      <c r="K813" s="133"/>
      <c r="L813" s="85"/>
      <c r="M813" s="135"/>
      <c r="N813" s="260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259"/>
      <c r="K814" s="133"/>
      <c r="L814" s="85"/>
      <c r="M814" s="135"/>
      <c r="N814" s="260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259"/>
      <c r="K815" s="133"/>
      <c r="L815" s="85"/>
      <c r="M815" s="135"/>
      <c r="N815" s="260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259"/>
      <c r="K816" s="133"/>
      <c r="L816" s="85"/>
      <c r="M816" s="135"/>
      <c r="N816" s="260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259"/>
      <c r="K817" s="133"/>
      <c r="L817" s="85"/>
      <c r="M817" s="135"/>
      <c r="N817" s="260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259"/>
      <c r="K818" s="133"/>
      <c r="L818" s="85"/>
      <c r="M818" s="135"/>
      <c r="N818" s="260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259"/>
      <c r="K819" s="133"/>
      <c r="L819" s="85"/>
      <c r="M819" s="135"/>
      <c r="N819" s="260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259"/>
      <c r="K820" s="133"/>
      <c r="L820" s="85"/>
      <c r="M820" s="135"/>
      <c r="N820" s="260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259"/>
      <c r="K821" s="133"/>
      <c r="L821" s="85"/>
      <c r="M821" s="135"/>
      <c r="N821" s="260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259"/>
      <c r="K822" s="133"/>
      <c r="L822" s="85"/>
      <c r="M822" s="135"/>
      <c r="N822" s="260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259"/>
      <c r="K823" s="133"/>
      <c r="L823" s="85"/>
      <c r="M823" s="135"/>
      <c r="N823" s="260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259"/>
      <c r="K824" s="133"/>
      <c r="L824" s="85"/>
      <c r="M824" s="135"/>
      <c r="N824" s="260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259"/>
      <c r="K825" s="133"/>
      <c r="L825" s="85"/>
      <c r="M825" s="135"/>
      <c r="N825" s="260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259"/>
      <c r="K826" s="133"/>
      <c r="L826" s="85"/>
      <c r="M826" s="135"/>
      <c r="N826" s="260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259"/>
      <c r="K827" s="133"/>
      <c r="L827" s="85"/>
      <c r="M827" s="135"/>
      <c r="N827" s="260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259"/>
      <c r="K828" s="133"/>
      <c r="L828" s="85"/>
      <c r="M828" s="135"/>
      <c r="N828" s="260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259"/>
      <c r="K829" s="133"/>
      <c r="L829" s="85"/>
      <c r="M829" s="135"/>
      <c r="N829" s="260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259"/>
      <c r="K830" s="133"/>
      <c r="L830" s="85"/>
      <c r="M830" s="135"/>
      <c r="N830" s="260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259"/>
      <c r="K831" s="133"/>
      <c r="L831" s="85"/>
      <c r="M831" s="135"/>
      <c r="N831" s="260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259"/>
      <c r="K832" s="133"/>
      <c r="L832" s="85"/>
      <c r="M832" s="135"/>
      <c r="N832" s="260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259"/>
      <c r="K833" s="133"/>
      <c r="L833" s="85"/>
      <c r="M833" s="135"/>
      <c r="N833" s="260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259"/>
      <c r="K834" s="133"/>
      <c r="L834" s="85"/>
      <c r="M834" s="135"/>
      <c r="N834" s="260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259"/>
      <c r="K835" s="133"/>
      <c r="L835" s="85"/>
      <c r="M835" s="135"/>
      <c r="N835" s="260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259"/>
      <c r="K836" s="133"/>
      <c r="L836" s="85"/>
      <c r="M836" s="135"/>
      <c r="N836" s="260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259"/>
      <c r="K837" s="133"/>
      <c r="L837" s="85"/>
      <c r="M837" s="135"/>
      <c r="N837" s="260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259"/>
      <c r="K838" s="133"/>
      <c r="L838" s="85"/>
      <c r="M838" s="135"/>
      <c r="N838" s="260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259"/>
      <c r="K839" s="133"/>
      <c r="L839" s="85"/>
      <c r="M839" s="135"/>
      <c r="N839" s="260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259"/>
      <c r="K840" s="133"/>
      <c r="L840" s="85"/>
      <c r="M840" s="135"/>
      <c r="N840" s="260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259"/>
      <c r="K841" s="133"/>
      <c r="L841" s="85"/>
      <c r="M841" s="135"/>
      <c r="N841" s="260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259"/>
      <c r="K842" s="133"/>
      <c r="L842" s="85"/>
      <c r="M842" s="135"/>
      <c r="N842" s="260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259"/>
      <c r="K843" s="133"/>
      <c r="L843" s="85"/>
      <c r="M843" s="135"/>
      <c r="N843" s="260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259"/>
      <c r="K844" s="133"/>
      <c r="L844" s="85"/>
      <c r="M844" s="135"/>
      <c r="N844" s="260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259"/>
      <c r="K845" s="133"/>
      <c r="L845" s="85"/>
      <c r="M845" s="135"/>
      <c r="N845" s="260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259"/>
      <c r="K846" s="133"/>
      <c r="L846" s="85"/>
      <c r="M846" s="135"/>
      <c r="N846" s="260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259"/>
      <c r="K847" s="133"/>
      <c r="L847" s="85"/>
      <c r="M847" s="135"/>
      <c r="N847" s="260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259"/>
      <c r="K848" s="133"/>
      <c r="L848" s="85"/>
      <c r="M848" s="135"/>
      <c r="N848" s="260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259"/>
      <c r="K849" s="133"/>
      <c r="L849" s="85"/>
      <c r="M849" s="135"/>
      <c r="N849" s="260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259"/>
      <c r="K850" s="133"/>
      <c r="L850" s="85"/>
      <c r="M850" s="135"/>
      <c r="N850" s="260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259"/>
      <c r="K851" s="133"/>
      <c r="L851" s="85"/>
      <c r="M851" s="135"/>
      <c r="N851" s="260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259"/>
      <c r="K852" s="133"/>
      <c r="L852" s="85"/>
      <c r="M852" s="135"/>
      <c r="N852" s="260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259"/>
      <c r="K853" s="133"/>
      <c r="L853" s="85"/>
      <c r="M853" s="135"/>
      <c r="N853" s="260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259"/>
      <c r="K854" s="133"/>
      <c r="L854" s="85"/>
      <c r="M854" s="135"/>
      <c r="N854" s="260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259"/>
      <c r="K855" s="133"/>
      <c r="L855" s="85"/>
      <c r="M855" s="135"/>
      <c r="N855" s="260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259"/>
      <c r="K856" s="133"/>
      <c r="L856" s="85"/>
      <c r="M856" s="135"/>
      <c r="N856" s="260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259"/>
      <c r="K857" s="133"/>
      <c r="L857" s="85"/>
      <c r="M857" s="135"/>
      <c r="N857" s="260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259"/>
      <c r="K858" s="133"/>
      <c r="L858" s="85"/>
      <c r="M858" s="135"/>
      <c r="N858" s="260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259"/>
      <c r="K859" s="133"/>
      <c r="L859" s="85"/>
      <c r="M859" s="135"/>
      <c r="N859" s="260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259"/>
      <c r="K860" s="133"/>
      <c r="L860" s="85"/>
      <c r="M860" s="135"/>
      <c r="N860" s="260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259"/>
      <c r="K861" s="133"/>
      <c r="L861" s="85"/>
      <c r="M861" s="135"/>
      <c r="N861" s="260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259"/>
      <c r="K862" s="133"/>
      <c r="L862" s="85"/>
      <c r="M862" s="135"/>
      <c r="N862" s="260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259"/>
      <c r="K863" s="133"/>
      <c r="L863" s="85"/>
      <c r="M863" s="135"/>
      <c r="N863" s="260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259"/>
      <c r="K864" s="133"/>
      <c r="L864" s="85"/>
      <c r="M864" s="135"/>
      <c r="N864" s="260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259"/>
      <c r="K865" s="133"/>
      <c r="L865" s="85"/>
      <c r="M865" s="135"/>
      <c r="N865" s="260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259"/>
      <c r="K866" s="133"/>
      <c r="L866" s="85"/>
      <c r="M866" s="135"/>
      <c r="N866" s="260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259"/>
      <c r="K867" s="133"/>
      <c r="L867" s="85"/>
      <c r="M867" s="135"/>
      <c r="N867" s="260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259"/>
      <c r="K868" s="133"/>
      <c r="L868" s="85"/>
      <c r="M868" s="135"/>
      <c r="N868" s="260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259"/>
      <c r="K869" s="133"/>
      <c r="L869" s="85"/>
      <c r="M869" s="135"/>
      <c r="N869" s="260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259"/>
      <c r="K870" s="133"/>
      <c r="L870" s="85"/>
      <c r="M870" s="135"/>
      <c r="N870" s="260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259"/>
      <c r="K871" s="133"/>
      <c r="L871" s="85"/>
      <c r="M871" s="135"/>
      <c r="N871" s="260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259"/>
      <c r="K872" s="133"/>
      <c r="L872" s="85"/>
      <c r="M872" s="135"/>
      <c r="N872" s="260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259"/>
      <c r="K873" s="133"/>
      <c r="L873" s="85"/>
      <c r="M873" s="135"/>
      <c r="N873" s="260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259"/>
      <c r="K874" s="133"/>
      <c r="L874" s="85"/>
      <c r="M874" s="135"/>
      <c r="N874" s="260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259"/>
      <c r="K875" s="133"/>
      <c r="L875" s="85"/>
      <c r="M875" s="135"/>
      <c r="N875" s="260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259"/>
      <c r="K876" s="133"/>
      <c r="L876" s="85"/>
      <c r="M876" s="135"/>
      <c r="N876" s="260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259"/>
      <c r="K877" s="133"/>
      <c r="L877" s="85"/>
      <c r="M877" s="135"/>
      <c r="N877" s="260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259"/>
      <c r="K878" s="133"/>
      <c r="L878" s="85"/>
      <c r="M878" s="135"/>
      <c r="N878" s="260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259"/>
      <c r="K879" s="133"/>
      <c r="L879" s="85"/>
      <c r="M879" s="135"/>
      <c r="N879" s="260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259"/>
      <c r="K880" s="133"/>
      <c r="L880" s="85"/>
      <c r="M880" s="135"/>
      <c r="N880" s="260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259"/>
      <c r="K881" s="133"/>
      <c r="L881" s="85"/>
      <c r="M881" s="135"/>
      <c r="N881" s="260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259"/>
      <c r="K882" s="133"/>
      <c r="L882" s="85"/>
      <c r="M882" s="135"/>
      <c r="N882" s="260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259"/>
      <c r="K883" s="133"/>
      <c r="L883" s="85"/>
      <c r="M883" s="135"/>
      <c r="N883" s="260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259"/>
      <c r="K884" s="133"/>
      <c r="L884" s="85"/>
      <c r="M884" s="135"/>
      <c r="N884" s="260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259"/>
      <c r="K885" s="133"/>
      <c r="L885" s="85"/>
      <c r="M885" s="135"/>
      <c r="N885" s="260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259"/>
      <c r="K886" s="133"/>
      <c r="L886" s="85"/>
      <c r="M886" s="135"/>
      <c r="N886" s="260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259"/>
      <c r="K887" s="133"/>
      <c r="L887" s="85"/>
      <c r="M887" s="135"/>
      <c r="N887" s="260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259"/>
      <c r="K888" s="133"/>
      <c r="L888" s="85"/>
      <c r="M888" s="135"/>
      <c r="N888" s="260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259"/>
      <c r="K889" s="133"/>
      <c r="L889" s="85"/>
      <c r="M889" s="135"/>
      <c r="N889" s="260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259"/>
      <c r="K890" s="133"/>
      <c r="L890" s="85"/>
      <c r="M890" s="135"/>
      <c r="N890" s="260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259"/>
      <c r="K891" s="133"/>
      <c r="L891" s="85"/>
      <c r="M891" s="135"/>
      <c r="N891" s="260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259"/>
      <c r="K892" s="133"/>
      <c r="L892" s="85"/>
      <c r="M892" s="135"/>
      <c r="N892" s="260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259"/>
      <c r="K893" s="133"/>
      <c r="L893" s="85"/>
      <c r="M893" s="135"/>
      <c r="N893" s="260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259"/>
      <c r="K894" s="133"/>
      <c r="L894" s="85"/>
      <c r="M894" s="135"/>
      <c r="N894" s="260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259"/>
      <c r="K895" s="133"/>
      <c r="L895" s="85"/>
      <c r="M895" s="135"/>
      <c r="N895" s="260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259"/>
      <c r="K896" s="133"/>
      <c r="L896" s="85"/>
      <c r="M896" s="135"/>
      <c r="N896" s="260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259"/>
      <c r="K897" s="133"/>
      <c r="L897" s="85"/>
      <c r="M897" s="135"/>
      <c r="N897" s="260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259"/>
      <c r="K898" s="133"/>
      <c r="L898" s="85"/>
      <c r="M898" s="135"/>
      <c r="N898" s="260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259"/>
      <c r="K899" s="133"/>
      <c r="L899" s="85"/>
      <c r="M899" s="135"/>
      <c r="N899" s="260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259"/>
      <c r="K900" s="133"/>
      <c r="L900" s="85"/>
      <c r="M900" s="135"/>
      <c r="N900" s="260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259"/>
      <c r="K901" s="133"/>
      <c r="L901" s="85"/>
      <c r="M901" s="135"/>
      <c r="N901" s="260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259"/>
      <c r="K902" s="133"/>
      <c r="L902" s="85"/>
      <c r="M902" s="135"/>
      <c r="N902" s="260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259"/>
      <c r="K903" s="133"/>
      <c r="L903" s="85"/>
      <c r="M903" s="135"/>
      <c r="N903" s="260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259"/>
      <c r="K904" s="133"/>
      <c r="L904" s="85"/>
      <c r="M904" s="135"/>
      <c r="N904" s="260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259"/>
      <c r="K905" s="133"/>
      <c r="L905" s="85"/>
      <c r="M905" s="135"/>
      <c r="N905" s="260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259"/>
      <c r="K906" s="133"/>
      <c r="L906" s="85"/>
      <c r="M906" s="135"/>
      <c r="N906" s="260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259"/>
      <c r="K907" s="133"/>
      <c r="L907" s="85"/>
      <c r="M907" s="135"/>
      <c r="N907" s="260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259"/>
      <c r="K908" s="133"/>
      <c r="L908" s="85"/>
      <c r="M908" s="135"/>
      <c r="N908" s="260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259"/>
      <c r="K909" s="133"/>
      <c r="L909" s="85"/>
      <c r="M909" s="135"/>
      <c r="N909" s="260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259"/>
      <c r="K910" s="133"/>
      <c r="L910" s="85"/>
      <c r="M910" s="135"/>
      <c r="N910" s="260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259"/>
      <c r="K911" s="133"/>
      <c r="L911" s="85"/>
      <c r="M911" s="135"/>
      <c r="N911" s="260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259"/>
      <c r="K912" s="133"/>
      <c r="L912" s="85"/>
      <c r="M912" s="135"/>
      <c r="N912" s="260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259"/>
      <c r="K913" s="133"/>
      <c r="L913" s="85"/>
      <c r="M913" s="135"/>
      <c r="N913" s="260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259"/>
      <c r="K914" s="133"/>
      <c r="L914" s="85"/>
      <c r="M914" s="135"/>
      <c r="N914" s="260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259"/>
      <c r="K915" s="133"/>
      <c r="L915" s="85"/>
      <c r="M915" s="135"/>
      <c r="N915" s="260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259"/>
      <c r="K916" s="133"/>
      <c r="L916" s="85"/>
      <c r="M916" s="135"/>
      <c r="N916" s="260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259"/>
      <c r="K917" s="133"/>
      <c r="L917" s="85"/>
      <c r="M917" s="135"/>
      <c r="N917" s="260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259"/>
      <c r="K918" s="133"/>
      <c r="L918" s="85"/>
      <c r="M918" s="135"/>
      <c r="N918" s="260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259"/>
      <c r="K919" s="133"/>
      <c r="L919" s="85"/>
      <c r="M919" s="135"/>
      <c r="N919" s="260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259"/>
      <c r="K920" s="133"/>
      <c r="L920" s="85"/>
      <c r="M920" s="135"/>
      <c r="N920" s="260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259"/>
      <c r="K921" s="133"/>
      <c r="L921" s="85"/>
      <c r="M921" s="135"/>
      <c r="N921" s="260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259"/>
      <c r="K922" s="133"/>
      <c r="L922" s="85"/>
      <c r="M922" s="135"/>
      <c r="N922" s="260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259"/>
      <c r="K923" s="133"/>
      <c r="L923" s="85"/>
      <c r="M923" s="135"/>
      <c r="N923" s="260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259"/>
      <c r="K924" s="133"/>
      <c r="L924" s="85"/>
      <c r="M924" s="135"/>
      <c r="N924" s="260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259"/>
      <c r="K925" s="133"/>
      <c r="L925" s="85"/>
      <c r="M925" s="135"/>
      <c r="N925" s="260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259"/>
      <c r="K926" s="133"/>
      <c r="L926" s="85"/>
      <c r="M926" s="135"/>
      <c r="N926" s="260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259"/>
      <c r="K927" s="133"/>
      <c r="L927" s="85"/>
      <c r="M927" s="135"/>
      <c r="N927" s="260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259"/>
      <c r="K928" s="133"/>
      <c r="L928" s="85"/>
      <c r="M928" s="135"/>
      <c r="N928" s="260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259"/>
      <c r="K929" s="133"/>
      <c r="L929" s="85"/>
      <c r="M929" s="135"/>
      <c r="N929" s="260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259"/>
      <c r="K930" s="133"/>
      <c r="L930" s="85"/>
      <c r="M930" s="135"/>
      <c r="N930" s="260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259"/>
      <c r="K931" s="133"/>
      <c r="L931" s="85"/>
      <c r="M931" s="135"/>
      <c r="N931" s="260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259"/>
      <c r="K932" s="133"/>
      <c r="L932" s="85"/>
      <c r="M932" s="135"/>
      <c r="N932" s="260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259"/>
      <c r="K933" s="133"/>
      <c r="L933" s="85"/>
      <c r="M933" s="135"/>
      <c r="N933" s="260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259"/>
      <c r="K934" s="133"/>
      <c r="L934" s="85"/>
      <c r="M934" s="135"/>
      <c r="N934" s="260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259"/>
      <c r="K935" s="133"/>
      <c r="L935" s="85"/>
      <c r="M935" s="135"/>
      <c r="N935" s="260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259"/>
      <c r="K936" s="133"/>
      <c r="L936" s="85"/>
      <c r="M936" s="135"/>
      <c r="N936" s="260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259"/>
      <c r="K937" s="133"/>
      <c r="L937" s="85"/>
      <c r="M937" s="135"/>
      <c r="N937" s="260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259"/>
      <c r="K938" s="133"/>
      <c r="L938" s="85"/>
      <c r="M938" s="135"/>
      <c r="N938" s="260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259"/>
      <c r="K939" s="133"/>
      <c r="L939" s="85"/>
      <c r="M939" s="135"/>
      <c r="N939" s="260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259"/>
      <c r="K940" s="133"/>
      <c r="L940" s="85"/>
      <c r="M940" s="135"/>
      <c r="N940" s="260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259"/>
      <c r="K941" s="133"/>
      <c r="L941" s="85"/>
      <c r="M941" s="135"/>
      <c r="N941" s="260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259"/>
      <c r="K942" s="133"/>
      <c r="L942" s="85"/>
      <c r="M942" s="135"/>
      <c r="N942" s="260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259"/>
      <c r="K943" s="133"/>
      <c r="L943" s="85"/>
      <c r="M943" s="135"/>
      <c r="N943" s="260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259"/>
      <c r="K944" s="133"/>
      <c r="L944" s="85"/>
      <c r="M944" s="135"/>
      <c r="N944" s="260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259"/>
      <c r="K945" s="133"/>
      <c r="L945" s="85"/>
      <c r="M945" s="135"/>
      <c r="N945" s="260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259"/>
      <c r="K946" s="133"/>
      <c r="L946" s="85"/>
      <c r="M946" s="135"/>
      <c r="N946" s="260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259"/>
      <c r="K947" s="133"/>
      <c r="L947" s="85"/>
      <c r="M947" s="135"/>
      <c r="N947" s="260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259"/>
      <c r="K948" s="133"/>
      <c r="L948" s="85"/>
      <c r="M948" s="135"/>
      <c r="N948" s="260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259"/>
      <c r="K949" s="133"/>
      <c r="L949" s="85"/>
      <c r="M949" s="135"/>
      <c r="N949" s="260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259"/>
      <c r="K950" s="133"/>
      <c r="L950" s="85"/>
      <c r="M950" s="135"/>
      <c r="N950" s="260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259"/>
      <c r="K951" s="133"/>
      <c r="L951" s="85"/>
      <c r="M951" s="135"/>
      <c r="N951" s="260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259"/>
      <c r="K952" s="133"/>
      <c r="L952" s="85"/>
      <c r="M952" s="135"/>
      <c r="N952" s="260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259"/>
      <c r="K953" s="133"/>
      <c r="L953" s="85"/>
      <c r="M953" s="135"/>
      <c r="N953" s="260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259"/>
      <c r="K954" s="133"/>
      <c r="L954" s="85"/>
      <c r="M954" s="135"/>
      <c r="N954" s="260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259"/>
      <c r="K955" s="133"/>
      <c r="L955" s="85"/>
      <c r="M955" s="135"/>
      <c r="N955" s="260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259"/>
      <c r="K956" s="133"/>
      <c r="L956" s="85"/>
      <c r="M956" s="135"/>
      <c r="N956" s="260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259"/>
      <c r="K957" s="133"/>
      <c r="L957" s="85"/>
      <c r="M957" s="135"/>
      <c r="N957" s="260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259"/>
      <c r="K958" s="133"/>
      <c r="L958" s="85"/>
      <c r="M958" s="135"/>
      <c r="N958" s="260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259"/>
      <c r="K959" s="133"/>
      <c r="L959" s="85"/>
      <c r="M959" s="135"/>
      <c r="N959" s="260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259"/>
      <c r="K960" s="133"/>
      <c r="L960" s="85"/>
      <c r="M960" s="135"/>
      <c r="N960" s="260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259"/>
      <c r="K961" s="133"/>
      <c r="L961" s="85"/>
      <c r="M961" s="135"/>
      <c r="N961" s="260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259"/>
      <c r="K962" s="133"/>
      <c r="L962" s="85"/>
      <c r="M962" s="135"/>
      <c r="N962" s="260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259"/>
      <c r="K963" s="133"/>
      <c r="L963" s="85"/>
      <c r="M963" s="135"/>
      <c r="N963" s="260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259"/>
      <c r="K964" s="133"/>
      <c r="L964" s="85"/>
      <c r="M964" s="135"/>
      <c r="N964" s="260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259"/>
      <c r="K965" s="133"/>
      <c r="L965" s="85"/>
      <c r="M965" s="135"/>
      <c r="N965" s="260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259"/>
      <c r="K966" s="133"/>
      <c r="L966" s="85"/>
      <c r="M966" s="135"/>
      <c r="N966" s="260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259"/>
      <c r="K967" s="133"/>
      <c r="L967" s="85"/>
      <c r="M967" s="135"/>
      <c r="N967" s="260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259"/>
      <c r="K968" s="133"/>
      <c r="L968" s="85"/>
      <c r="M968" s="135"/>
      <c r="N968" s="260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259"/>
      <c r="K969" s="133"/>
      <c r="L969" s="85"/>
      <c r="M969" s="135"/>
      <c r="N969" s="260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259"/>
      <c r="K970" s="133"/>
      <c r="L970" s="85"/>
      <c r="M970" s="135"/>
      <c r="N970" s="260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259"/>
      <c r="K971" s="133"/>
      <c r="L971" s="85"/>
      <c r="M971" s="135"/>
      <c r="N971" s="260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259"/>
      <c r="K972" s="133"/>
      <c r="L972" s="85"/>
      <c r="M972" s="135"/>
      <c r="N972" s="260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259"/>
      <c r="K973" s="133"/>
      <c r="L973" s="85"/>
      <c r="M973" s="135"/>
      <c r="N973" s="260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259"/>
      <c r="K974" s="133"/>
      <c r="L974" s="85"/>
      <c r="M974" s="135"/>
      <c r="N974" s="260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259"/>
      <c r="K975" s="133"/>
      <c r="L975" s="85"/>
      <c r="M975" s="135"/>
      <c r="N975" s="260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259"/>
      <c r="K976" s="133"/>
      <c r="L976" s="85"/>
      <c r="M976" s="135"/>
      <c r="N976" s="260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259"/>
      <c r="K977" s="133"/>
      <c r="L977" s="85"/>
      <c r="M977" s="135"/>
      <c r="N977" s="260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259"/>
      <c r="K978" s="133"/>
      <c r="L978" s="85"/>
      <c r="M978" s="135"/>
      <c r="N978" s="260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259"/>
      <c r="K979" s="133"/>
      <c r="L979" s="85"/>
      <c r="M979" s="135"/>
      <c r="N979" s="260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259"/>
      <c r="K980" s="133"/>
      <c r="L980" s="85"/>
      <c r="M980" s="135"/>
      <c r="N980" s="260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259"/>
      <c r="K981" s="133"/>
      <c r="L981" s="85"/>
      <c r="M981" s="135"/>
      <c r="N981" s="260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259"/>
      <c r="K982" s="133"/>
      <c r="L982" s="85"/>
      <c r="M982" s="135"/>
      <c r="N982" s="260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259"/>
      <c r="K983" s="133"/>
      <c r="L983" s="85"/>
      <c r="M983" s="135"/>
      <c r="N983" s="260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259"/>
      <c r="K984" s="133"/>
      <c r="L984" s="85"/>
      <c r="M984" s="135"/>
      <c r="N984" s="260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259"/>
      <c r="K985" s="133"/>
      <c r="L985" s="85"/>
      <c r="M985" s="135"/>
      <c r="N985" s="260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259"/>
      <c r="K986" s="133"/>
      <c r="L986" s="85"/>
      <c r="M986" s="135"/>
      <c r="N986" s="260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259"/>
      <c r="K987" s="133"/>
      <c r="L987" s="85"/>
      <c r="M987" s="135"/>
      <c r="N987" s="260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259"/>
      <c r="K988" s="133"/>
      <c r="L988" s="85"/>
      <c r="M988" s="135"/>
      <c r="N988" s="260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259"/>
      <c r="K989" s="133"/>
      <c r="L989" s="85"/>
      <c r="M989" s="135"/>
      <c r="N989" s="260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259"/>
      <c r="K990" s="133"/>
      <c r="L990" s="85"/>
      <c r="M990" s="135"/>
      <c r="N990" s="260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259"/>
      <c r="K991" s="133"/>
      <c r="L991" s="85"/>
      <c r="M991" s="135"/>
      <c r="N991" s="260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259"/>
      <c r="K992" s="133"/>
      <c r="L992" s="85"/>
      <c r="M992" s="135"/>
      <c r="N992" s="260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259"/>
      <c r="K993" s="133"/>
      <c r="L993" s="85"/>
      <c r="M993" s="135"/>
      <c r="N993" s="260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259"/>
      <c r="K994" s="133"/>
      <c r="L994" s="85"/>
      <c r="M994" s="135"/>
      <c r="N994" s="260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259"/>
      <c r="K995" s="133"/>
      <c r="L995" s="85"/>
      <c r="M995" s="135"/>
      <c r="N995" s="260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259"/>
      <c r="K996" s="133"/>
      <c r="L996" s="85"/>
      <c r="M996" s="135"/>
      <c r="N996" s="260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259"/>
      <c r="K997" s="133"/>
      <c r="L997" s="85"/>
      <c r="M997" s="135"/>
      <c r="N997" s="260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259"/>
      <c r="K998" s="133"/>
      <c r="L998" s="85"/>
      <c r="M998" s="135"/>
      <c r="N998" s="260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259"/>
      <c r="K999" s="133"/>
      <c r="L999" s="85"/>
      <c r="M999" s="135"/>
      <c r="N999" s="260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259"/>
      <c r="K1000" s="133"/>
      <c r="L1000" s="85"/>
      <c r="M1000" s="135"/>
      <c r="N1000" s="260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23.0"/>
    <col customWidth="1" min="20" max="20" width="15.13"/>
    <col customWidth="1" min="21" max="21" width="12.25"/>
    <col customWidth="1" min="22" max="22" width="23.25"/>
    <col customWidth="1" min="23" max="24" width="6.88"/>
    <col customWidth="1" min="25" max="25" width="10.88"/>
    <col customWidth="1" min="26" max="26" width="15.38"/>
    <col customWidth="1" min="27" max="28" width="6.88"/>
  </cols>
  <sheetData>
    <row r="1" ht="48.75" customHeight="1">
      <c r="A1" s="9"/>
      <c r="B1" s="2"/>
      <c r="C1" s="3" t="s">
        <v>2389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2390</v>
      </c>
      <c r="D4" s="21"/>
      <c r="E4" s="20"/>
      <c r="F4" s="21"/>
      <c r="G4" s="23" t="s">
        <v>2391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40"/>
      <c r="T4" s="76"/>
      <c r="U4" s="6"/>
      <c r="V4" s="293" t="s">
        <v>2392</v>
      </c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40"/>
      <c r="T5" s="76"/>
      <c r="U5" s="40"/>
      <c r="V5" s="267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109">
        <f>SUMIF(M:M,"远程佣金",N:N)</f>
        <v>4008.91</v>
      </c>
      <c r="T6" s="26" t="s">
        <v>2393</v>
      </c>
      <c r="U6" s="186"/>
      <c r="V6" s="267">
        <f>S6</f>
        <v>4008.91</v>
      </c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643</v>
      </c>
      <c r="D7" s="54" t="s">
        <v>16</v>
      </c>
      <c r="E7" s="29"/>
      <c r="F7" s="30"/>
      <c r="G7" s="55">
        <v>1.0</v>
      </c>
      <c r="H7" s="241">
        <v>45505.0</v>
      </c>
      <c r="I7" s="57" t="s">
        <v>644</v>
      </c>
      <c r="J7" s="58">
        <f>'7月收支财务报表'!C13</f>
        <v>24393.32249</v>
      </c>
      <c r="K7" s="59"/>
      <c r="L7" s="60"/>
      <c r="M7" s="61"/>
      <c r="N7" s="62"/>
      <c r="O7" s="63"/>
      <c r="P7" s="205"/>
      <c r="Q7" s="41"/>
      <c r="R7" s="39"/>
      <c r="S7" s="248">
        <f>SUMIF(M:M,"广告配套",N:N)</f>
        <v>10007.05</v>
      </c>
      <c r="T7" s="26" t="s">
        <v>20</v>
      </c>
      <c r="U7" s="252">
        <f>S7+'8月备用金充值详情'!S11</f>
        <v>12649.29</v>
      </c>
      <c r="V7" s="267">
        <f>U7</f>
        <v>12649.29</v>
      </c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45505.0</v>
      </c>
      <c r="I8" s="68"/>
      <c r="J8" s="69"/>
      <c r="K8" s="70"/>
      <c r="L8" s="71"/>
      <c r="M8" s="72" t="s">
        <v>2326</v>
      </c>
      <c r="N8" s="90">
        <v>3929.78</v>
      </c>
      <c r="O8" s="74" t="s">
        <v>2394</v>
      </c>
      <c r="P8" s="75">
        <v>0.4756944444444444</v>
      </c>
      <c r="Q8" s="41"/>
      <c r="R8" s="39"/>
      <c r="S8" s="248">
        <f>SUMIF(M:M,"凤凰&amp;洛阳&amp;15+1（1200）&amp;8+1（60）",N:N)</f>
        <v>1070120</v>
      </c>
      <c r="T8" s="26" t="s">
        <v>2076</v>
      </c>
      <c r="V8" s="267">
        <f t="shared" ref="V8:V9" si="1">S8</f>
        <v>1070120</v>
      </c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1859007.612</v>
      </c>
      <c r="D9" s="30"/>
      <c r="E9" s="29"/>
      <c r="F9" s="30"/>
      <c r="G9" s="66">
        <v>3.0</v>
      </c>
      <c r="H9" s="153">
        <v>45505.0</v>
      </c>
      <c r="I9" s="68"/>
      <c r="J9" s="69"/>
      <c r="K9" s="70"/>
      <c r="L9" s="88"/>
      <c r="M9" s="72" t="s">
        <v>2243</v>
      </c>
      <c r="N9" s="90">
        <v>2080.6</v>
      </c>
      <c r="O9" s="74" t="s">
        <v>2395</v>
      </c>
      <c r="P9" s="75">
        <v>0.5625</v>
      </c>
      <c r="Q9" s="41"/>
      <c r="R9" s="39"/>
      <c r="S9" s="294">
        <f>SUMIF(M:M,"谷歌新主体户15+6",N:N)-J32</f>
        <v>524</v>
      </c>
      <c r="T9" s="295" t="s">
        <v>2396</v>
      </c>
      <c r="U9" s="40"/>
      <c r="V9" s="267">
        <f t="shared" si="1"/>
        <v>524</v>
      </c>
      <c r="W9" s="76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45505.0</v>
      </c>
      <c r="I10" s="68"/>
      <c r="J10" s="69"/>
      <c r="K10" s="85"/>
      <c r="L10" s="86"/>
      <c r="M10" s="72" t="s">
        <v>2243</v>
      </c>
      <c r="N10" s="90">
        <v>3300.6</v>
      </c>
      <c r="O10" s="74" t="s">
        <v>2395</v>
      </c>
      <c r="P10" s="75">
        <v>0.5854166666666667</v>
      </c>
      <c r="Q10" s="41"/>
      <c r="R10" s="39"/>
      <c r="S10" s="296">
        <f>SUMIF(M:M,"江小南虚拟卡广告费",N:N)</f>
        <v>10200</v>
      </c>
      <c r="T10" s="295" t="s">
        <v>2397</v>
      </c>
      <c r="U10" s="297">
        <f>S10+'7月收支财务报表'!S9+'7月备用金充值详情'!S13</f>
        <v>65110</v>
      </c>
      <c r="V10" s="267">
        <f>U10-J63</f>
        <v>59003.09</v>
      </c>
      <c r="W10" s="76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1844118.72</v>
      </c>
      <c r="D11" s="30"/>
      <c r="E11" s="29"/>
      <c r="F11" s="30"/>
      <c r="G11" s="66">
        <v>5.0</v>
      </c>
      <c r="H11" s="153">
        <v>45505.0</v>
      </c>
      <c r="I11" s="68"/>
      <c r="J11" s="69"/>
      <c r="K11" s="87"/>
      <c r="L11" s="71"/>
      <c r="M11" s="72" t="s">
        <v>20</v>
      </c>
      <c r="N11" s="90">
        <v>277.75</v>
      </c>
      <c r="O11" s="74" t="s">
        <v>2398</v>
      </c>
      <c r="P11" s="75">
        <v>0.6951388888888889</v>
      </c>
      <c r="Q11" s="41"/>
      <c r="R11" s="39"/>
      <c r="S11" s="109">
        <f>SUMIF(M:M,"账单户广告费",N:N)</f>
        <v>42604.71</v>
      </c>
      <c r="T11" s="26" t="s">
        <v>1829</v>
      </c>
      <c r="V11" s="267">
        <f>S11</f>
        <v>42604.71</v>
      </c>
      <c r="W11" s="76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45505.0</v>
      </c>
      <c r="I12" s="68"/>
      <c r="J12" s="69"/>
      <c r="K12" s="87"/>
      <c r="L12" s="71"/>
      <c r="M12" s="72" t="s">
        <v>2296</v>
      </c>
      <c r="N12" s="90">
        <v>3484.5</v>
      </c>
      <c r="O12" s="74" t="s">
        <v>469</v>
      </c>
      <c r="P12" s="75">
        <v>0.7979166666666667</v>
      </c>
      <c r="Q12" s="41"/>
      <c r="R12" s="39"/>
      <c r="S12" s="298">
        <f>SUMIF(M:M,"fb广告费充值",N:N)</f>
        <v>7847.7</v>
      </c>
      <c r="T12" s="52" t="s">
        <v>2399</v>
      </c>
      <c r="U12" s="272">
        <f>S12+'7月收支财务报表'!S6+'7月备用金充值详情'!S11</f>
        <v>50049.62</v>
      </c>
      <c r="V12" s="271" t="s">
        <v>2400</v>
      </c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14888.89249</v>
      </c>
      <c r="D13" s="30"/>
      <c r="E13" s="29"/>
      <c r="F13" s="30"/>
      <c r="G13" s="66">
        <v>7.0</v>
      </c>
      <c r="H13" s="153">
        <v>45506.0</v>
      </c>
      <c r="I13" s="68" t="s">
        <v>2401</v>
      </c>
      <c r="J13" s="69">
        <v>234.16</v>
      </c>
      <c r="K13" s="70"/>
      <c r="L13" s="88" t="s">
        <v>2402</v>
      </c>
      <c r="M13" s="72" t="s">
        <v>2397</v>
      </c>
      <c r="N13" s="90">
        <v>10200.0</v>
      </c>
      <c r="O13" s="74" t="s">
        <v>2403</v>
      </c>
      <c r="P13" s="75">
        <v>0.3798611111111111</v>
      </c>
      <c r="Q13" s="41"/>
      <c r="R13" s="39"/>
      <c r="S13" s="190">
        <f>SUMIF(M:M,"wade 美国户6+1",N:N)-J88</f>
        <v>4405.98</v>
      </c>
      <c r="T13" s="26" t="s">
        <v>2326</v>
      </c>
      <c r="U13" s="267">
        <f>S13+3210+736-J88-J178</f>
        <v>2962.97</v>
      </c>
      <c r="V13" s="267">
        <f>U13</f>
        <v>2962.97</v>
      </c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45506.0</v>
      </c>
      <c r="I14" s="68"/>
      <c r="J14" s="69"/>
      <c r="K14" s="85"/>
      <c r="L14" s="71"/>
      <c r="M14" s="72" t="s">
        <v>20</v>
      </c>
      <c r="N14" s="90">
        <v>303.0</v>
      </c>
      <c r="O14" s="74" t="s">
        <v>2404</v>
      </c>
      <c r="P14" s="75">
        <v>0.38263888888888886</v>
      </c>
      <c r="Q14" s="41"/>
      <c r="R14" s="39"/>
      <c r="S14" s="109">
        <f>SUMIF(M:M,"wade- 海外户对接nancy",N:N)</f>
        <v>27701.2</v>
      </c>
      <c r="T14" s="26" t="s">
        <v>2243</v>
      </c>
      <c r="U14" s="299">
        <f>S14+'8月备用金充值详情'!N12</f>
        <v>33201.2</v>
      </c>
      <c r="V14" s="300">
        <f>U14-'9月收支财务报表'!J8-W14</f>
        <v>11770.26</v>
      </c>
      <c r="W14" s="40">
        <f>13430.94</f>
        <v>13430.94</v>
      </c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45506.0</v>
      </c>
      <c r="I15" s="68" t="s">
        <v>1968</v>
      </c>
      <c r="J15" s="69">
        <v>10000.0</v>
      </c>
      <c r="K15" s="87"/>
      <c r="L15" s="71">
        <v>0.45555555555555555</v>
      </c>
      <c r="M15" s="72" t="s">
        <v>2296</v>
      </c>
      <c r="N15" s="90">
        <v>4363.2</v>
      </c>
      <c r="O15" s="74" t="s">
        <v>469</v>
      </c>
      <c r="P15" s="75">
        <v>0.45555555555555555</v>
      </c>
      <c r="Q15" s="41"/>
      <c r="R15" s="39"/>
      <c r="S15" s="109">
        <f>SUMIF(M:M,"fb代投广告费",N:N)</f>
        <v>83919</v>
      </c>
      <c r="T15" s="26" t="s">
        <v>2405</v>
      </c>
      <c r="U15" s="185" t="s">
        <v>2406</v>
      </c>
      <c r="V15" s="267">
        <f>S15-J62</f>
        <v>78895</v>
      </c>
      <c r="W15" s="76"/>
      <c r="X15" s="125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45506.0</v>
      </c>
      <c r="I16" s="68" t="s">
        <v>2407</v>
      </c>
      <c r="J16" s="69">
        <v>63429.0</v>
      </c>
      <c r="K16" s="92"/>
      <c r="L16" s="71">
        <v>0.5861111111111111</v>
      </c>
      <c r="M16" s="72" t="s">
        <v>2408</v>
      </c>
      <c r="N16" s="90">
        <v>10001.0</v>
      </c>
      <c r="O16" s="74"/>
      <c r="P16" s="75">
        <v>0.5888888888888889</v>
      </c>
      <c r="Q16" s="41"/>
      <c r="R16" s="39"/>
      <c r="S16" s="296">
        <f>SUMIF(M:M,"美丽fb代投广告费",N:N)</f>
        <v>4800</v>
      </c>
      <c r="T16" s="295" t="s">
        <v>2409</v>
      </c>
      <c r="U16" s="301" t="s">
        <v>2410</v>
      </c>
      <c r="V16" s="267">
        <f t="shared" ref="V16:V17" si="2">S16</f>
        <v>4800</v>
      </c>
      <c r="W16" s="76"/>
      <c r="X16" s="125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45506.0</v>
      </c>
      <c r="I17" s="68" t="s">
        <v>2411</v>
      </c>
      <c r="J17" s="69">
        <v>50000.0</v>
      </c>
      <c r="K17" s="92"/>
      <c r="L17" s="71">
        <v>0.5944444444444444</v>
      </c>
      <c r="M17" s="72" t="s">
        <v>2405</v>
      </c>
      <c r="N17" s="90">
        <v>5400.0</v>
      </c>
      <c r="O17" s="74" t="s">
        <v>2406</v>
      </c>
      <c r="P17" s="75">
        <v>0.6375</v>
      </c>
      <c r="Q17" s="41"/>
      <c r="R17" s="39"/>
      <c r="S17" s="109">
        <f>SUMIF(M:M,"启航广告费",N:N)</f>
        <v>99876.57</v>
      </c>
      <c r="T17" s="26" t="s">
        <v>827</v>
      </c>
      <c r="U17" s="186">
        <f>S17+'8月备用金充值详情'!S8</f>
        <v>103669.99</v>
      </c>
      <c r="V17" s="267">
        <f t="shared" si="2"/>
        <v>99876.57</v>
      </c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45506.0</v>
      </c>
      <c r="I18" s="68"/>
      <c r="J18" s="69"/>
      <c r="K18" s="92"/>
      <c r="L18" s="71"/>
      <c r="M18" s="72" t="s">
        <v>20</v>
      </c>
      <c r="N18" s="90">
        <v>414.1</v>
      </c>
      <c r="O18" s="74" t="s">
        <v>2412</v>
      </c>
      <c r="P18" s="75">
        <v>0.6402777777777777</v>
      </c>
      <c r="Q18" s="41"/>
      <c r="R18" s="39"/>
      <c r="S18" s="109">
        <f>SUMIF(M:M,"谷歌代投",N:N)</f>
        <v>16000</v>
      </c>
      <c r="T18" s="26" t="s">
        <v>2413</v>
      </c>
      <c r="U18" s="40"/>
      <c r="V18" s="267">
        <f>S18-J65</f>
        <v>2944</v>
      </c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45506.0</v>
      </c>
      <c r="I19" s="154"/>
      <c r="J19" s="17"/>
      <c r="K19" s="93"/>
      <c r="L19" s="155"/>
      <c r="M19" s="72" t="s">
        <v>20</v>
      </c>
      <c r="N19" s="90">
        <v>416.0</v>
      </c>
      <c r="O19" s="74" t="s">
        <v>2414</v>
      </c>
      <c r="P19" s="75">
        <v>0.6680555555555555</v>
      </c>
      <c r="Q19" s="41"/>
      <c r="R19" s="39"/>
      <c r="S19" s="109">
        <f>SUMIF(M:M,"Fa代投广告费",N:N)</f>
        <v>138735</v>
      </c>
      <c r="T19" s="26" t="s">
        <v>2262</v>
      </c>
      <c r="V19" s="267">
        <f t="shared" ref="V19:V26" si="3">S19</f>
        <v>138735</v>
      </c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45506.0</v>
      </c>
      <c r="I20" s="154"/>
      <c r="J20" s="17"/>
      <c r="K20" s="93"/>
      <c r="L20" s="155"/>
      <c r="M20" s="72" t="s">
        <v>1968</v>
      </c>
      <c r="N20" s="90">
        <v>63000.0</v>
      </c>
      <c r="O20" s="74" t="s">
        <v>1841</v>
      </c>
      <c r="P20" s="75">
        <v>0.6840277777777778</v>
      </c>
      <c r="Q20" s="41"/>
      <c r="R20" s="39"/>
      <c r="S20" s="109">
        <f>SUMIF(M:M,"欧洲户广告费",N:N)</f>
        <v>1030</v>
      </c>
      <c r="T20" s="26" t="s">
        <v>2415</v>
      </c>
      <c r="V20" s="267">
        <f t="shared" si="3"/>
        <v>1030</v>
      </c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1859007.612</v>
      </c>
      <c r="D21" s="30"/>
      <c r="E21" s="29"/>
      <c r="F21" s="30"/>
      <c r="G21" s="66">
        <v>15.0</v>
      </c>
      <c r="H21" s="153">
        <v>45506.0</v>
      </c>
      <c r="I21" s="68" t="s">
        <v>2416</v>
      </c>
      <c r="J21" s="69">
        <v>990.0</v>
      </c>
      <c r="K21" s="70" t="s">
        <v>2417</v>
      </c>
      <c r="L21" s="71">
        <v>0.6902777777777778</v>
      </c>
      <c r="M21" s="72" t="s">
        <v>827</v>
      </c>
      <c r="N21" s="90">
        <v>736.9</v>
      </c>
      <c r="O21" s="74" t="s">
        <v>43</v>
      </c>
      <c r="P21" s="75">
        <v>0.7361111111111112</v>
      </c>
      <c r="Q21" s="41"/>
      <c r="R21" s="39"/>
      <c r="S21" s="109">
        <f>SUMIF(M:M,"SW 印度 表单＋落地页40+前10城市",N:N)</f>
        <v>8500</v>
      </c>
      <c r="T21" s="26" t="s">
        <v>2418</v>
      </c>
      <c r="V21" s="267">
        <f t="shared" si="3"/>
        <v>8500</v>
      </c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45506.0</v>
      </c>
      <c r="I22" s="68"/>
      <c r="J22" s="17"/>
      <c r="K22" s="93"/>
      <c r="L22" s="155"/>
      <c r="M22" s="72" t="s">
        <v>2415</v>
      </c>
      <c r="N22" s="90">
        <v>1030.0</v>
      </c>
      <c r="O22" s="74" t="s">
        <v>2419</v>
      </c>
      <c r="P22" s="75">
        <v>0.7548611111111111</v>
      </c>
      <c r="Q22" s="41"/>
      <c r="R22" s="39"/>
      <c r="S22" s="109">
        <f>SUMIF(M:M,"L ynn 印度 fb 美国 fb 土耳其 fb 巴西 FB",N:N)</f>
        <v>27300</v>
      </c>
      <c r="T22" s="26" t="s">
        <v>2420</v>
      </c>
      <c r="V22" s="267">
        <f t="shared" si="3"/>
        <v>27300</v>
      </c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1844118.72</v>
      </c>
      <c r="D23" s="30"/>
      <c r="E23" s="29"/>
      <c r="F23" s="30"/>
      <c r="G23" s="66">
        <v>17.0</v>
      </c>
      <c r="H23" s="153">
        <v>45506.0</v>
      </c>
      <c r="I23" s="68"/>
      <c r="J23" s="69"/>
      <c r="K23" s="87"/>
      <c r="L23" s="71"/>
      <c r="M23" s="72" t="s">
        <v>2421</v>
      </c>
      <c r="N23" s="90">
        <v>10000.0</v>
      </c>
      <c r="O23" s="74" t="s">
        <v>2422</v>
      </c>
      <c r="P23" s="75">
        <v>0.75625</v>
      </c>
      <c r="Q23" s="41"/>
      <c r="R23" s="39"/>
      <c r="S23" s="294">
        <f>SUMIF(M:M,"土耳其蛋蛋小黄鸡",N:N)-J87</f>
        <v>494</v>
      </c>
      <c r="T23" s="295" t="s">
        <v>2423</v>
      </c>
      <c r="V23" s="267">
        <f t="shared" si="3"/>
        <v>494</v>
      </c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45506.0</v>
      </c>
      <c r="I24" s="68"/>
      <c r="J24" s="69"/>
      <c r="K24" s="85"/>
      <c r="L24" s="71"/>
      <c r="M24" s="72" t="s">
        <v>2396</v>
      </c>
      <c r="N24" s="90">
        <v>6480.0</v>
      </c>
      <c r="O24" s="74" t="s">
        <v>2424</v>
      </c>
      <c r="P24" s="75">
        <v>0.9083333333333333</v>
      </c>
      <c r="Q24" s="41"/>
      <c r="R24" s="39"/>
      <c r="S24" s="109">
        <f>SUMIF(M:M,"低消1万美金户",N:N)</f>
        <v>11194</v>
      </c>
      <c r="T24" s="26" t="s">
        <v>2023</v>
      </c>
      <c r="V24" s="302">
        <f t="shared" si="3"/>
        <v>11194</v>
      </c>
      <c r="W24" s="267">
        <f>V24-500</f>
        <v>10694</v>
      </c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14888.89249</v>
      </c>
      <c r="D25" s="30"/>
      <c r="E25" s="29"/>
      <c r="F25" s="30"/>
      <c r="G25" s="66">
        <v>19.0</v>
      </c>
      <c r="H25" s="153">
        <v>45507.0</v>
      </c>
      <c r="I25" s="68"/>
      <c r="J25" s="69"/>
      <c r="K25" s="70"/>
      <c r="L25" s="71"/>
      <c r="M25" s="72" t="s">
        <v>2243</v>
      </c>
      <c r="N25" s="90">
        <v>5500.0</v>
      </c>
      <c r="O25" s="74" t="s">
        <v>2395</v>
      </c>
      <c r="P25" s="75">
        <v>0.6659722222222222</v>
      </c>
      <c r="Q25" s="41"/>
      <c r="R25" s="39"/>
      <c r="S25" s="109">
        <f>SUMIF(M:M,"印度本土财经-测试",N:N)</f>
        <v>14000</v>
      </c>
      <c r="T25" s="26" t="s">
        <v>2425</v>
      </c>
      <c r="V25" s="267">
        <f t="shared" si="3"/>
        <v>14000</v>
      </c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45507.0</v>
      </c>
      <c r="I26" s="68"/>
      <c r="J26" s="69"/>
      <c r="K26" s="70"/>
      <c r="L26" s="71"/>
      <c r="M26" s="72" t="s">
        <v>2405</v>
      </c>
      <c r="N26" s="90">
        <v>12600.0</v>
      </c>
      <c r="O26" s="74" t="s">
        <v>2406</v>
      </c>
      <c r="P26" s="75">
        <v>0.75</v>
      </c>
      <c r="Q26" s="41"/>
      <c r="R26" s="39"/>
      <c r="S26" s="109">
        <f>SUMIF(M:M,"印度打群（南山）",N:N)</f>
        <v>3600</v>
      </c>
      <c r="T26" s="26" t="s">
        <v>2426</v>
      </c>
      <c r="V26" s="267">
        <f t="shared" si="3"/>
        <v>3600</v>
      </c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45507.0</v>
      </c>
      <c r="I27" s="68"/>
      <c r="J27" s="69"/>
      <c r="K27" s="70"/>
      <c r="L27" s="71"/>
      <c r="M27" s="72" t="s">
        <v>2262</v>
      </c>
      <c r="N27" s="90">
        <v>2992.0</v>
      </c>
      <c r="O27" s="74" t="s">
        <v>2263</v>
      </c>
      <c r="P27" s="75">
        <v>0.7881944444444444</v>
      </c>
      <c r="Q27" s="41"/>
      <c r="R27" s="39"/>
      <c r="S27" s="109">
        <f>SUMIF(M:M,"美国单导 小黄鸡",N:N)</f>
        <v>4500</v>
      </c>
      <c r="T27" s="26" t="s">
        <v>2427</v>
      </c>
      <c r="V27" s="267">
        <f>S27-J154</f>
        <v>2970</v>
      </c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45508.0</v>
      </c>
      <c r="I28" s="68"/>
      <c r="J28" s="69"/>
      <c r="K28" s="85"/>
      <c r="L28" s="71"/>
      <c r="M28" s="72" t="s">
        <v>2243</v>
      </c>
      <c r="N28" s="90">
        <v>1000.0</v>
      </c>
      <c r="O28" s="74" t="s">
        <v>2395</v>
      </c>
      <c r="P28" s="75">
        <v>0.6388888888888888</v>
      </c>
      <c r="Q28" s="41"/>
      <c r="R28" s="39"/>
      <c r="S28" s="109">
        <f>SUMIF(M:M,"备用金",N:N)</f>
        <v>10000</v>
      </c>
      <c r="T28" s="26" t="s">
        <v>2421</v>
      </c>
      <c r="V28" s="267">
        <f>S28-'8月备用金充值详情'!N22</f>
        <v>8375.14</v>
      </c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45508.0</v>
      </c>
      <c r="I29" s="68" t="s">
        <v>2428</v>
      </c>
      <c r="J29" s="69">
        <v>100000.0</v>
      </c>
      <c r="K29" s="70" t="s">
        <v>2429</v>
      </c>
      <c r="L29" s="71">
        <v>0.65</v>
      </c>
      <c r="M29" s="72" t="s">
        <v>2243</v>
      </c>
      <c r="N29" s="90">
        <v>11700.0</v>
      </c>
      <c r="O29" s="74" t="s">
        <v>2430</v>
      </c>
      <c r="P29" s="75">
        <v>0.7701388888888889</v>
      </c>
      <c r="Q29" s="41"/>
      <c r="R29" s="39"/>
      <c r="S29" s="109">
        <f>SUMIF(M:M,"HUI&amp;HT_土耳其FB对接",N:N)</f>
        <v>10400</v>
      </c>
      <c r="T29" s="26" t="s">
        <v>2431</v>
      </c>
      <c r="V29" s="267">
        <f>S29</f>
        <v>10400</v>
      </c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45509.0</v>
      </c>
      <c r="I30" s="68"/>
      <c r="J30" s="69"/>
      <c r="K30" s="85"/>
      <c r="L30" s="71"/>
      <c r="M30" s="72" t="s">
        <v>2243</v>
      </c>
      <c r="N30" s="90">
        <v>2060.0</v>
      </c>
      <c r="O30" s="74" t="s">
        <v>2395</v>
      </c>
      <c r="P30" s="75">
        <v>0.4270833333333333</v>
      </c>
      <c r="Q30" s="41"/>
      <c r="R30" s="39"/>
      <c r="S30" s="109">
        <f>SUMIF(M:M,"后勤转入",N:N)</f>
        <v>177481.6</v>
      </c>
      <c r="T30" s="26" t="s">
        <v>1968</v>
      </c>
      <c r="V30" s="267">
        <f>SUM(V8:V29)-V28-13430+'8月备用金充值详情'!S8</f>
        <v>1582087.02</v>
      </c>
      <c r="W30" s="267">
        <f>V30-286506</f>
        <v>1295581.02</v>
      </c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45509.0</v>
      </c>
      <c r="I31" s="68"/>
      <c r="J31" s="69"/>
      <c r="K31" s="70"/>
      <c r="L31" s="88"/>
      <c r="M31" s="72" t="s">
        <v>2405</v>
      </c>
      <c r="N31" s="90">
        <v>14400.0</v>
      </c>
      <c r="O31" s="74" t="s">
        <v>2406</v>
      </c>
      <c r="P31" s="75">
        <v>0.43333333333333335</v>
      </c>
      <c r="Q31" s="41"/>
      <c r="R31" s="39"/>
      <c r="S31" s="109">
        <f>SUMIF(M:M,"后勤转回",N:N)</f>
        <v>45001</v>
      </c>
      <c r="T31" s="26" t="s">
        <v>2408</v>
      </c>
      <c r="V31" s="267"/>
      <c r="W31" s="40"/>
      <c r="X31" s="41"/>
      <c r="Y31" s="30"/>
      <c r="Z31" s="303">
        <f>C21-C25-S6-S7-S30-S31-S28</f>
        <v>1597620.16</v>
      </c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45509.0</v>
      </c>
      <c r="I32" s="68" t="s">
        <v>2396</v>
      </c>
      <c r="J32" s="69">
        <v>5956.0</v>
      </c>
      <c r="K32" s="70" t="s">
        <v>2432</v>
      </c>
      <c r="L32" s="71">
        <v>0.5958333333333333</v>
      </c>
      <c r="M32" s="72" t="s">
        <v>2326</v>
      </c>
      <c r="N32" s="90">
        <v>1082.2</v>
      </c>
      <c r="O32" s="74" t="s">
        <v>2394</v>
      </c>
      <c r="P32" s="75">
        <v>0.6215277777777778</v>
      </c>
      <c r="Q32" s="41"/>
      <c r="R32" s="39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45509.0</v>
      </c>
      <c r="I33" s="68" t="s">
        <v>2433</v>
      </c>
      <c r="J33" s="69">
        <v>5400.0</v>
      </c>
      <c r="K33" s="70"/>
      <c r="L33" s="71">
        <v>0.8673611111111111</v>
      </c>
      <c r="M33" s="72" t="s">
        <v>2409</v>
      </c>
      <c r="N33" s="90">
        <v>4800.0</v>
      </c>
      <c r="O33" s="74" t="s">
        <v>2410</v>
      </c>
      <c r="P33" s="75">
        <v>0.8708333333333333</v>
      </c>
      <c r="Q33" s="41"/>
      <c r="R33" s="39"/>
      <c r="S33" s="236">
        <f>SUM(S6:S30)+N48+10000</f>
        <v>1834249.72</v>
      </c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45510.0</v>
      </c>
      <c r="I34" s="154"/>
      <c r="J34" s="69"/>
      <c r="K34" s="87"/>
      <c r="L34" s="71"/>
      <c r="M34" s="72" t="s">
        <v>2405</v>
      </c>
      <c r="N34" s="90">
        <v>18000.0</v>
      </c>
      <c r="O34" s="74" t="s">
        <v>2406</v>
      </c>
      <c r="P34" s="75">
        <v>0.33611111111111114</v>
      </c>
      <c r="Q34" s="41"/>
      <c r="R34" s="39"/>
      <c r="S34" s="109">
        <f>SUMIF(I:I,"印度11期'（20000）",J:J)</f>
        <v>84481.6</v>
      </c>
      <c r="T34" s="26" t="s">
        <v>2411</v>
      </c>
      <c r="U34" s="40">
        <f>S34+'7月收支财务报表'!S19</f>
        <v>293781.6</v>
      </c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45510.0</v>
      </c>
      <c r="I35" s="68"/>
      <c r="J35" s="69"/>
      <c r="K35" s="85"/>
      <c r="L35" s="71"/>
      <c r="M35" s="72" t="s">
        <v>1968</v>
      </c>
      <c r="N35" s="90">
        <v>20000.0</v>
      </c>
      <c r="O35" s="74" t="s">
        <v>1841</v>
      </c>
      <c r="P35" s="75">
        <v>0.33819444444444446</v>
      </c>
      <c r="Q35" s="41"/>
      <c r="R35" s="39"/>
      <c r="S35" s="109">
        <f>SUMIF(I:I,"印度12期打粉（20000）",J:J)</f>
        <v>350000</v>
      </c>
      <c r="T35" s="26" t="s">
        <v>2428</v>
      </c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45510.0</v>
      </c>
      <c r="I36" s="68" t="s">
        <v>2273</v>
      </c>
      <c r="J36" s="69">
        <v>20000.0</v>
      </c>
      <c r="K36" s="70" t="s">
        <v>2274</v>
      </c>
      <c r="L36" s="71">
        <v>0.6111111111111112</v>
      </c>
      <c r="M36" s="72"/>
      <c r="N36" s="90"/>
      <c r="O36" s="74"/>
      <c r="P36" s="75"/>
      <c r="Q36" s="41"/>
      <c r="R36" s="39"/>
      <c r="S36" s="109">
        <f>SUMIF(I:I,"美盘打粉对接群（钱总群）7月",J:J)</f>
        <v>5400</v>
      </c>
      <c r="T36" s="26" t="s">
        <v>2434</v>
      </c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45511.0</v>
      </c>
      <c r="I37" s="68"/>
      <c r="J37" s="69"/>
      <c r="K37" s="70"/>
      <c r="L37" s="71"/>
      <c r="M37" s="72" t="s">
        <v>2405</v>
      </c>
      <c r="N37" s="90">
        <v>30000.0</v>
      </c>
      <c r="O37" s="74" t="s">
        <v>2406</v>
      </c>
      <c r="P37" s="75">
        <v>0.47847222222222224</v>
      </c>
      <c r="Q37" s="41"/>
      <c r="R37" s="39"/>
      <c r="S37" s="109">
        <f>SUMIF(I:I,"土耳其打粉群1",J:J)</f>
        <v>270000</v>
      </c>
      <c r="T37" s="26" t="s">
        <v>2273</v>
      </c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45511.0</v>
      </c>
      <c r="I38" s="68"/>
      <c r="J38" s="69"/>
      <c r="K38" s="70"/>
      <c r="L38" s="71"/>
      <c r="M38" s="72" t="s">
        <v>20</v>
      </c>
      <c r="N38" s="90">
        <v>200.0</v>
      </c>
      <c r="O38" s="74" t="s">
        <v>211</v>
      </c>
      <c r="P38" s="75">
        <v>0.48680555555555555</v>
      </c>
      <c r="Q38" s="41"/>
      <c r="R38" s="39"/>
      <c r="S38" s="109">
        <f>SUMIF(I:I,"印度粉 FB 孟德",J:J)</f>
        <v>236640</v>
      </c>
      <c r="T38" s="26" t="s">
        <v>2435</v>
      </c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45511.0</v>
      </c>
      <c r="I39" s="68"/>
      <c r="J39" s="69"/>
      <c r="K39" s="70"/>
      <c r="L39" s="71"/>
      <c r="M39" s="72" t="s">
        <v>20</v>
      </c>
      <c r="N39" s="90">
        <v>300.0</v>
      </c>
      <c r="O39" s="74" t="s">
        <v>2436</v>
      </c>
      <c r="P39" s="75">
        <v>0.49027777777777776</v>
      </c>
      <c r="Q39" s="41"/>
      <c r="R39" s="39"/>
      <c r="S39" s="109">
        <f>SUMIF(I:I,"印度粉 FB 李修缘",J:J)</f>
        <v>100000</v>
      </c>
      <c r="T39" s="26" t="s">
        <v>2246</v>
      </c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45511.0</v>
      </c>
      <c r="I40" s="68"/>
      <c r="J40" s="69"/>
      <c r="K40" s="70"/>
      <c r="L40" s="88"/>
      <c r="M40" s="72" t="s">
        <v>20</v>
      </c>
      <c r="N40" s="90">
        <v>60.0</v>
      </c>
      <c r="O40" s="74" t="s">
        <v>2437</v>
      </c>
      <c r="P40" s="75">
        <v>0.5541666666666667</v>
      </c>
      <c r="Q40" s="41"/>
      <c r="R40" s="39"/>
      <c r="S40" s="109">
        <f>SUMIF(I:I,"金边 美国 谷歌单导",J:J)</f>
        <v>20000</v>
      </c>
      <c r="T40" s="26" t="s">
        <v>2438</v>
      </c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45511.0</v>
      </c>
      <c r="I41" s="68"/>
      <c r="J41" s="69"/>
      <c r="K41" s="70"/>
      <c r="L41" s="88"/>
      <c r="M41" s="72" t="s">
        <v>2076</v>
      </c>
      <c r="N41" s="90">
        <v>2300.0</v>
      </c>
      <c r="O41" s="74" t="s">
        <v>2439</v>
      </c>
      <c r="P41" s="75">
        <v>0.6777777777777778</v>
      </c>
      <c r="Q41" s="41"/>
      <c r="R41" s="39"/>
      <c r="S41" s="109">
        <f>SUMIF(I:I,"13期上粉（20000)",J:J)</f>
        <v>300000</v>
      </c>
      <c r="T41" s="26" t="s">
        <v>2268</v>
      </c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45512.0</v>
      </c>
      <c r="I42" s="68"/>
      <c r="J42" s="69"/>
      <c r="K42" s="70"/>
      <c r="L42" s="88"/>
      <c r="M42" s="72" t="s">
        <v>2076</v>
      </c>
      <c r="N42" s="90">
        <v>7000.0</v>
      </c>
      <c r="O42" s="74" t="s">
        <v>2439</v>
      </c>
      <c r="P42" s="75">
        <v>0.8027777777777778</v>
      </c>
      <c r="Q42" s="41"/>
      <c r="R42" s="39"/>
      <c r="S42" s="109">
        <f>SUMIF(I:I,"天叶印度引流",J:J)</f>
        <v>150000</v>
      </c>
      <c r="T42" s="26" t="s">
        <v>2276</v>
      </c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45513.0</v>
      </c>
      <c r="I43" s="68"/>
      <c r="J43" s="69"/>
      <c r="K43" s="87"/>
      <c r="L43" s="71"/>
      <c r="M43" s="72" t="s">
        <v>2393</v>
      </c>
      <c r="N43" s="90">
        <v>577.92</v>
      </c>
      <c r="O43" s="74" t="s">
        <v>2440</v>
      </c>
      <c r="P43" s="75">
        <v>0.7583333333333333</v>
      </c>
      <c r="Q43" s="41"/>
      <c r="R43" s="39"/>
      <c r="S43" s="109">
        <f>SUMIF(I:I,"土耳期（金边）",J:J)</f>
        <v>30000</v>
      </c>
      <c r="T43" s="26" t="s">
        <v>2255</v>
      </c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45513.0</v>
      </c>
      <c r="I44" s="84"/>
      <c r="J44" s="17"/>
      <c r="K44" s="85"/>
      <c r="L44" s="86"/>
      <c r="M44" s="72" t="s">
        <v>2243</v>
      </c>
      <c r="N44" s="90">
        <v>2060.0</v>
      </c>
      <c r="O44" s="74" t="s">
        <v>2395</v>
      </c>
      <c r="P44" s="75">
        <v>0.8930555555555556</v>
      </c>
      <c r="Q44" s="41"/>
      <c r="R44" s="39"/>
      <c r="S44" s="109">
        <f>SUMIF(I:I,"印度14期",J:J)</f>
        <v>100000</v>
      </c>
      <c r="T44" s="26" t="s">
        <v>856</v>
      </c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45514.0</v>
      </c>
      <c r="I45" s="68"/>
      <c r="J45" s="69"/>
      <c r="K45" s="85"/>
      <c r="L45" s="71"/>
      <c r="M45" s="72" t="s">
        <v>2076</v>
      </c>
      <c r="N45" s="90">
        <v>17400.0</v>
      </c>
      <c r="O45" s="74" t="s">
        <v>2439</v>
      </c>
      <c r="P45" s="75">
        <v>0.44166666666666665</v>
      </c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45514.0</v>
      </c>
      <c r="I46" s="68" t="s">
        <v>1968</v>
      </c>
      <c r="J46" s="69">
        <v>30000.0</v>
      </c>
      <c r="K46" s="85"/>
      <c r="L46" s="71">
        <v>0.6180555555555556</v>
      </c>
      <c r="M46" s="72"/>
      <c r="N46" s="90"/>
      <c r="O46" s="74"/>
      <c r="P46" s="75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45514.0</v>
      </c>
      <c r="I47" s="68" t="s">
        <v>1968</v>
      </c>
      <c r="J47" s="69">
        <v>5000.0</v>
      </c>
      <c r="K47" s="70"/>
      <c r="L47" s="71">
        <v>0.61875</v>
      </c>
      <c r="M47" s="72" t="s">
        <v>2076</v>
      </c>
      <c r="N47" s="90">
        <v>34800.0</v>
      </c>
      <c r="O47" s="74" t="s">
        <v>2439</v>
      </c>
      <c r="P47" s="75">
        <v>0.6194444444444445</v>
      </c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45514.0</v>
      </c>
      <c r="I48" s="68" t="s">
        <v>2428</v>
      </c>
      <c r="J48" s="69">
        <v>100000.0</v>
      </c>
      <c r="K48" s="70" t="s">
        <v>2429</v>
      </c>
      <c r="L48" s="71">
        <v>0.6458333333333334</v>
      </c>
      <c r="M48" s="72" t="s">
        <v>2408</v>
      </c>
      <c r="N48" s="90">
        <v>35000.0</v>
      </c>
      <c r="O48" s="74" t="s">
        <v>1841</v>
      </c>
      <c r="P48" s="75">
        <v>0.6479166666666667</v>
      </c>
      <c r="Q48" s="41"/>
      <c r="R48" s="39"/>
      <c r="S48" s="40"/>
      <c r="T48" s="76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45514.0</v>
      </c>
      <c r="I49" s="68"/>
      <c r="J49" s="69"/>
      <c r="K49" s="85"/>
      <c r="L49" s="71"/>
      <c r="M49" s="72" t="s">
        <v>2076</v>
      </c>
      <c r="N49" s="90">
        <v>34800.0</v>
      </c>
      <c r="O49" s="74" t="s">
        <v>2439</v>
      </c>
      <c r="P49" s="75">
        <v>0.8541666666666666</v>
      </c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45514.0</v>
      </c>
      <c r="I50" s="68" t="s">
        <v>2435</v>
      </c>
      <c r="J50" s="69">
        <v>100.0</v>
      </c>
      <c r="K50" s="70" t="s">
        <v>2247</v>
      </c>
      <c r="L50" s="71">
        <v>0.8583333333333333</v>
      </c>
      <c r="M50" s="72"/>
      <c r="N50" s="90"/>
      <c r="O50" s="74"/>
      <c r="P50" s="75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45514.0</v>
      </c>
      <c r="I51" s="68" t="s">
        <v>2435</v>
      </c>
      <c r="J51" s="69">
        <v>29900.0</v>
      </c>
      <c r="K51" s="70" t="s">
        <v>2247</v>
      </c>
      <c r="L51" s="71">
        <v>0.8625</v>
      </c>
      <c r="M51" s="72"/>
      <c r="N51" s="90"/>
      <c r="O51" s="74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45516.0</v>
      </c>
      <c r="I52" s="68"/>
      <c r="J52" s="69"/>
      <c r="K52" s="87"/>
      <c r="L52" s="71"/>
      <c r="M52" s="72" t="s">
        <v>1829</v>
      </c>
      <c r="N52" s="90">
        <v>5000.41</v>
      </c>
      <c r="O52" s="74" t="s">
        <v>2250</v>
      </c>
      <c r="P52" s="75">
        <v>0.73125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45516.0</v>
      </c>
      <c r="I53" s="68"/>
      <c r="J53" s="69"/>
      <c r="K53" s="70"/>
      <c r="L53" s="88"/>
      <c r="M53" s="72" t="s">
        <v>2076</v>
      </c>
      <c r="N53" s="90">
        <v>9280.0</v>
      </c>
      <c r="O53" s="74" t="s">
        <v>2439</v>
      </c>
      <c r="P53" s="75">
        <v>0.8361111111111111</v>
      </c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45516.0</v>
      </c>
      <c r="I54" s="84"/>
      <c r="J54" s="17"/>
      <c r="K54" s="85"/>
      <c r="L54" s="86"/>
      <c r="M54" s="72" t="s">
        <v>2076</v>
      </c>
      <c r="N54" s="90">
        <v>11600.0</v>
      </c>
      <c r="O54" s="74" t="s">
        <v>2439</v>
      </c>
      <c r="P54" s="75">
        <v>0.8965277777777778</v>
      </c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45517.0</v>
      </c>
      <c r="I55" s="68"/>
      <c r="J55" s="69"/>
      <c r="K55" s="87"/>
      <c r="L55" s="71"/>
      <c r="M55" s="72" t="s">
        <v>2076</v>
      </c>
      <c r="N55" s="90">
        <v>5800.0</v>
      </c>
      <c r="O55" s="74" t="s">
        <v>2439</v>
      </c>
      <c r="P55" s="75">
        <v>0.4479166666666667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45517.0</v>
      </c>
      <c r="I56" s="68"/>
      <c r="J56" s="69"/>
      <c r="K56" s="87"/>
      <c r="L56" s="71"/>
      <c r="M56" s="72" t="s">
        <v>2076</v>
      </c>
      <c r="N56" s="90">
        <v>23200.0</v>
      </c>
      <c r="O56" s="74" t="s">
        <v>2439</v>
      </c>
      <c r="P56" s="75">
        <v>0.5854166666666667</v>
      </c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45517.0</v>
      </c>
      <c r="I57" s="68" t="s">
        <v>2428</v>
      </c>
      <c r="J57" s="69">
        <v>100000.0</v>
      </c>
      <c r="K57" s="70" t="s">
        <v>2429</v>
      </c>
      <c r="L57" s="71">
        <v>0.6520833333333333</v>
      </c>
      <c r="M57" s="72" t="s">
        <v>2076</v>
      </c>
      <c r="N57" s="90">
        <v>29000.0</v>
      </c>
      <c r="O57" s="74" t="s">
        <v>2439</v>
      </c>
      <c r="P57" s="75">
        <v>0.6819444444444445</v>
      </c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45517.0</v>
      </c>
      <c r="I58" s="68"/>
      <c r="J58" s="69"/>
      <c r="K58" s="87"/>
      <c r="L58" s="71"/>
      <c r="M58" s="72" t="s">
        <v>2413</v>
      </c>
      <c r="N58" s="90">
        <v>10.0</v>
      </c>
      <c r="O58" s="74" t="s">
        <v>2441</v>
      </c>
      <c r="P58" s="75">
        <v>0.7041666666666667</v>
      </c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45517.0</v>
      </c>
      <c r="I59" s="68"/>
      <c r="J59" s="69"/>
      <c r="K59" s="85"/>
      <c r="L59" s="71"/>
      <c r="M59" s="72" t="s">
        <v>2413</v>
      </c>
      <c r="N59" s="90">
        <v>15990.0</v>
      </c>
      <c r="O59" s="74" t="s">
        <v>2441</v>
      </c>
      <c r="P59" s="75">
        <v>0.7076388888888889</v>
      </c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45517.0</v>
      </c>
      <c r="I60" s="68" t="s">
        <v>2435</v>
      </c>
      <c r="J60" s="69">
        <v>100.0</v>
      </c>
      <c r="K60" s="70" t="s">
        <v>2247</v>
      </c>
      <c r="L60" s="71">
        <v>0.8715277777777778</v>
      </c>
      <c r="M60" s="72" t="s">
        <v>20</v>
      </c>
      <c r="N60" s="90">
        <v>112.2</v>
      </c>
      <c r="O60" s="74" t="s">
        <v>2442</v>
      </c>
      <c r="P60" s="75">
        <v>0.7256944444444444</v>
      </c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45517.0</v>
      </c>
      <c r="I61" s="68" t="s">
        <v>2435</v>
      </c>
      <c r="J61" s="69">
        <v>23900.0</v>
      </c>
      <c r="K61" s="70" t="s">
        <v>2247</v>
      </c>
      <c r="L61" s="71">
        <v>0.8729166666666667</v>
      </c>
      <c r="M61" s="72" t="s">
        <v>1968</v>
      </c>
      <c r="N61" s="90">
        <v>20000.0</v>
      </c>
      <c r="O61" s="74" t="s">
        <v>1841</v>
      </c>
      <c r="P61" s="75">
        <v>0.9534722222222223</v>
      </c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45518.0</v>
      </c>
      <c r="I62" s="68" t="s">
        <v>2405</v>
      </c>
      <c r="J62" s="69">
        <v>5024.0</v>
      </c>
      <c r="K62" s="70" t="s">
        <v>2443</v>
      </c>
      <c r="L62" s="71">
        <v>0.5583333333333333</v>
      </c>
      <c r="M62" s="72" t="s">
        <v>20</v>
      </c>
      <c r="N62" s="90">
        <v>2000.0</v>
      </c>
      <c r="O62" s="74" t="s">
        <v>2444</v>
      </c>
      <c r="P62" s="75">
        <v>0.5618055555555556</v>
      </c>
      <c r="Q62" s="41"/>
      <c r="R62" s="39"/>
      <c r="S62" s="95" t="s">
        <v>2445</v>
      </c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45518.0</v>
      </c>
      <c r="I63" s="68" t="s">
        <v>2397</v>
      </c>
      <c r="J63" s="69">
        <v>6106.91</v>
      </c>
      <c r="K63" s="70" t="s">
        <v>2403</v>
      </c>
      <c r="L63" s="71">
        <v>0.7513888888888889</v>
      </c>
      <c r="M63" s="72" t="s">
        <v>2076</v>
      </c>
      <c r="N63" s="90">
        <f>61500-N62</f>
        <v>59500</v>
      </c>
      <c r="O63" s="74" t="s">
        <v>2439</v>
      </c>
      <c r="P63" s="75">
        <v>0.5618055555555556</v>
      </c>
      <c r="Q63" s="41"/>
      <c r="R63" s="39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45518.0</v>
      </c>
      <c r="I64" s="68" t="s">
        <v>2428</v>
      </c>
      <c r="J64" s="69">
        <v>50000.0</v>
      </c>
      <c r="K64" s="70" t="s">
        <v>2429</v>
      </c>
      <c r="L64" s="71">
        <v>0.7763888888888889</v>
      </c>
      <c r="M64" s="72" t="s">
        <v>2262</v>
      </c>
      <c r="N64" s="90">
        <v>5743.0</v>
      </c>
      <c r="O64" s="74" t="s">
        <v>2263</v>
      </c>
      <c r="P64" s="75">
        <v>0.78125</v>
      </c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45518.0</v>
      </c>
      <c r="I65" s="68" t="s">
        <v>2413</v>
      </c>
      <c r="J65" s="69">
        <v>13056.0</v>
      </c>
      <c r="K65" s="70" t="s">
        <v>2446</v>
      </c>
      <c r="L65" s="71">
        <v>0.8729166666666667</v>
      </c>
      <c r="M65" s="72"/>
      <c r="N65" s="90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45519.0</v>
      </c>
      <c r="I66" s="68"/>
      <c r="J66" s="69"/>
      <c r="K66" s="70"/>
      <c r="L66" s="71"/>
      <c r="M66" s="72" t="s">
        <v>2262</v>
      </c>
      <c r="N66" s="90">
        <v>10000.0</v>
      </c>
      <c r="O66" s="74" t="s">
        <v>2263</v>
      </c>
      <c r="P66" s="75">
        <v>0.6708333333333333</v>
      </c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45520.0</v>
      </c>
      <c r="I67" s="68" t="s">
        <v>2273</v>
      </c>
      <c r="J67" s="69">
        <v>50000.0</v>
      </c>
      <c r="K67" s="70" t="s">
        <v>2274</v>
      </c>
      <c r="L67" s="71">
        <v>0.63125</v>
      </c>
      <c r="M67" s="72" t="s">
        <v>2262</v>
      </c>
      <c r="N67" s="90">
        <v>20000.0</v>
      </c>
      <c r="O67" s="74" t="s">
        <v>2263</v>
      </c>
      <c r="P67" s="75">
        <v>0.8902777777777777</v>
      </c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45521.0</v>
      </c>
      <c r="I68" s="84"/>
      <c r="J68" s="17"/>
      <c r="K68" s="85"/>
      <c r="L68" s="86"/>
      <c r="M68" s="72" t="s">
        <v>2393</v>
      </c>
      <c r="N68" s="90">
        <v>3430.99</v>
      </c>
      <c r="O68" s="74" t="s">
        <v>2447</v>
      </c>
      <c r="P68" s="75">
        <v>0.5048611111111111</v>
      </c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45521.0</v>
      </c>
      <c r="I69" s="68"/>
      <c r="J69" s="69"/>
      <c r="K69" s="85"/>
      <c r="L69" s="71"/>
      <c r="M69" s="72" t="s">
        <v>2266</v>
      </c>
      <c r="N69" s="90">
        <v>2100.0</v>
      </c>
      <c r="O69" s="74" t="s">
        <v>2448</v>
      </c>
      <c r="P69" s="75">
        <v>0.6347222222222222</v>
      </c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45521.0</v>
      </c>
      <c r="I70" s="68"/>
      <c r="J70" s="69"/>
      <c r="K70" s="70"/>
      <c r="L70" s="71"/>
      <c r="M70" s="72" t="s">
        <v>2418</v>
      </c>
      <c r="N70" s="90">
        <v>8500.0</v>
      </c>
      <c r="O70" s="74" t="s">
        <v>2449</v>
      </c>
      <c r="P70" s="75">
        <v>0.9020833333333333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45522.0</v>
      </c>
      <c r="I71" s="68"/>
      <c r="J71" s="69"/>
      <c r="K71" s="87"/>
      <c r="L71" s="71"/>
      <c r="M71" s="72" t="s">
        <v>827</v>
      </c>
      <c r="N71" s="90">
        <v>5350.0</v>
      </c>
      <c r="O71" s="74" t="s">
        <v>43</v>
      </c>
      <c r="P71" s="75">
        <v>0.44722222222222224</v>
      </c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45522.0</v>
      </c>
      <c r="I72" s="68"/>
      <c r="J72" s="69"/>
      <c r="K72" s="85"/>
      <c r="L72" s="71"/>
      <c r="M72" s="72" t="s">
        <v>2423</v>
      </c>
      <c r="N72" s="90">
        <v>10.0</v>
      </c>
      <c r="O72" s="74" t="s">
        <v>2450</v>
      </c>
      <c r="P72" s="75">
        <v>0.5520833333333334</v>
      </c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45522.0</v>
      </c>
      <c r="I73" s="68"/>
      <c r="J73" s="69"/>
      <c r="K73" s="93"/>
      <c r="L73" s="71"/>
      <c r="M73" s="72" t="s">
        <v>2423</v>
      </c>
      <c r="N73" s="90">
        <f>3800-N72</f>
        <v>3790</v>
      </c>
      <c r="O73" s="74" t="s">
        <v>2450</v>
      </c>
      <c r="P73" s="75">
        <v>0.5541666666666667</v>
      </c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45522.0</v>
      </c>
      <c r="I74" s="68"/>
      <c r="J74" s="69"/>
      <c r="K74" s="93"/>
      <c r="L74" s="71"/>
      <c r="M74" s="72" t="s">
        <v>20</v>
      </c>
      <c r="N74" s="90">
        <v>500.0</v>
      </c>
      <c r="O74" s="74" t="s">
        <v>2451</v>
      </c>
      <c r="P74" s="75">
        <v>0.6048611111111111</v>
      </c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45522.0</v>
      </c>
      <c r="I75" s="154"/>
      <c r="J75" s="69"/>
      <c r="K75" s="87"/>
      <c r="L75" s="71"/>
      <c r="M75" s="72" t="s">
        <v>2023</v>
      </c>
      <c r="N75" s="90">
        <v>5750.0</v>
      </c>
      <c r="O75" s="74" t="s">
        <v>2452</v>
      </c>
      <c r="P75" s="75">
        <v>0.6277777777777778</v>
      </c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45522.0</v>
      </c>
      <c r="I76" s="68" t="s">
        <v>2438</v>
      </c>
      <c r="J76" s="69">
        <v>10.0</v>
      </c>
      <c r="K76" s="85"/>
      <c r="L76" s="71">
        <v>0.7256944444444444</v>
      </c>
      <c r="M76" s="72" t="s">
        <v>2425</v>
      </c>
      <c r="N76" s="90">
        <v>10.0</v>
      </c>
      <c r="O76" s="74" t="s">
        <v>2453</v>
      </c>
      <c r="P76" s="75">
        <v>0.7590277777777777</v>
      </c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45522.0</v>
      </c>
      <c r="I77" s="68" t="s">
        <v>2438</v>
      </c>
      <c r="J77" s="69">
        <v>19990.0</v>
      </c>
      <c r="K77" s="87"/>
      <c r="L77" s="71">
        <v>0.7298611111111111</v>
      </c>
      <c r="M77" s="72" t="s">
        <v>2425</v>
      </c>
      <c r="N77" s="90">
        <f>35*200-N76</f>
        <v>6990</v>
      </c>
      <c r="O77" s="74" t="s">
        <v>2453</v>
      </c>
      <c r="P77" s="75">
        <v>0.7618055555555555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45522.0</v>
      </c>
      <c r="I78" s="68"/>
      <c r="J78" s="69"/>
      <c r="K78" s="87"/>
      <c r="L78" s="71"/>
      <c r="M78" s="72" t="s">
        <v>2426</v>
      </c>
      <c r="N78" s="90">
        <v>3600.0</v>
      </c>
      <c r="O78" s="74" t="s">
        <v>2454</v>
      </c>
      <c r="P78" s="75">
        <v>0.7902777777777777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45522.0</v>
      </c>
      <c r="I79" s="68"/>
      <c r="J79" s="69"/>
      <c r="K79" s="70"/>
      <c r="L79" s="71"/>
      <c r="M79" s="72" t="s">
        <v>827</v>
      </c>
      <c r="N79" s="90">
        <v>4460.0</v>
      </c>
      <c r="O79" s="74" t="s">
        <v>43</v>
      </c>
      <c r="P79" s="75">
        <v>0.8666666666666667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45522.0</v>
      </c>
      <c r="I80" s="68"/>
      <c r="J80" s="69"/>
      <c r="K80" s="92"/>
      <c r="L80" s="71"/>
      <c r="M80" s="72" t="s">
        <v>2425</v>
      </c>
      <c r="N80" s="90">
        <v>7000.0</v>
      </c>
      <c r="O80" s="74" t="s">
        <v>2453</v>
      </c>
      <c r="P80" s="75">
        <v>0.9375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45522.0</v>
      </c>
      <c r="I81" s="68" t="s">
        <v>2435</v>
      </c>
      <c r="J81" s="69">
        <v>100.0</v>
      </c>
      <c r="K81" s="70" t="s">
        <v>2247</v>
      </c>
      <c r="L81" s="71">
        <v>0.9680555555555556</v>
      </c>
      <c r="M81" s="72"/>
      <c r="N81" s="90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45522.0</v>
      </c>
      <c r="I82" s="68" t="s">
        <v>2435</v>
      </c>
      <c r="J82" s="69">
        <v>49900.0</v>
      </c>
      <c r="K82" s="70" t="s">
        <v>2247</v>
      </c>
      <c r="L82" s="71">
        <v>0.96875</v>
      </c>
      <c r="M82" s="72"/>
      <c r="N82" s="90"/>
      <c r="O82" s="74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45523.0</v>
      </c>
      <c r="I83" s="68"/>
      <c r="J83" s="69"/>
      <c r="K83" s="87"/>
      <c r="L83" s="71"/>
      <c r="M83" s="72" t="s">
        <v>2266</v>
      </c>
      <c r="N83" s="90">
        <v>4200.0</v>
      </c>
      <c r="O83" s="74" t="s">
        <v>2455</v>
      </c>
      <c r="P83" s="75">
        <v>0.55625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45523.0</v>
      </c>
      <c r="I84" s="68"/>
      <c r="J84" s="69"/>
      <c r="K84" s="70"/>
      <c r="L84" s="88"/>
      <c r="M84" s="72" t="s">
        <v>827</v>
      </c>
      <c r="N84" s="90">
        <v>8720.0</v>
      </c>
      <c r="O84" s="74" t="s">
        <v>2456</v>
      </c>
      <c r="P84" s="75">
        <v>0.6333333333333333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45523.0</v>
      </c>
      <c r="I85" s="68"/>
      <c r="J85" s="69"/>
      <c r="K85" s="70"/>
      <c r="L85" s="71"/>
      <c r="M85" s="72" t="s">
        <v>2405</v>
      </c>
      <c r="N85" s="90">
        <v>3247.0</v>
      </c>
      <c r="O85" s="74" t="s">
        <v>2406</v>
      </c>
      <c r="P85" s="75">
        <v>0.65625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45523.0</v>
      </c>
      <c r="I86" s="68"/>
      <c r="J86" s="69"/>
      <c r="K86" s="85"/>
      <c r="L86" s="71"/>
      <c r="M86" s="147" t="s">
        <v>827</v>
      </c>
      <c r="N86" s="90">
        <v>5450.0</v>
      </c>
      <c r="O86" s="74" t="s">
        <v>43</v>
      </c>
      <c r="P86" s="75">
        <v>0.6756944444444445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45523.0</v>
      </c>
      <c r="I87" s="68" t="s">
        <v>2423</v>
      </c>
      <c r="J87" s="69">
        <v>3306.0</v>
      </c>
      <c r="K87" s="70" t="s">
        <v>2450</v>
      </c>
      <c r="L87" s="71">
        <v>0.6909722222222222</v>
      </c>
      <c r="M87" s="72"/>
      <c r="N87" s="90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45523.0</v>
      </c>
      <c r="I88" s="68" t="s">
        <v>2326</v>
      </c>
      <c r="J88" s="69">
        <v>606.0</v>
      </c>
      <c r="K88" s="70" t="s">
        <v>2457</v>
      </c>
      <c r="L88" s="71">
        <v>0.6993055555555555</v>
      </c>
      <c r="M88" s="72"/>
      <c r="N88" s="90"/>
      <c r="O88" s="74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45524.0</v>
      </c>
      <c r="I89" s="68" t="s">
        <v>2411</v>
      </c>
      <c r="J89" s="69">
        <v>34481.6</v>
      </c>
      <c r="K89" s="70"/>
      <c r="L89" s="88" t="s">
        <v>2458</v>
      </c>
      <c r="M89" s="72" t="s">
        <v>1968</v>
      </c>
      <c r="N89" s="90">
        <v>34481.6</v>
      </c>
      <c r="O89" s="74"/>
      <c r="P89" s="75">
        <v>0.4527777777777778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45524.0</v>
      </c>
      <c r="I90" s="84"/>
      <c r="J90" s="17"/>
      <c r="K90" s="85"/>
      <c r="L90" s="86"/>
      <c r="M90" s="147" t="s">
        <v>827</v>
      </c>
      <c r="N90" s="90">
        <v>5330.0</v>
      </c>
      <c r="O90" s="74" t="s">
        <v>43</v>
      </c>
      <c r="P90" s="75">
        <v>0.4840277777777778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45524.0</v>
      </c>
      <c r="I91" s="68"/>
      <c r="J91" s="69"/>
      <c r="K91" s="87"/>
      <c r="L91" s="71"/>
      <c r="M91" s="72" t="s">
        <v>1829</v>
      </c>
      <c r="N91" s="90">
        <v>5000.77</v>
      </c>
      <c r="O91" s="74" t="s">
        <v>2250</v>
      </c>
      <c r="P91" s="75">
        <v>0.4861111111111111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45524.0</v>
      </c>
      <c r="I92" s="68"/>
      <c r="J92" s="69"/>
      <c r="K92" s="85"/>
      <c r="L92" s="71"/>
      <c r="M92" s="72" t="s">
        <v>2405</v>
      </c>
      <c r="N92" s="90">
        <v>272.0</v>
      </c>
      <c r="O92" s="74" t="s">
        <v>2406</v>
      </c>
      <c r="P92" s="75">
        <v>0.5076388888888889</v>
      </c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45524.0</v>
      </c>
      <c r="I93" s="68" t="s">
        <v>2268</v>
      </c>
      <c r="J93" s="69">
        <v>100000.0</v>
      </c>
      <c r="K93" s="70" t="s">
        <v>1988</v>
      </c>
      <c r="L93" s="71">
        <v>0.6006944444444444</v>
      </c>
      <c r="M93" s="72" t="s">
        <v>2076</v>
      </c>
      <c r="N93" s="90">
        <v>23800.0</v>
      </c>
      <c r="O93" s="74" t="s">
        <v>2439</v>
      </c>
      <c r="P93" s="75">
        <v>0.69375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45524.0</v>
      </c>
      <c r="I94" s="68"/>
      <c r="J94" s="69"/>
      <c r="K94" s="70"/>
      <c r="L94" s="71"/>
      <c r="M94" s="72" t="s">
        <v>2262</v>
      </c>
      <c r="N94" s="90">
        <v>20000.0</v>
      </c>
      <c r="O94" s="74" t="s">
        <v>2263</v>
      </c>
      <c r="P94" s="75">
        <v>0.7013888888888888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45524.0</v>
      </c>
      <c r="I95" s="68"/>
      <c r="J95" s="69"/>
      <c r="K95" s="87"/>
      <c r="L95" s="71"/>
      <c r="M95" s="147" t="s">
        <v>827</v>
      </c>
      <c r="N95" s="90">
        <v>605.0</v>
      </c>
      <c r="O95" s="74" t="s">
        <v>43</v>
      </c>
      <c r="P95" s="75">
        <v>0.7916666666666666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45524.0</v>
      </c>
      <c r="I96" s="68"/>
      <c r="J96" s="69"/>
      <c r="K96" s="87"/>
      <c r="L96" s="71"/>
      <c r="M96" s="72" t="s">
        <v>2076</v>
      </c>
      <c r="N96" s="90">
        <v>23800.0</v>
      </c>
      <c r="O96" s="74" t="s">
        <v>2439</v>
      </c>
      <c r="P96" s="75">
        <v>0.9673611111111111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45525.0</v>
      </c>
      <c r="I97" s="84"/>
      <c r="J97" s="17"/>
      <c r="K97" s="85"/>
      <c r="L97" s="86"/>
      <c r="M97" s="147" t="s">
        <v>827</v>
      </c>
      <c r="N97" s="90">
        <v>2020.0</v>
      </c>
      <c r="O97" s="74" t="s">
        <v>43</v>
      </c>
      <c r="P97" s="75">
        <v>0.425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45525.0</v>
      </c>
      <c r="I98" s="84"/>
      <c r="J98" s="17"/>
      <c r="K98" s="85"/>
      <c r="L98" s="86"/>
      <c r="M98" s="72" t="s">
        <v>2076</v>
      </c>
      <c r="N98" s="90">
        <v>23800.0</v>
      </c>
      <c r="O98" s="74" t="s">
        <v>2439</v>
      </c>
      <c r="P98" s="75">
        <v>0.4625</v>
      </c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45525.0</v>
      </c>
      <c r="I99" s="154"/>
      <c r="J99" s="17"/>
      <c r="K99" s="92"/>
      <c r="L99" s="173"/>
      <c r="M99" s="147" t="s">
        <v>827</v>
      </c>
      <c r="N99" s="90">
        <v>4865.0</v>
      </c>
      <c r="O99" s="74" t="s">
        <v>43</v>
      </c>
      <c r="P99" s="75">
        <v>0.5826388888888889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45525.0</v>
      </c>
      <c r="I100" s="68" t="s">
        <v>2435</v>
      </c>
      <c r="J100" s="69">
        <v>100.0</v>
      </c>
      <c r="K100" s="70" t="s">
        <v>2247</v>
      </c>
      <c r="L100" s="71">
        <v>0.5854166666666667</v>
      </c>
      <c r="M100" s="72"/>
      <c r="N100" s="90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45525.0</v>
      </c>
      <c r="I101" s="68" t="s">
        <v>2435</v>
      </c>
      <c r="J101" s="69">
        <v>49900.0</v>
      </c>
      <c r="K101" s="70" t="s">
        <v>2247</v>
      </c>
      <c r="L101" s="71">
        <v>0.5868055555555556</v>
      </c>
      <c r="M101" s="72" t="s">
        <v>1829</v>
      </c>
      <c r="N101" s="90">
        <v>5000.7</v>
      </c>
      <c r="O101" s="74" t="s">
        <v>2250</v>
      </c>
      <c r="P101" s="75">
        <v>0.5868055555555556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45525.0</v>
      </c>
      <c r="I102" s="68" t="s">
        <v>2273</v>
      </c>
      <c r="J102" s="69">
        <v>50000.0</v>
      </c>
      <c r="K102" s="70" t="s">
        <v>2274</v>
      </c>
      <c r="L102" s="71">
        <v>0.6611111111111111</v>
      </c>
      <c r="M102" s="72" t="s">
        <v>2076</v>
      </c>
      <c r="N102" s="90">
        <v>10600.0</v>
      </c>
      <c r="O102" s="74" t="s">
        <v>2459</v>
      </c>
      <c r="P102" s="75">
        <v>0.6715277777777777</v>
      </c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45525.0</v>
      </c>
      <c r="I103" s="68"/>
      <c r="J103" s="69"/>
      <c r="K103" s="87"/>
      <c r="L103" s="71"/>
      <c r="M103" s="72" t="s">
        <v>20</v>
      </c>
      <c r="N103" s="90">
        <v>37.5</v>
      </c>
      <c r="O103" s="74" t="s">
        <v>2460</v>
      </c>
      <c r="P103" s="75">
        <v>0.6777777777777778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45525.0</v>
      </c>
      <c r="I104" s="84"/>
      <c r="J104" s="17"/>
      <c r="K104" s="93"/>
      <c r="L104" s="155"/>
      <c r="M104" s="72" t="s">
        <v>2266</v>
      </c>
      <c r="N104" s="90">
        <v>21000.0</v>
      </c>
      <c r="O104" s="74" t="s">
        <v>2461</v>
      </c>
      <c r="P104" s="75">
        <v>0.7243055555555555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45525.0</v>
      </c>
      <c r="I105" s="68"/>
      <c r="J105" s="69"/>
      <c r="K105" s="87"/>
      <c r="L105" s="71"/>
      <c r="M105" s="72" t="s">
        <v>20</v>
      </c>
      <c r="N105" s="90">
        <v>420.6</v>
      </c>
      <c r="O105" s="74" t="s">
        <v>266</v>
      </c>
      <c r="P105" s="75">
        <v>0.8173611111111111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45525.0</v>
      </c>
      <c r="I106" s="68"/>
      <c r="J106" s="69"/>
      <c r="K106" s="93"/>
      <c r="L106" s="71"/>
      <c r="M106" s="72" t="s">
        <v>2076</v>
      </c>
      <c r="N106" s="90">
        <v>35700.0</v>
      </c>
      <c r="O106" s="74" t="s">
        <v>2439</v>
      </c>
      <c r="P106" s="75">
        <v>0.9305555555555556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45525.0</v>
      </c>
      <c r="I107" s="84"/>
      <c r="J107" s="17"/>
      <c r="K107" s="93"/>
      <c r="L107" s="155"/>
      <c r="M107" s="72" t="s">
        <v>2262</v>
      </c>
      <c r="N107" s="90">
        <v>20000.0</v>
      </c>
      <c r="O107" s="74" t="s">
        <v>2263</v>
      </c>
      <c r="P107" s="75">
        <v>0.9826388888888888</v>
      </c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45526.0</v>
      </c>
      <c r="I108" s="84"/>
      <c r="J108" s="17"/>
      <c r="K108" s="85"/>
      <c r="L108" s="86"/>
      <c r="M108" s="72" t="s">
        <v>2076</v>
      </c>
      <c r="N108" s="90">
        <v>23800.0</v>
      </c>
      <c r="O108" s="74" t="s">
        <v>2439</v>
      </c>
      <c r="P108" s="75">
        <v>0.3909722222222222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45526.0</v>
      </c>
      <c r="I109" s="68"/>
      <c r="J109" s="69"/>
      <c r="K109" s="70"/>
      <c r="L109" s="71"/>
      <c r="M109" s="72" t="s">
        <v>2023</v>
      </c>
      <c r="N109" s="90">
        <v>5444.0</v>
      </c>
      <c r="O109" s="74" t="s">
        <v>2462</v>
      </c>
      <c r="P109" s="75">
        <v>0.46805555555555556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45526.0</v>
      </c>
      <c r="I110" s="68"/>
      <c r="J110" s="69"/>
      <c r="K110" s="70"/>
      <c r="L110" s="71"/>
      <c r="M110" s="72" t="s">
        <v>1829</v>
      </c>
      <c r="N110" s="90">
        <v>5000.7</v>
      </c>
      <c r="O110" s="74" t="s">
        <v>2250</v>
      </c>
      <c r="P110" s="75">
        <v>0.48125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45526.0</v>
      </c>
      <c r="I111" s="154"/>
      <c r="J111" s="17"/>
      <c r="K111" s="92"/>
      <c r="L111" s="173"/>
      <c r="M111" s="72" t="s">
        <v>827</v>
      </c>
      <c r="N111" s="90">
        <v>5103.75</v>
      </c>
      <c r="O111" s="74" t="s">
        <v>43</v>
      </c>
      <c r="P111" s="75">
        <v>0.4847222222222222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45526.0</v>
      </c>
      <c r="I112" s="84"/>
      <c r="J112" s="17"/>
      <c r="K112" s="85"/>
      <c r="L112" s="86"/>
      <c r="M112" s="72" t="s">
        <v>827</v>
      </c>
      <c r="N112" s="90">
        <v>1090.0</v>
      </c>
      <c r="O112" s="74" t="s">
        <v>43</v>
      </c>
      <c r="P112" s="75">
        <v>0.51875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45526.0</v>
      </c>
      <c r="I113" s="68"/>
      <c r="J113" s="17"/>
      <c r="K113" s="70"/>
      <c r="L113" s="155"/>
      <c r="M113" s="72" t="s">
        <v>20</v>
      </c>
      <c r="N113" s="90">
        <v>420.63</v>
      </c>
      <c r="O113" s="74" t="s">
        <v>266</v>
      </c>
      <c r="P113" s="75">
        <v>0.5840277777777778</v>
      </c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45526.0</v>
      </c>
      <c r="I114" s="154"/>
      <c r="J114" s="17"/>
      <c r="K114" s="93"/>
      <c r="L114" s="155"/>
      <c r="M114" s="72" t="s">
        <v>2076</v>
      </c>
      <c r="N114" s="90">
        <v>23800.0</v>
      </c>
      <c r="O114" s="74" t="s">
        <v>2439</v>
      </c>
      <c r="P114" s="75">
        <v>0.60625</v>
      </c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45526.0</v>
      </c>
      <c r="I115" s="68" t="s">
        <v>2290</v>
      </c>
      <c r="J115" s="69">
        <v>100.0</v>
      </c>
      <c r="K115" s="70" t="s">
        <v>2463</v>
      </c>
      <c r="L115" s="71">
        <v>0.61875</v>
      </c>
      <c r="M115" s="147"/>
      <c r="N115" s="19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45526.0</v>
      </c>
      <c r="I116" s="68" t="s">
        <v>2290</v>
      </c>
      <c r="J116" s="69">
        <v>49900.0</v>
      </c>
      <c r="K116" s="70" t="s">
        <v>2463</v>
      </c>
      <c r="L116" s="71">
        <v>0.6236111111111111</v>
      </c>
      <c r="M116" s="147"/>
      <c r="N116" s="19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45526.0</v>
      </c>
      <c r="I117" s="68" t="s">
        <v>2435</v>
      </c>
      <c r="J117" s="69">
        <v>100.0</v>
      </c>
      <c r="K117" s="70" t="s">
        <v>2247</v>
      </c>
      <c r="L117" s="71">
        <v>0.6569444444444444</v>
      </c>
      <c r="M117" s="147"/>
      <c r="N117" s="19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45526.0</v>
      </c>
      <c r="I118" s="68" t="s">
        <v>2435</v>
      </c>
      <c r="J118" s="69">
        <v>49900.0</v>
      </c>
      <c r="K118" s="70" t="s">
        <v>2247</v>
      </c>
      <c r="L118" s="71">
        <v>0.6576388888888889</v>
      </c>
      <c r="M118" s="147"/>
      <c r="N118" s="19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45526.0</v>
      </c>
      <c r="I119" s="68" t="s">
        <v>2273</v>
      </c>
      <c r="J119" s="69">
        <v>50000.0</v>
      </c>
      <c r="K119" s="70" t="s">
        <v>2274</v>
      </c>
      <c r="L119" s="71">
        <v>0.6729166666666667</v>
      </c>
      <c r="M119" s="72" t="s">
        <v>1968</v>
      </c>
      <c r="N119" s="90">
        <v>20000.0</v>
      </c>
      <c r="O119" s="239"/>
      <c r="P119" s="75">
        <v>0.6770833333333334</v>
      </c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45526.0</v>
      </c>
      <c r="I120" s="68" t="s">
        <v>2076</v>
      </c>
      <c r="J120" s="69">
        <v>2000.0</v>
      </c>
      <c r="K120" s="70" t="s">
        <v>2464</v>
      </c>
      <c r="L120" s="71">
        <v>0.68125</v>
      </c>
      <c r="M120" s="147"/>
      <c r="N120" s="90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45526.0</v>
      </c>
      <c r="I121" s="68" t="s">
        <v>2296</v>
      </c>
      <c r="J121" s="69">
        <v>13749.74</v>
      </c>
      <c r="K121" s="70" t="s">
        <v>469</v>
      </c>
      <c r="L121" s="71">
        <v>0.7027777777777777</v>
      </c>
      <c r="M121" s="72" t="s">
        <v>1968</v>
      </c>
      <c r="N121" s="90">
        <v>20000.0</v>
      </c>
      <c r="O121" s="74"/>
      <c r="P121" s="75">
        <v>0.7152777777777778</v>
      </c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45526.0</v>
      </c>
      <c r="I122" s="68"/>
      <c r="J122" s="69"/>
      <c r="K122" s="70"/>
      <c r="L122" s="88"/>
      <c r="M122" s="72" t="s">
        <v>2076</v>
      </c>
      <c r="N122" s="90">
        <v>3180.0</v>
      </c>
      <c r="O122" s="74" t="s">
        <v>2465</v>
      </c>
      <c r="P122" s="75">
        <v>0.8944444444444445</v>
      </c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45526.0</v>
      </c>
      <c r="I123" s="68"/>
      <c r="J123" s="69"/>
      <c r="K123" s="70"/>
      <c r="L123" s="71"/>
      <c r="M123" s="72" t="s">
        <v>2076</v>
      </c>
      <c r="N123" s="90">
        <v>11900.0</v>
      </c>
      <c r="O123" s="74" t="s">
        <v>2002</v>
      </c>
      <c r="P123" s="75">
        <v>0.9215277777777777</v>
      </c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45526.0</v>
      </c>
      <c r="I124" s="68"/>
      <c r="J124" s="69"/>
      <c r="K124" s="70"/>
      <c r="L124" s="88"/>
      <c r="M124" s="72" t="s">
        <v>2076</v>
      </c>
      <c r="N124" s="90">
        <v>35700.0</v>
      </c>
      <c r="O124" s="74" t="s">
        <v>2466</v>
      </c>
      <c r="P124" s="75">
        <v>0.9465277777777777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45526.0</v>
      </c>
      <c r="I125" s="84"/>
      <c r="J125" s="17"/>
      <c r="K125" s="85"/>
      <c r="L125" s="86"/>
      <c r="M125" s="72" t="s">
        <v>827</v>
      </c>
      <c r="N125" s="90">
        <v>7734.74</v>
      </c>
      <c r="O125" s="74" t="s">
        <v>43</v>
      </c>
      <c r="P125" s="75">
        <v>0.9548611111111112</v>
      </c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45527.0</v>
      </c>
      <c r="I126" s="84"/>
      <c r="J126" s="17"/>
      <c r="K126" s="85"/>
      <c r="L126" s="86"/>
      <c r="M126" s="72" t="s">
        <v>2076</v>
      </c>
      <c r="N126" s="90">
        <v>23800.0</v>
      </c>
      <c r="O126" s="74" t="s">
        <v>2439</v>
      </c>
      <c r="P126" s="75">
        <v>0.41458333333333336</v>
      </c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45527.0</v>
      </c>
      <c r="I127" s="68"/>
      <c r="J127" s="69"/>
      <c r="K127" s="87"/>
      <c r="L127" s="88"/>
      <c r="M127" s="72" t="s">
        <v>827</v>
      </c>
      <c r="N127" s="90">
        <v>5087.42</v>
      </c>
      <c r="O127" s="74" t="s">
        <v>43</v>
      </c>
      <c r="P127" s="75">
        <v>0.46319444444444446</v>
      </c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45527.0</v>
      </c>
      <c r="I128" s="154" t="s">
        <v>2415</v>
      </c>
      <c r="J128" s="17">
        <v>1030.0</v>
      </c>
      <c r="K128" s="92" t="s">
        <v>2467</v>
      </c>
      <c r="L128" s="155">
        <v>0.5027777777777778</v>
      </c>
      <c r="M128" s="72" t="s">
        <v>2262</v>
      </c>
      <c r="N128" s="90">
        <v>20000.0</v>
      </c>
      <c r="O128" s="74" t="s">
        <v>2263</v>
      </c>
      <c r="P128" s="75">
        <v>0.5159722222222223</v>
      </c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45527.0</v>
      </c>
      <c r="I129" s="68" t="s">
        <v>2468</v>
      </c>
      <c r="J129" s="69">
        <v>10000.0</v>
      </c>
      <c r="K129" s="70" t="s">
        <v>702</v>
      </c>
      <c r="L129" s="71">
        <v>0.5680555555555555</v>
      </c>
      <c r="M129" s="72" t="s">
        <v>2076</v>
      </c>
      <c r="N129" s="90">
        <v>23800.0</v>
      </c>
      <c r="O129" s="74" t="s">
        <v>2439</v>
      </c>
      <c r="P129" s="75">
        <v>0.7055555555555556</v>
      </c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45527.0</v>
      </c>
      <c r="I130" s="68" t="s">
        <v>2268</v>
      </c>
      <c r="J130" s="69">
        <v>100000.0</v>
      </c>
      <c r="K130" s="70" t="s">
        <v>1988</v>
      </c>
      <c r="L130" s="71">
        <v>0.6847222222222222</v>
      </c>
      <c r="M130" s="72" t="s">
        <v>2076</v>
      </c>
      <c r="N130" s="90">
        <v>3180.0</v>
      </c>
      <c r="O130" s="74" t="s">
        <v>2469</v>
      </c>
      <c r="P130" s="75">
        <v>0.7618055555555555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45527.0</v>
      </c>
      <c r="I131" s="68"/>
      <c r="J131" s="69"/>
      <c r="K131" s="87"/>
      <c r="L131" s="71"/>
      <c r="M131" s="72" t="s">
        <v>2076</v>
      </c>
      <c r="N131" s="90">
        <v>3180.0</v>
      </c>
      <c r="O131" s="74" t="s">
        <v>2470</v>
      </c>
      <c r="P131" s="75">
        <v>0.7715277777777778</v>
      </c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45527.0</v>
      </c>
      <c r="I132" s="84"/>
      <c r="J132" s="17"/>
      <c r="K132" s="85"/>
      <c r="L132" s="86"/>
      <c r="M132" s="72" t="s">
        <v>827</v>
      </c>
      <c r="N132" s="90">
        <v>3356.0</v>
      </c>
      <c r="O132" s="74" t="s">
        <v>43</v>
      </c>
      <c r="P132" s="75">
        <v>0.6958333333333333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45527.0</v>
      </c>
      <c r="I133" s="68"/>
      <c r="J133" s="69"/>
      <c r="K133" s="70"/>
      <c r="L133" s="88"/>
      <c r="M133" s="72" t="s">
        <v>2076</v>
      </c>
      <c r="N133" s="90">
        <v>10000.0</v>
      </c>
      <c r="O133" s="74" t="s">
        <v>2471</v>
      </c>
      <c r="P133" s="75">
        <v>0.8270833333333333</v>
      </c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45527.0</v>
      </c>
      <c r="I134" s="68"/>
      <c r="J134" s="69"/>
      <c r="K134" s="70"/>
      <c r="L134" s="88"/>
      <c r="M134" s="72" t="s">
        <v>1829</v>
      </c>
      <c r="N134" s="90">
        <v>5600.49</v>
      </c>
      <c r="O134" s="74" t="s">
        <v>2250</v>
      </c>
      <c r="P134" s="75">
        <v>0.8388888888888889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45527.0</v>
      </c>
      <c r="I135" s="68"/>
      <c r="J135" s="69"/>
      <c r="K135" s="85"/>
      <c r="L135" s="71"/>
      <c r="M135" s="72" t="s">
        <v>2427</v>
      </c>
      <c r="N135" s="90">
        <v>4500.0</v>
      </c>
      <c r="O135" s="74" t="s">
        <v>2472</v>
      </c>
      <c r="P135" s="75">
        <v>0.9215277777777777</v>
      </c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45527.0</v>
      </c>
      <c r="I136" s="68"/>
      <c r="J136" s="69"/>
      <c r="K136" s="70"/>
      <c r="L136" s="71"/>
      <c r="M136" s="72" t="s">
        <v>2076</v>
      </c>
      <c r="N136" s="90">
        <v>35700.0</v>
      </c>
      <c r="O136" s="74" t="s">
        <v>2466</v>
      </c>
      <c r="P136" s="75">
        <v>0.9506944444444444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45527.0</v>
      </c>
      <c r="I137" s="84"/>
      <c r="J137" s="17"/>
      <c r="K137" s="85"/>
      <c r="L137" s="86"/>
      <c r="M137" s="72" t="s">
        <v>20</v>
      </c>
      <c r="N137" s="90">
        <v>126.32</v>
      </c>
      <c r="O137" s="74" t="s">
        <v>2473</v>
      </c>
      <c r="P137" s="75">
        <v>0.98125</v>
      </c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45528.0</v>
      </c>
      <c r="I138" s="68"/>
      <c r="J138" s="69"/>
      <c r="K138" s="70"/>
      <c r="L138" s="71"/>
      <c r="M138" s="72" t="s">
        <v>20</v>
      </c>
      <c r="N138" s="90">
        <v>200.0</v>
      </c>
      <c r="O138" s="74" t="s">
        <v>211</v>
      </c>
      <c r="P138" s="75">
        <v>0.4111111111111111</v>
      </c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45528.0</v>
      </c>
      <c r="I139" s="68"/>
      <c r="J139" s="69"/>
      <c r="K139" s="70"/>
      <c r="L139" s="71"/>
      <c r="M139" s="72" t="s">
        <v>2076</v>
      </c>
      <c r="N139" s="90">
        <v>23800.0</v>
      </c>
      <c r="O139" s="74" t="s">
        <v>2242</v>
      </c>
      <c r="P139" s="75">
        <v>0.4909722222222222</v>
      </c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45528.0</v>
      </c>
      <c r="I140" s="68" t="s">
        <v>2474</v>
      </c>
      <c r="J140" s="69">
        <v>1624.86</v>
      </c>
      <c r="K140" s="70"/>
      <c r="L140" s="71">
        <v>0.5354166666666667</v>
      </c>
      <c r="M140" s="72"/>
      <c r="N140" s="90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>
        <v>45528.0</v>
      </c>
      <c r="I141" s="68" t="s">
        <v>2273</v>
      </c>
      <c r="J141" s="69">
        <v>100000.0</v>
      </c>
      <c r="K141" s="70" t="s">
        <v>2274</v>
      </c>
      <c r="L141" s="71">
        <v>0.7270833333333333</v>
      </c>
      <c r="M141" s="72" t="s">
        <v>2076</v>
      </c>
      <c r="N141" s="90">
        <v>23800.0</v>
      </c>
      <c r="O141" s="74" t="s">
        <v>2242</v>
      </c>
      <c r="P141" s="75">
        <v>0.7895833333333333</v>
      </c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>
        <v>45528.0</v>
      </c>
      <c r="I142" s="68"/>
      <c r="J142" s="69"/>
      <c r="K142" s="85"/>
      <c r="L142" s="71"/>
      <c r="M142" s="72" t="s">
        <v>2076</v>
      </c>
      <c r="N142" s="90">
        <v>7420.0</v>
      </c>
      <c r="O142" s="74" t="s">
        <v>2475</v>
      </c>
      <c r="P142" s="75">
        <v>0.8597222222222223</v>
      </c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>
        <v>45528.0</v>
      </c>
      <c r="I143" s="68"/>
      <c r="J143" s="69"/>
      <c r="K143" s="85"/>
      <c r="L143" s="71"/>
      <c r="M143" s="72" t="s">
        <v>2076</v>
      </c>
      <c r="N143" s="90">
        <v>10000.0</v>
      </c>
      <c r="O143" s="74" t="s">
        <v>2476</v>
      </c>
      <c r="P143" s="75">
        <v>0.8715277777777778</v>
      </c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>
        <v>45528.0</v>
      </c>
      <c r="I144" s="68"/>
      <c r="J144" s="69"/>
      <c r="K144" s="85"/>
      <c r="L144" s="71"/>
      <c r="M144" s="72" t="s">
        <v>2076</v>
      </c>
      <c r="N144" s="90">
        <v>1900.0</v>
      </c>
      <c r="O144" s="74" t="s">
        <v>2477</v>
      </c>
      <c r="P144" s="75">
        <v>0.8722222222222222</v>
      </c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>
        <v>45528.0</v>
      </c>
      <c r="I145" s="68"/>
      <c r="J145" s="69"/>
      <c r="K145" s="87"/>
      <c r="L145" s="71"/>
      <c r="M145" s="72" t="s">
        <v>20</v>
      </c>
      <c r="N145" s="90">
        <v>547.51</v>
      </c>
      <c r="O145" s="74" t="s">
        <v>2478</v>
      </c>
      <c r="P145" s="75">
        <v>0.8847222222222222</v>
      </c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>
        <v>45528.0</v>
      </c>
      <c r="I146" s="68"/>
      <c r="J146" s="69"/>
      <c r="K146" s="87"/>
      <c r="L146" s="71"/>
      <c r="M146" s="72" t="s">
        <v>20</v>
      </c>
      <c r="N146" s="90">
        <v>450.0</v>
      </c>
      <c r="O146" s="74" t="s">
        <v>2479</v>
      </c>
      <c r="P146" s="75">
        <v>0.9027777777777778</v>
      </c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>
        <v>45528.0</v>
      </c>
      <c r="I147" s="84"/>
      <c r="J147" s="17"/>
      <c r="K147" s="85"/>
      <c r="L147" s="86"/>
      <c r="M147" s="147" t="s">
        <v>2262</v>
      </c>
      <c r="N147" s="19">
        <v>20000.0</v>
      </c>
      <c r="O147" s="126" t="s">
        <v>2263</v>
      </c>
      <c r="P147" s="75">
        <v>0.9138888888888889</v>
      </c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>
        <v>45528.0</v>
      </c>
      <c r="I148" s="84"/>
      <c r="J148" s="17"/>
      <c r="K148" s="85"/>
      <c r="L148" s="86"/>
      <c r="M148" s="72" t="s">
        <v>2076</v>
      </c>
      <c r="N148" s="90">
        <v>5300.0</v>
      </c>
      <c r="O148" s="74" t="s">
        <v>2480</v>
      </c>
      <c r="P148" s="75">
        <v>0.9319444444444445</v>
      </c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>
        <v>45529.0</v>
      </c>
      <c r="I149" s="84"/>
      <c r="J149" s="17"/>
      <c r="K149" s="85"/>
      <c r="L149" s="86"/>
      <c r="M149" s="72" t="s">
        <v>2076</v>
      </c>
      <c r="N149" s="90">
        <v>23800.0</v>
      </c>
      <c r="O149" s="74" t="s">
        <v>2242</v>
      </c>
      <c r="P149" s="75">
        <v>0.38819444444444445</v>
      </c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>
        <v>45529.0</v>
      </c>
      <c r="I150" s="84"/>
      <c r="J150" s="17"/>
      <c r="K150" s="85"/>
      <c r="L150" s="86"/>
      <c r="M150" s="72" t="s">
        <v>20</v>
      </c>
      <c r="N150" s="90">
        <v>84.23</v>
      </c>
      <c r="O150" s="74" t="s">
        <v>628</v>
      </c>
      <c r="P150" s="75">
        <v>0.5409722222222222</v>
      </c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>
        <v>45529.0</v>
      </c>
      <c r="I151" s="68"/>
      <c r="J151" s="69"/>
      <c r="K151" s="70"/>
      <c r="L151" s="88"/>
      <c r="M151" s="72" t="s">
        <v>2076</v>
      </c>
      <c r="N151" s="90">
        <v>23800.0</v>
      </c>
      <c r="O151" s="74" t="s">
        <v>2242</v>
      </c>
      <c r="P151" s="75">
        <v>0.6118055555555556</v>
      </c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>
        <v>45529.0</v>
      </c>
      <c r="I152" s="68" t="s">
        <v>2435</v>
      </c>
      <c r="J152" s="69">
        <v>40.0</v>
      </c>
      <c r="K152" s="70" t="s">
        <v>2247</v>
      </c>
      <c r="L152" s="71">
        <v>0.65625</v>
      </c>
      <c r="M152" s="72"/>
      <c r="N152" s="90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>
        <v>45529.0</v>
      </c>
      <c r="I153" s="68" t="s">
        <v>2435</v>
      </c>
      <c r="J153" s="69">
        <v>32600.0</v>
      </c>
      <c r="K153" s="70" t="s">
        <v>2247</v>
      </c>
      <c r="L153" s="71">
        <v>0.6604166666666667</v>
      </c>
      <c r="M153" s="72"/>
      <c r="N153" s="90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>
        <v>45529.0</v>
      </c>
      <c r="I154" s="68" t="s">
        <v>2427</v>
      </c>
      <c r="J154" s="69">
        <v>1530.0</v>
      </c>
      <c r="K154" s="70" t="s">
        <v>2481</v>
      </c>
      <c r="L154" s="86"/>
      <c r="M154" s="72" t="s">
        <v>2076</v>
      </c>
      <c r="N154" s="90">
        <v>4240.0</v>
      </c>
      <c r="O154" s="74" t="s">
        <v>2482</v>
      </c>
      <c r="P154" s="75">
        <v>0.7777777777777778</v>
      </c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>
        <v>45529.0</v>
      </c>
      <c r="I155" s="68"/>
      <c r="J155" s="69"/>
      <c r="K155" s="85"/>
      <c r="L155" s="71"/>
      <c r="M155" s="72" t="s">
        <v>827</v>
      </c>
      <c r="N155" s="90">
        <v>10925.0</v>
      </c>
      <c r="O155" s="74"/>
      <c r="P155" s="75">
        <v>0.7895833333333333</v>
      </c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>
        <v>45529.0</v>
      </c>
      <c r="I156" s="84"/>
      <c r="J156" s="17"/>
      <c r="K156" s="85"/>
      <c r="L156" s="86"/>
      <c r="M156" s="72" t="s">
        <v>2076</v>
      </c>
      <c r="N156" s="90">
        <v>23800.0</v>
      </c>
      <c r="O156" s="74" t="s">
        <v>2242</v>
      </c>
      <c r="P156" s="75">
        <v>0.85625</v>
      </c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>
        <v>45530.0</v>
      </c>
      <c r="I157" s="68"/>
      <c r="J157" s="69"/>
      <c r="K157" s="87"/>
      <c r="L157" s="71"/>
      <c r="M157" s="72" t="s">
        <v>20</v>
      </c>
      <c r="N157" s="90">
        <v>60.0</v>
      </c>
      <c r="O157" s="74" t="s">
        <v>2483</v>
      </c>
      <c r="P157" s="75">
        <v>0.42916666666666664</v>
      </c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>
        <v>45530.0</v>
      </c>
      <c r="I158" s="68" t="s">
        <v>2268</v>
      </c>
      <c r="J158" s="69">
        <v>100000.0</v>
      </c>
      <c r="K158" s="70" t="s">
        <v>1988</v>
      </c>
      <c r="L158" s="71">
        <v>0.5222222222222223</v>
      </c>
      <c r="M158" s="72" t="s">
        <v>2076</v>
      </c>
      <c r="N158" s="90">
        <v>23800.0</v>
      </c>
      <c r="O158" s="74" t="s">
        <v>2242</v>
      </c>
      <c r="P158" s="75">
        <v>0.54375</v>
      </c>
      <c r="Q158" s="41"/>
      <c r="R158" s="39"/>
      <c r="S158" s="76" t="s">
        <v>2484</v>
      </c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>
        <v>45530.0</v>
      </c>
      <c r="I159" s="68" t="s">
        <v>2246</v>
      </c>
      <c r="J159" s="69">
        <v>100.0</v>
      </c>
      <c r="K159" s="70" t="s">
        <v>2247</v>
      </c>
      <c r="L159" s="71">
        <v>0.6784722222222223</v>
      </c>
      <c r="M159" s="72" t="s">
        <v>2076</v>
      </c>
      <c r="N159" s="90">
        <v>5300.0</v>
      </c>
      <c r="O159" s="74" t="s">
        <v>2485</v>
      </c>
      <c r="P159" s="75">
        <v>0.54375</v>
      </c>
      <c r="Q159" s="41"/>
      <c r="R159" s="39"/>
      <c r="S159" s="76" t="s">
        <v>2484</v>
      </c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>
        <v>45530.0</v>
      </c>
      <c r="I160" s="68" t="s">
        <v>2246</v>
      </c>
      <c r="J160" s="69">
        <v>49900.0</v>
      </c>
      <c r="K160" s="70" t="s">
        <v>2247</v>
      </c>
      <c r="L160" s="71">
        <v>0.68125</v>
      </c>
      <c r="M160" s="72" t="s">
        <v>2076</v>
      </c>
      <c r="N160" s="90">
        <v>23800.0</v>
      </c>
      <c r="O160" s="74" t="s">
        <v>2242</v>
      </c>
      <c r="P160" s="75">
        <v>0.8138888888888889</v>
      </c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>
        <v>45530.0</v>
      </c>
      <c r="I161" s="84"/>
      <c r="J161" s="17"/>
      <c r="K161" s="93"/>
      <c r="L161" s="155"/>
      <c r="M161" s="72" t="s">
        <v>20</v>
      </c>
      <c r="N161" s="90">
        <v>300.0</v>
      </c>
      <c r="O161" s="74" t="s">
        <v>2486</v>
      </c>
      <c r="P161" s="75">
        <v>0.8222222222222222</v>
      </c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>
        <v>45531.0</v>
      </c>
      <c r="I162" s="84"/>
      <c r="J162" s="69"/>
      <c r="K162" s="87"/>
      <c r="L162" s="71"/>
      <c r="M162" s="72" t="s">
        <v>1829</v>
      </c>
      <c r="N162" s="90">
        <v>5000.35</v>
      </c>
      <c r="O162" s="74" t="s">
        <v>2250</v>
      </c>
      <c r="P162" s="75">
        <v>0.02638888888888889</v>
      </c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>
        <v>45531.0</v>
      </c>
      <c r="I163" s="68"/>
      <c r="J163" s="69"/>
      <c r="K163" s="87"/>
      <c r="L163" s="71"/>
      <c r="M163" s="72" t="s">
        <v>2076</v>
      </c>
      <c r="N163" s="90">
        <v>23800.0</v>
      </c>
      <c r="O163" s="74" t="s">
        <v>2242</v>
      </c>
      <c r="P163" s="75">
        <v>0.3861111111111111</v>
      </c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>
        <v>45531.0</v>
      </c>
      <c r="I164" s="68"/>
      <c r="J164" s="69"/>
      <c r="K164" s="87"/>
      <c r="L164" s="71"/>
      <c r="M164" s="72" t="s">
        <v>827</v>
      </c>
      <c r="N164" s="90">
        <v>5173.99</v>
      </c>
      <c r="O164" s="74"/>
      <c r="P164" s="75">
        <v>0.39166666666666666</v>
      </c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>
        <v>45531.0</v>
      </c>
      <c r="I165" s="68"/>
      <c r="J165" s="69"/>
      <c r="K165" s="87"/>
      <c r="L165" s="71"/>
      <c r="M165" s="72" t="s">
        <v>2076</v>
      </c>
      <c r="N165" s="90">
        <v>5300.0</v>
      </c>
      <c r="O165" s="74" t="s">
        <v>2487</v>
      </c>
      <c r="P165" s="75">
        <v>0.55</v>
      </c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>
        <v>45531.0</v>
      </c>
      <c r="I166" s="68"/>
      <c r="J166" s="69"/>
      <c r="K166" s="87"/>
      <c r="L166" s="71"/>
      <c r="M166" s="72" t="s">
        <v>2076</v>
      </c>
      <c r="N166" s="90">
        <v>23800.0</v>
      </c>
      <c r="O166" s="74" t="s">
        <v>2242</v>
      </c>
      <c r="P166" s="75">
        <v>0.5666666666666667</v>
      </c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>
        <v>45531.0</v>
      </c>
      <c r="I167" s="84"/>
      <c r="J167" s="17"/>
      <c r="K167" s="85"/>
      <c r="L167" s="86"/>
      <c r="M167" s="72" t="s">
        <v>2076</v>
      </c>
      <c r="N167" s="90">
        <v>4240.0</v>
      </c>
      <c r="O167" s="74" t="s">
        <v>2488</v>
      </c>
      <c r="P167" s="75">
        <v>0.5722222222222222</v>
      </c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>
        <v>45531.0</v>
      </c>
      <c r="I168" s="68" t="s">
        <v>2255</v>
      </c>
      <c r="J168" s="69">
        <v>10.0</v>
      </c>
      <c r="K168" s="70" t="s">
        <v>1966</v>
      </c>
      <c r="L168" s="71">
        <v>0.6048611111111111</v>
      </c>
      <c r="M168" s="72"/>
      <c r="N168" s="90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>
        <v>45531.0</v>
      </c>
      <c r="I169" s="68" t="s">
        <v>2255</v>
      </c>
      <c r="J169" s="69">
        <v>29990.0</v>
      </c>
      <c r="K169" s="70" t="s">
        <v>1966</v>
      </c>
      <c r="L169" s="71">
        <v>0.6159722222222223</v>
      </c>
      <c r="M169" s="72" t="s">
        <v>827</v>
      </c>
      <c r="N169" s="90">
        <v>2323.77</v>
      </c>
      <c r="O169" s="74"/>
      <c r="P169" s="75">
        <v>0.6291666666666667</v>
      </c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>
        <v>45531.0</v>
      </c>
      <c r="I170" s="68" t="s">
        <v>2290</v>
      </c>
      <c r="J170" s="69">
        <v>50000.0</v>
      </c>
      <c r="K170" s="70" t="s">
        <v>2463</v>
      </c>
      <c r="L170" s="71">
        <v>0.6347222222222222</v>
      </c>
      <c r="M170" s="72" t="s">
        <v>2076</v>
      </c>
      <c r="N170" s="90">
        <v>23800.0</v>
      </c>
      <c r="O170" s="74" t="s">
        <v>2242</v>
      </c>
      <c r="P170" s="75">
        <v>0.8111111111111111</v>
      </c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>
        <v>45532.0</v>
      </c>
      <c r="I171" s="84"/>
      <c r="J171" s="17"/>
      <c r="K171" s="85"/>
      <c r="L171" s="86"/>
      <c r="M171" s="72" t="s">
        <v>2076</v>
      </c>
      <c r="N171" s="90">
        <v>23800.0</v>
      </c>
      <c r="O171" s="74" t="s">
        <v>2242</v>
      </c>
      <c r="P171" s="75">
        <v>0.46041666666666664</v>
      </c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>
        <v>45532.0</v>
      </c>
      <c r="I172" s="68" t="s">
        <v>856</v>
      </c>
      <c r="J172" s="69">
        <v>100000.0</v>
      </c>
      <c r="K172" s="70" t="s">
        <v>2489</v>
      </c>
      <c r="L172" s="71">
        <v>0.7111111111111111</v>
      </c>
      <c r="M172" s="72" t="s">
        <v>827</v>
      </c>
      <c r="N172" s="90">
        <v>12155.0</v>
      </c>
      <c r="O172" s="74"/>
      <c r="P172" s="75">
        <v>0.7388888888888889</v>
      </c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>
        <v>45532.0</v>
      </c>
      <c r="I173" s="154"/>
      <c r="J173" s="17"/>
      <c r="K173" s="87"/>
      <c r="L173" s="71"/>
      <c r="M173" s="72" t="s">
        <v>2431</v>
      </c>
      <c r="N173" s="90">
        <v>10.0</v>
      </c>
      <c r="O173" s="74" t="s">
        <v>2490</v>
      </c>
      <c r="P173" s="75">
        <v>0.8604166666666667</v>
      </c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>
        <v>45532.0</v>
      </c>
      <c r="I174" s="84"/>
      <c r="J174" s="69"/>
      <c r="K174" s="87"/>
      <c r="L174" s="71"/>
      <c r="M174" s="72" t="s">
        <v>2431</v>
      </c>
      <c r="N174" s="90">
        <v>10390.0</v>
      </c>
      <c r="O174" s="74" t="s">
        <v>2490</v>
      </c>
      <c r="P174" s="75">
        <v>0.8625</v>
      </c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>
        <v>45533.0</v>
      </c>
      <c r="I175" s="68"/>
      <c r="J175" s="69"/>
      <c r="K175" s="85"/>
      <c r="L175" s="71"/>
      <c r="M175" s="72" t="s">
        <v>2076</v>
      </c>
      <c r="N175" s="90">
        <v>23800.0</v>
      </c>
      <c r="O175" s="74" t="s">
        <v>2242</v>
      </c>
      <c r="P175" s="75">
        <v>0.4263888888888889</v>
      </c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>
        <v>45533.0</v>
      </c>
      <c r="I176" s="68" t="s">
        <v>2296</v>
      </c>
      <c r="J176" s="69">
        <v>9667.01</v>
      </c>
      <c r="K176" s="70" t="s">
        <v>2264</v>
      </c>
      <c r="L176" s="71">
        <v>0.44583333333333336</v>
      </c>
      <c r="M176" s="72" t="s">
        <v>827</v>
      </c>
      <c r="N176" s="90">
        <v>9390.0</v>
      </c>
      <c r="O176" s="74"/>
      <c r="P176" s="75">
        <v>0.4326388888888889</v>
      </c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>
        <v>45533.0</v>
      </c>
      <c r="I177" s="84"/>
      <c r="J177" s="17"/>
      <c r="K177" s="85"/>
      <c r="L177" s="86"/>
      <c r="M177" s="72" t="s">
        <v>2076</v>
      </c>
      <c r="N177" s="90">
        <v>23800.0</v>
      </c>
      <c r="O177" s="74" t="s">
        <v>2242</v>
      </c>
      <c r="P177" s="75">
        <v>0.5354166666666667</v>
      </c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>
        <v>45533.0</v>
      </c>
      <c r="I178" s="68" t="s">
        <v>2326</v>
      </c>
      <c r="J178" s="69">
        <v>4783.01</v>
      </c>
      <c r="K178" s="70" t="s">
        <v>2394</v>
      </c>
      <c r="L178" s="71">
        <v>0.6506944444444445</v>
      </c>
      <c r="M178" s="72" t="s">
        <v>20</v>
      </c>
      <c r="N178" s="90">
        <v>464.0</v>
      </c>
      <c r="O178" s="74" t="s">
        <v>2491</v>
      </c>
      <c r="P178" s="75">
        <v>0.7479166666666667</v>
      </c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>
        <v>45533.0</v>
      </c>
      <c r="I179" s="68"/>
      <c r="J179" s="69"/>
      <c r="K179" s="87"/>
      <c r="L179" s="71"/>
      <c r="M179" s="72" t="s">
        <v>2076</v>
      </c>
      <c r="N179" s="90">
        <v>23800.0</v>
      </c>
      <c r="O179" s="74" t="s">
        <v>2242</v>
      </c>
      <c r="P179" s="75">
        <v>0.8048611111111111</v>
      </c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>
        <v>45534.0</v>
      </c>
      <c r="I180" s="84"/>
      <c r="J180" s="17"/>
      <c r="K180" s="85"/>
      <c r="L180" s="86"/>
      <c r="M180" s="72" t="s">
        <v>2076</v>
      </c>
      <c r="N180" s="90">
        <v>23800.0</v>
      </c>
      <c r="O180" s="74" t="s">
        <v>2242</v>
      </c>
      <c r="P180" s="75">
        <v>0.3375</v>
      </c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>
        <v>45534.0</v>
      </c>
      <c r="I181" s="84"/>
      <c r="J181" s="17"/>
      <c r="K181" s="85"/>
      <c r="L181" s="86"/>
      <c r="M181" s="72" t="s">
        <v>1829</v>
      </c>
      <c r="N181" s="90">
        <v>2000.57</v>
      </c>
      <c r="O181" s="74" t="s">
        <v>2250</v>
      </c>
      <c r="P181" s="75">
        <v>0.44166666666666665</v>
      </c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>
        <v>45534.0</v>
      </c>
      <c r="I182" s="68"/>
      <c r="J182" s="69"/>
      <c r="K182" s="70"/>
      <c r="L182" s="71"/>
      <c r="M182" s="72" t="s">
        <v>20</v>
      </c>
      <c r="N182" s="90">
        <v>0.21</v>
      </c>
      <c r="O182" s="74" t="s">
        <v>2120</v>
      </c>
      <c r="P182" s="75">
        <v>0.5069444444444444</v>
      </c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>
        <v>45534.0</v>
      </c>
      <c r="I183" s="154" t="s">
        <v>2246</v>
      </c>
      <c r="J183" s="17">
        <v>100.0</v>
      </c>
      <c r="K183" s="92" t="s">
        <v>2247</v>
      </c>
      <c r="L183" s="155">
        <v>0.5541666666666667</v>
      </c>
      <c r="M183" s="72"/>
      <c r="N183" s="90"/>
      <c r="O183" s="74"/>
      <c r="P183" s="75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>
        <v>45534.0</v>
      </c>
      <c r="I184" s="154" t="s">
        <v>2246</v>
      </c>
      <c r="J184" s="17">
        <v>49900.0</v>
      </c>
      <c r="K184" s="93" t="s">
        <v>2247</v>
      </c>
      <c r="L184" s="155">
        <v>0.5555555555555556</v>
      </c>
      <c r="M184" s="72" t="s">
        <v>2076</v>
      </c>
      <c r="N184" s="90">
        <v>23800.0</v>
      </c>
      <c r="O184" s="74" t="s">
        <v>2242</v>
      </c>
      <c r="P184" s="75">
        <v>0.6534722222222222</v>
      </c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>
        <v>45534.0</v>
      </c>
      <c r="I185" s="68"/>
      <c r="J185" s="69"/>
      <c r="K185" s="87"/>
      <c r="L185" s="71"/>
      <c r="M185" s="72" t="s">
        <v>1829</v>
      </c>
      <c r="N185" s="90">
        <v>5000.6</v>
      </c>
      <c r="O185" s="74" t="s">
        <v>2250</v>
      </c>
      <c r="P185" s="75">
        <v>0.7513888888888889</v>
      </c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>
        <v>45534.0</v>
      </c>
      <c r="I186" s="84"/>
      <c r="J186" s="17"/>
      <c r="K186" s="85"/>
      <c r="L186" s="86"/>
      <c r="M186" s="72" t="s">
        <v>1829</v>
      </c>
      <c r="N186" s="90">
        <v>5000.12</v>
      </c>
      <c r="O186" s="74" t="s">
        <v>2250</v>
      </c>
      <c r="P186" s="75">
        <v>0.8013888888888889</v>
      </c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>
        <v>45534.0</v>
      </c>
      <c r="I187" s="84"/>
      <c r="J187" s="17"/>
      <c r="K187" s="85"/>
      <c r="L187" s="86"/>
      <c r="M187" s="72" t="s">
        <v>20</v>
      </c>
      <c r="N187" s="90">
        <v>2313.0</v>
      </c>
      <c r="O187" s="74" t="s">
        <v>2492</v>
      </c>
      <c r="P187" s="75">
        <v>0.8069444444444445</v>
      </c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>
        <v>45534.0</v>
      </c>
      <c r="I188" s="84"/>
      <c r="J188" s="17"/>
      <c r="K188" s="85"/>
      <c r="L188" s="86"/>
      <c r="M188" s="72" t="s">
        <v>2076</v>
      </c>
      <c r="N188" s="90">
        <v>11900.0</v>
      </c>
      <c r="O188" s="74" t="s">
        <v>2242</v>
      </c>
      <c r="P188" s="75">
        <v>0.8951388888888889</v>
      </c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>
        <v>45534.0</v>
      </c>
      <c r="I189" s="84"/>
      <c r="J189" s="17"/>
      <c r="K189" s="85"/>
      <c r="L189" s="86"/>
      <c r="M189" s="147" t="s">
        <v>2262</v>
      </c>
      <c r="N189" s="19">
        <v>20000.0</v>
      </c>
      <c r="O189" s="126" t="s">
        <v>2263</v>
      </c>
      <c r="P189" s="75">
        <v>0.9604166666666667</v>
      </c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>
        <v>45535.0</v>
      </c>
      <c r="I190" s="84"/>
      <c r="J190" s="17"/>
      <c r="K190" s="85"/>
      <c r="L190" s="86"/>
      <c r="M190" s="72" t="s">
        <v>2076</v>
      </c>
      <c r="N190" s="90">
        <v>11900.0</v>
      </c>
      <c r="O190" s="74" t="s">
        <v>2242</v>
      </c>
      <c r="P190" s="75">
        <v>0.3284722222222222</v>
      </c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>
        <v>45535.0</v>
      </c>
      <c r="I191" s="84"/>
      <c r="J191" s="17"/>
      <c r="K191" s="85"/>
      <c r="L191" s="86"/>
      <c r="M191" s="72" t="s">
        <v>2076</v>
      </c>
      <c r="N191" s="90">
        <v>11900.0</v>
      </c>
      <c r="O191" s="74" t="s">
        <v>2242</v>
      </c>
      <c r="P191" s="75">
        <v>0.5256944444444445</v>
      </c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53">
        <v>45535.0</v>
      </c>
      <c r="I192" s="84"/>
      <c r="J192" s="17"/>
      <c r="K192" s="85"/>
      <c r="L192" s="86"/>
      <c r="M192" s="72" t="s">
        <v>2076</v>
      </c>
      <c r="N192" s="90">
        <v>11900.0</v>
      </c>
      <c r="O192" s="74" t="s">
        <v>2242</v>
      </c>
      <c r="P192" s="75">
        <v>0.6048611111111111</v>
      </c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53">
        <v>45535.0</v>
      </c>
      <c r="I193" s="68" t="s">
        <v>2290</v>
      </c>
      <c r="J193" s="69">
        <v>50000.0</v>
      </c>
      <c r="K193" s="70" t="s">
        <v>2463</v>
      </c>
      <c r="L193" s="71">
        <v>0.6229166666666667</v>
      </c>
      <c r="M193" s="72" t="s">
        <v>2076</v>
      </c>
      <c r="N193" s="90">
        <v>23800.0</v>
      </c>
      <c r="O193" s="74" t="s">
        <v>2242</v>
      </c>
      <c r="P193" s="75">
        <v>0.7361111111111112</v>
      </c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53">
        <v>45535.0</v>
      </c>
      <c r="I194" s="84"/>
      <c r="J194" s="17"/>
      <c r="K194" s="85"/>
      <c r="L194" s="86"/>
      <c r="M194" s="72" t="s">
        <v>2076</v>
      </c>
      <c r="N194" s="90">
        <v>23800.0</v>
      </c>
      <c r="O194" s="74" t="s">
        <v>2242</v>
      </c>
      <c r="P194" s="75">
        <v>0.8875</v>
      </c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7">
    <mergeCell ref="C1:Q1"/>
    <mergeCell ref="G4:O4"/>
    <mergeCell ref="G5:G6"/>
    <mergeCell ref="H5:H6"/>
    <mergeCell ref="I5:L5"/>
    <mergeCell ref="M5:P5"/>
    <mergeCell ref="S62:S63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6" width="13.25"/>
    <col customWidth="1" min="17" max="17" width="3.38"/>
    <col customWidth="1" min="18" max="18" width="4.25"/>
    <col customWidth="1" min="19" max="20" width="24.13"/>
    <col customWidth="1" min="21" max="28" width="6.88"/>
  </cols>
  <sheetData>
    <row r="1" ht="48.75" customHeight="1">
      <c r="A1" s="9"/>
      <c r="B1" s="2"/>
      <c r="C1" s="3" t="s">
        <v>2493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9"/>
      <c r="S1" s="8"/>
      <c r="T1" s="8"/>
      <c r="U1" s="8"/>
      <c r="V1" s="8"/>
      <c r="W1" s="8"/>
      <c r="X1" s="8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9"/>
      <c r="S2" s="8"/>
      <c r="T2" s="8"/>
      <c r="U2" s="8"/>
      <c r="V2" s="8"/>
      <c r="W2" s="8"/>
      <c r="X2" s="8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9"/>
      <c r="S3" s="8"/>
      <c r="T3" s="8"/>
      <c r="U3" s="8"/>
      <c r="V3" s="8"/>
      <c r="W3" s="8"/>
      <c r="X3" s="8"/>
      <c r="Y3" s="8"/>
      <c r="Z3" s="8"/>
      <c r="AA3" s="8"/>
      <c r="AB3" s="8"/>
    </row>
    <row r="4" ht="57.0" customHeight="1">
      <c r="A4" s="20"/>
      <c r="B4" s="21"/>
      <c r="C4" s="22" t="s">
        <v>2494</v>
      </c>
      <c r="D4" s="21"/>
      <c r="E4" s="20"/>
      <c r="F4" s="21"/>
      <c r="G4" s="23" t="s">
        <v>2495</v>
      </c>
      <c r="H4" s="4"/>
      <c r="I4" s="4"/>
      <c r="J4" s="4"/>
      <c r="K4" s="4"/>
      <c r="L4" s="4"/>
      <c r="M4" s="4"/>
      <c r="N4" s="4"/>
      <c r="O4" s="4"/>
      <c r="P4" s="23"/>
      <c r="Q4" s="21"/>
      <c r="R4" s="20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04" t="s">
        <v>2496</v>
      </c>
      <c r="J5" s="34"/>
      <c r="K5" s="34"/>
      <c r="L5" s="35"/>
      <c r="M5" s="305" t="s">
        <v>2497</v>
      </c>
      <c r="N5" s="37"/>
      <c r="O5" s="37"/>
      <c r="P5" s="38"/>
      <c r="Q5" s="30"/>
      <c r="R5" s="29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306" t="s">
        <v>2498</v>
      </c>
      <c r="K6" s="306" t="s">
        <v>12</v>
      </c>
      <c r="L6" s="306" t="s">
        <v>13</v>
      </c>
      <c r="M6" s="49" t="s">
        <v>10</v>
      </c>
      <c r="N6" s="307" t="s">
        <v>2498</v>
      </c>
      <c r="O6" s="307" t="s">
        <v>12</v>
      </c>
      <c r="P6" s="307" t="s">
        <v>13</v>
      </c>
      <c r="Q6" s="30"/>
      <c r="R6" s="29"/>
      <c r="S6" s="109">
        <f>SUMIF(M:M,"账单户广告费",N:N)</f>
        <v>19200.48</v>
      </c>
      <c r="T6" s="26" t="s">
        <v>1829</v>
      </c>
      <c r="U6" s="30"/>
      <c r="V6" s="30"/>
      <c r="W6" s="30"/>
      <c r="X6" s="30"/>
      <c r="Y6" s="30"/>
      <c r="Z6" s="30"/>
      <c r="AA6" s="30"/>
      <c r="AB6" s="30"/>
    </row>
    <row r="7" ht="27.75" customHeight="1">
      <c r="A7" s="29"/>
      <c r="B7" s="30"/>
      <c r="C7" s="308" t="s">
        <v>817</v>
      </c>
      <c r="D7" s="54"/>
      <c r="E7" s="29"/>
      <c r="F7" s="30"/>
      <c r="G7" s="55">
        <v>1.0</v>
      </c>
      <c r="H7" s="241">
        <v>45474.0</v>
      </c>
      <c r="I7" s="57" t="s">
        <v>818</v>
      </c>
      <c r="J7" s="58">
        <f>'6月启航小h充值详情'!C13</f>
        <v>18293.25</v>
      </c>
      <c r="K7" s="309"/>
      <c r="L7" s="310"/>
      <c r="M7" s="311"/>
      <c r="N7" s="62"/>
      <c r="O7" s="312"/>
      <c r="P7" s="313"/>
      <c r="Q7" s="41"/>
      <c r="R7" s="29"/>
      <c r="S7" s="109">
        <f>SUMIF(M:M,"启航广告费",N:N)</f>
        <v>7577.79</v>
      </c>
      <c r="T7" s="26" t="s">
        <v>827</v>
      </c>
      <c r="U7" s="30"/>
      <c r="V7" s="30"/>
      <c r="W7" s="30"/>
      <c r="X7" s="30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45474.0</v>
      </c>
      <c r="I8" s="84"/>
      <c r="J8" s="17"/>
      <c r="K8" s="70"/>
      <c r="L8" s="314"/>
      <c r="M8" s="315" t="s">
        <v>1829</v>
      </c>
      <c r="N8" s="90">
        <v>18000.48</v>
      </c>
      <c r="O8" s="316" t="s">
        <v>2109</v>
      </c>
      <c r="P8" s="316" t="s">
        <v>2499</v>
      </c>
      <c r="Q8" s="30"/>
      <c r="R8" s="29"/>
      <c r="S8" s="109">
        <f>SUMIF(M:M,"小h广告费",N:N)</f>
        <v>0</v>
      </c>
      <c r="T8" s="26" t="s">
        <v>2468</v>
      </c>
      <c r="U8" s="30"/>
      <c r="V8" s="30"/>
      <c r="W8" s="30"/>
      <c r="X8" s="30"/>
      <c r="Y8" s="30"/>
      <c r="Z8" s="30"/>
      <c r="AA8" s="30"/>
      <c r="AB8" s="30"/>
    </row>
    <row r="9" ht="27.75" customHeight="1">
      <c r="A9" s="29"/>
      <c r="B9" s="30"/>
      <c r="C9" s="77">
        <f>SUM(J7:J110)</f>
        <v>74793.25</v>
      </c>
      <c r="D9" s="30"/>
      <c r="E9" s="29"/>
      <c r="F9" s="30"/>
      <c r="G9" s="66">
        <v>3.0</v>
      </c>
      <c r="H9" s="153">
        <v>45476.0</v>
      </c>
      <c r="I9" s="68"/>
      <c r="J9" s="69"/>
      <c r="K9" s="70"/>
      <c r="L9" s="314"/>
      <c r="M9" s="315" t="s">
        <v>20</v>
      </c>
      <c r="N9" s="90">
        <v>51.5</v>
      </c>
      <c r="O9" s="316" t="s">
        <v>2500</v>
      </c>
      <c r="P9" s="315" t="s">
        <v>2501</v>
      </c>
      <c r="Q9" s="30"/>
      <c r="R9" s="29"/>
      <c r="S9" s="109">
        <f>SUMIF(M:M,"飞书广告费",N:N)</f>
        <v>0</v>
      </c>
      <c r="T9" s="26" t="s">
        <v>2502</v>
      </c>
      <c r="U9" s="30"/>
      <c r="V9" s="30"/>
      <c r="W9" s="30"/>
      <c r="X9" s="30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45487.0</v>
      </c>
      <c r="I10" s="68" t="s">
        <v>7</v>
      </c>
      <c r="J10" s="69">
        <v>5000.0</v>
      </c>
      <c r="K10" s="87"/>
      <c r="L10" s="314" t="s">
        <v>2503</v>
      </c>
      <c r="M10" s="315"/>
      <c r="N10" s="90"/>
      <c r="O10" s="316"/>
      <c r="P10" s="317"/>
      <c r="Q10" s="30"/>
      <c r="R10" s="29"/>
      <c r="S10" s="109">
        <f>SUMIF(M:M,"广告配套",N:N)</f>
        <v>7168.28</v>
      </c>
      <c r="T10" s="26" t="s">
        <v>20</v>
      </c>
      <c r="U10" s="30"/>
      <c r="V10" s="30"/>
      <c r="W10" s="30"/>
      <c r="X10" s="30"/>
      <c r="Y10" s="30"/>
      <c r="Z10" s="30"/>
      <c r="AA10" s="30"/>
      <c r="AB10" s="30"/>
    </row>
    <row r="11" ht="27.75" customHeight="1">
      <c r="A11" s="29"/>
      <c r="B11" s="30"/>
      <c r="C11" s="79">
        <f>SUM(N7:N110)</f>
        <v>74143.57</v>
      </c>
      <c r="D11" s="30"/>
      <c r="E11" s="29"/>
      <c r="F11" s="30"/>
      <c r="G11" s="66">
        <v>5.0</v>
      </c>
      <c r="H11" s="153">
        <v>45487.0</v>
      </c>
      <c r="I11" s="84"/>
      <c r="J11" s="17"/>
      <c r="K11" s="70"/>
      <c r="L11" s="314"/>
      <c r="M11" s="315" t="s">
        <v>20</v>
      </c>
      <c r="N11" s="90">
        <v>1247.0</v>
      </c>
      <c r="O11" s="316" t="s">
        <v>2109</v>
      </c>
      <c r="P11" s="317">
        <v>0.6201388888888889</v>
      </c>
      <c r="Q11" s="30"/>
      <c r="R11" s="29"/>
      <c r="S11" s="109">
        <f>SUMIF(M:M,"fb广告费充值",N:N)</f>
        <v>30092.02</v>
      </c>
      <c r="T11" s="26" t="s">
        <v>2296</v>
      </c>
      <c r="U11" s="30"/>
      <c r="V11" s="30"/>
      <c r="W11" s="30"/>
      <c r="X11" s="30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45487.0</v>
      </c>
      <c r="I12" s="68"/>
      <c r="J12" s="69"/>
      <c r="K12" s="70"/>
      <c r="L12" s="314"/>
      <c r="M12" s="315" t="s">
        <v>20</v>
      </c>
      <c r="N12" s="90">
        <v>600.0</v>
      </c>
      <c r="O12" s="316" t="s">
        <v>453</v>
      </c>
      <c r="P12" s="317">
        <v>0.8277777777777777</v>
      </c>
      <c r="Q12" s="30"/>
      <c r="R12" s="29"/>
      <c r="S12" s="109">
        <f>SUMIF(M:M,"广告费",N:N)</f>
        <v>105</v>
      </c>
      <c r="T12" s="26" t="s">
        <v>2504</v>
      </c>
      <c r="U12" s="30"/>
      <c r="V12" s="30"/>
      <c r="W12" s="30"/>
      <c r="X12" s="30"/>
      <c r="Y12" s="30"/>
      <c r="Z12" s="30"/>
      <c r="AA12" s="30"/>
      <c r="AB12" s="30"/>
    </row>
    <row r="13" ht="27.75" customHeight="1">
      <c r="A13" s="29"/>
      <c r="B13" s="30"/>
      <c r="C13" s="82">
        <f>C9-C11</f>
        <v>649.68</v>
      </c>
      <c r="D13" s="30"/>
      <c r="E13" s="29"/>
      <c r="F13" s="30"/>
      <c r="G13" s="66">
        <v>7.0</v>
      </c>
      <c r="H13" s="153">
        <v>45490.0</v>
      </c>
      <c r="I13" s="84"/>
      <c r="J13" s="17"/>
      <c r="K13" s="85"/>
      <c r="L13" s="133"/>
      <c r="M13" s="315" t="s">
        <v>20</v>
      </c>
      <c r="N13" s="90">
        <v>1247.0</v>
      </c>
      <c r="O13" s="316" t="s">
        <v>2109</v>
      </c>
      <c r="P13" s="315" t="s">
        <v>2505</v>
      </c>
      <c r="Q13" s="30"/>
      <c r="R13" s="29"/>
      <c r="S13" s="109">
        <f>SUMIF(M:M,"欧洲广告费",N:N)</f>
        <v>10000</v>
      </c>
      <c r="T13" s="26" t="s">
        <v>2506</v>
      </c>
      <c r="U13" s="30"/>
      <c r="V13" s="30"/>
      <c r="W13" s="30"/>
      <c r="X13" s="30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45490.0</v>
      </c>
      <c r="I14" s="84"/>
      <c r="J14" s="17"/>
      <c r="K14" s="85"/>
      <c r="L14" s="133"/>
      <c r="M14" s="315" t="s">
        <v>20</v>
      </c>
      <c r="N14" s="90">
        <v>736.0</v>
      </c>
      <c r="O14" s="316" t="s">
        <v>2507</v>
      </c>
      <c r="P14" s="315" t="s">
        <v>2508</v>
      </c>
      <c r="Q14" s="30"/>
      <c r="R14" s="29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ht="27.75" customHeight="1">
      <c r="A15" s="29"/>
      <c r="B15" s="29"/>
      <c r="C15" s="29"/>
      <c r="D15" s="29"/>
      <c r="E15" s="29"/>
      <c r="F15" s="30"/>
      <c r="G15" s="66">
        <v>9.0</v>
      </c>
      <c r="H15" s="153">
        <v>45490.0</v>
      </c>
      <c r="I15" s="154"/>
      <c r="J15" s="17"/>
      <c r="K15" s="85"/>
      <c r="L15" s="133"/>
      <c r="M15" s="315" t="s">
        <v>20</v>
      </c>
      <c r="N15" s="90">
        <v>0.77</v>
      </c>
      <c r="O15" s="316" t="s">
        <v>2120</v>
      </c>
      <c r="P15" s="315" t="s">
        <v>2358</v>
      </c>
      <c r="Q15" s="30"/>
      <c r="R15" s="29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ht="27.75" customHeight="1">
      <c r="A16" s="29"/>
      <c r="B16" s="29"/>
      <c r="C16" s="29"/>
      <c r="D16" s="29"/>
      <c r="E16" s="29"/>
      <c r="F16" s="30"/>
      <c r="G16" s="66">
        <v>10.0</v>
      </c>
      <c r="H16" s="153">
        <v>45490.0</v>
      </c>
      <c r="I16" s="84"/>
      <c r="J16" s="17"/>
      <c r="K16" s="85"/>
      <c r="L16" s="133"/>
      <c r="M16" s="315" t="s">
        <v>20</v>
      </c>
      <c r="N16" s="90">
        <v>200.0</v>
      </c>
      <c r="O16" s="316" t="s">
        <v>2509</v>
      </c>
      <c r="P16" s="315" t="s">
        <v>2194</v>
      </c>
      <c r="Q16" s="30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ht="27.75" customHeight="1">
      <c r="A17" s="29"/>
      <c r="B17" s="29"/>
      <c r="C17" s="29"/>
      <c r="D17" s="29"/>
      <c r="E17" s="29"/>
      <c r="F17" s="30"/>
      <c r="G17" s="66">
        <v>11.0</v>
      </c>
      <c r="H17" s="153">
        <v>45490.0</v>
      </c>
      <c r="I17" s="84"/>
      <c r="J17" s="17"/>
      <c r="K17" s="85"/>
      <c r="L17" s="133"/>
      <c r="M17" s="315" t="s">
        <v>20</v>
      </c>
      <c r="N17" s="90">
        <v>125.0</v>
      </c>
      <c r="O17" s="316" t="s">
        <v>2510</v>
      </c>
      <c r="P17" s="315" t="s">
        <v>2511</v>
      </c>
      <c r="Q17" s="30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ht="27.75" customHeight="1">
      <c r="A18" s="29"/>
      <c r="B18" s="29"/>
      <c r="C18" s="29"/>
      <c r="D18" s="29"/>
      <c r="E18" s="29"/>
      <c r="F18" s="30"/>
      <c r="G18" s="66">
        <v>12.0</v>
      </c>
      <c r="H18" s="153">
        <v>45490.0</v>
      </c>
      <c r="I18" s="84"/>
      <c r="J18" s="69"/>
      <c r="K18" s="87"/>
      <c r="L18" s="318"/>
      <c r="M18" s="315" t="s">
        <v>20</v>
      </c>
      <c r="N18" s="90">
        <v>125.0</v>
      </c>
      <c r="O18" s="316" t="s">
        <v>2510</v>
      </c>
      <c r="P18" s="315" t="s">
        <v>2512</v>
      </c>
      <c r="Q18" s="30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ht="27.75" customHeight="1">
      <c r="A19" s="29"/>
      <c r="B19" s="29"/>
      <c r="C19" s="29"/>
      <c r="D19" s="29"/>
      <c r="E19" s="29"/>
      <c r="F19" s="30"/>
      <c r="G19" s="66">
        <v>13.0</v>
      </c>
      <c r="H19" s="153">
        <v>45490.0</v>
      </c>
      <c r="I19" s="84"/>
      <c r="J19" s="17"/>
      <c r="K19" s="85"/>
      <c r="L19" s="133"/>
      <c r="M19" s="315" t="s">
        <v>20</v>
      </c>
      <c r="N19" s="90">
        <v>0.77</v>
      </c>
      <c r="O19" s="316" t="s">
        <v>2120</v>
      </c>
      <c r="P19" s="315" t="s">
        <v>352</v>
      </c>
      <c r="Q19" s="30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ht="27.75" customHeight="1">
      <c r="A20" s="29"/>
      <c r="B20" s="29"/>
      <c r="C20" s="29"/>
      <c r="D20" s="29"/>
      <c r="E20" s="29"/>
      <c r="F20" s="30"/>
      <c r="G20" s="66">
        <v>14.0</v>
      </c>
      <c r="H20" s="153">
        <v>45491.0</v>
      </c>
      <c r="I20" s="154"/>
      <c r="J20" s="17"/>
      <c r="K20" s="85"/>
      <c r="L20" s="133"/>
      <c r="M20" s="315" t="s">
        <v>20</v>
      </c>
      <c r="N20" s="90">
        <v>70.0</v>
      </c>
      <c r="O20" s="316" t="s">
        <v>2513</v>
      </c>
      <c r="P20" s="315" t="s">
        <v>2514</v>
      </c>
      <c r="Q20" s="30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27.75" customHeight="1">
      <c r="A21" s="29"/>
      <c r="B21" s="29"/>
      <c r="C21" s="29"/>
      <c r="D21" s="29"/>
      <c r="E21" s="29"/>
      <c r="F21" s="30"/>
      <c r="G21" s="66">
        <v>15.0</v>
      </c>
      <c r="H21" s="153">
        <v>45491.0</v>
      </c>
      <c r="I21" s="84"/>
      <c r="J21" s="17"/>
      <c r="K21" s="85"/>
      <c r="L21" s="133"/>
      <c r="M21" s="315" t="s">
        <v>20</v>
      </c>
      <c r="N21" s="90">
        <v>382.0</v>
      </c>
      <c r="O21" s="316" t="s">
        <v>1265</v>
      </c>
      <c r="P21" s="315" t="s">
        <v>2515</v>
      </c>
      <c r="Q21" s="30"/>
      <c r="R21" s="29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ht="27.75" customHeight="1">
      <c r="A22" s="29"/>
      <c r="B22" s="29"/>
      <c r="C22" s="29"/>
      <c r="D22" s="29"/>
      <c r="E22" s="29"/>
      <c r="F22" s="30"/>
      <c r="G22" s="66">
        <v>16.0</v>
      </c>
      <c r="H22" s="153">
        <v>45492.0</v>
      </c>
      <c r="I22" s="68"/>
      <c r="J22" s="69"/>
      <c r="K22" s="85"/>
      <c r="L22" s="133"/>
      <c r="M22" s="315" t="s">
        <v>20</v>
      </c>
      <c r="N22" s="90">
        <v>0.77</v>
      </c>
      <c r="O22" s="316" t="s">
        <v>2120</v>
      </c>
      <c r="P22" s="315" t="s">
        <v>2516</v>
      </c>
      <c r="Q22" s="30"/>
      <c r="R22" s="29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ht="27.75" customHeight="1">
      <c r="A23" s="29"/>
      <c r="B23" s="29"/>
      <c r="C23" s="29"/>
      <c r="D23" s="29"/>
      <c r="E23" s="29"/>
      <c r="F23" s="30"/>
      <c r="G23" s="66">
        <v>17.0</v>
      </c>
      <c r="H23" s="153">
        <v>45494.0</v>
      </c>
      <c r="I23" s="84"/>
      <c r="J23" s="17"/>
      <c r="K23" s="85"/>
      <c r="L23" s="133"/>
      <c r="M23" s="315" t="s">
        <v>20</v>
      </c>
      <c r="N23" s="90">
        <v>222.0</v>
      </c>
      <c r="O23" s="316" t="s">
        <v>2517</v>
      </c>
      <c r="P23" s="315" t="s">
        <v>2518</v>
      </c>
      <c r="Q23" s="30"/>
      <c r="R23" s="29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27.75" customHeight="1">
      <c r="A24" s="29"/>
      <c r="B24" s="29"/>
      <c r="C24" s="29"/>
      <c r="D24" s="29"/>
      <c r="E24" s="29"/>
      <c r="F24" s="30"/>
      <c r="G24" s="66">
        <v>18.0</v>
      </c>
      <c r="H24" s="153">
        <v>45494.0</v>
      </c>
      <c r="I24" s="84"/>
      <c r="J24" s="17"/>
      <c r="K24" s="85"/>
      <c r="L24" s="133"/>
      <c r="M24" s="315" t="s">
        <v>2504</v>
      </c>
      <c r="N24" s="90">
        <v>105.0</v>
      </c>
      <c r="O24" s="316" t="s">
        <v>2519</v>
      </c>
      <c r="P24" s="74" t="s">
        <v>2520</v>
      </c>
      <c r="Q24" s="30"/>
      <c r="R24" s="29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ht="27.75" customHeight="1">
      <c r="A25" s="29"/>
      <c r="B25" s="29"/>
      <c r="C25" s="29"/>
      <c r="D25" s="29"/>
      <c r="E25" s="29"/>
      <c r="F25" s="30"/>
      <c r="G25" s="122">
        <v>19.0</v>
      </c>
      <c r="H25" s="153">
        <v>45495.0</v>
      </c>
      <c r="I25" s="84"/>
      <c r="J25" s="17"/>
      <c r="K25" s="85"/>
      <c r="L25" s="133"/>
      <c r="M25" s="315" t="s">
        <v>20</v>
      </c>
      <c r="N25" s="90">
        <v>0.77</v>
      </c>
      <c r="O25" s="316" t="s">
        <v>2120</v>
      </c>
      <c r="P25" s="74" t="s">
        <v>692</v>
      </c>
      <c r="Q25" s="30"/>
      <c r="R25" s="29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ht="27.75" customHeight="1">
      <c r="A26" s="29"/>
      <c r="B26" s="29"/>
      <c r="C26" s="29"/>
      <c r="D26" s="29"/>
      <c r="E26" s="29"/>
      <c r="F26" s="30"/>
      <c r="G26" s="122">
        <v>20.0</v>
      </c>
      <c r="H26" s="153">
        <v>45495.0</v>
      </c>
      <c r="I26" s="68" t="s">
        <v>7</v>
      </c>
      <c r="J26" s="69">
        <v>6000.0</v>
      </c>
      <c r="K26" s="85"/>
      <c r="L26" s="314" t="s">
        <v>2361</v>
      </c>
      <c r="M26" s="315"/>
      <c r="N26" s="90"/>
      <c r="O26" s="316"/>
      <c r="P26" s="74"/>
      <c r="Q26" s="30"/>
      <c r="R26" s="29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27.75" customHeight="1">
      <c r="A27" s="29"/>
      <c r="B27" s="29"/>
      <c r="C27" s="29"/>
      <c r="D27" s="29"/>
      <c r="E27" s="29"/>
      <c r="F27" s="30"/>
      <c r="G27" s="122">
        <v>21.0</v>
      </c>
      <c r="H27" s="153">
        <v>45495.0</v>
      </c>
      <c r="I27" s="68" t="s">
        <v>7</v>
      </c>
      <c r="J27" s="69">
        <v>500.0</v>
      </c>
      <c r="K27" s="85"/>
      <c r="L27" s="314" t="s">
        <v>2521</v>
      </c>
      <c r="M27" s="315"/>
      <c r="N27" s="90"/>
      <c r="O27" s="316"/>
      <c r="P27" s="74"/>
      <c r="Q27" s="30"/>
      <c r="R27" s="29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122">
        <v>22.0</v>
      </c>
      <c r="H28" s="153">
        <v>45495.0</v>
      </c>
      <c r="I28" s="84"/>
      <c r="J28" s="17"/>
      <c r="K28" s="85"/>
      <c r="L28" s="133"/>
      <c r="M28" s="315" t="s">
        <v>1829</v>
      </c>
      <c r="N28" s="90">
        <v>200.0</v>
      </c>
      <c r="O28" s="316" t="s">
        <v>2522</v>
      </c>
      <c r="P28" s="74" t="s">
        <v>2523</v>
      </c>
      <c r="Q28" s="30"/>
      <c r="R28" s="29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122">
        <v>23.0</v>
      </c>
      <c r="H29" s="153">
        <v>45496.0</v>
      </c>
      <c r="I29" s="84"/>
      <c r="J29" s="17"/>
      <c r="K29" s="85"/>
      <c r="L29" s="133"/>
      <c r="M29" s="72" t="s">
        <v>2296</v>
      </c>
      <c r="N29" s="90">
        <v>3787.5</v>
      </c>
      <c r="O29" s="316" t="s">
        <v>469</v>
      </c>
      <c r="P29" s="74" t="s">
        <v>2524</v>
      </c>
      <c r="Q29" s="30"/>
      <c r="R29" s="29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122">
        <v>24.0</v>
      </c>
      <c r="H30" s="153">
        <v>45496.0</v>
      </c>
      <c r="I30" s="68"/>
      <c r="J30" s="69"/>
      <c r="K30" s="85"/>
      <c r="L30" s="133"/>
      <c r="M30" s="315" t="s">
        <v>20</v>
      </c>
      <c r="N30" s="90">
        <v>125.0</v>
      </c>
      <c r="O30" s="316" t="s">
        <v>2525</v>
      </c>
      <c r="P30" s="74" t="s">
        <v>2526</v>
      </c>
      <c r="Q30" s="30"/>
      <c r="R30" s="29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122">
        <v>25.0</v>
      </c>
      <c r="H31" s="153">
        <v>45496.0</v>
      </c>
      <c r="I31" s="84"/>
      <c r="J31" s="103"/>
      <c r="K31" s="103"/>
      <c r="L31" s="133"/>
      <c r="M31" s="72" t="s">
        <v>20</v>
      </c>
      <c r="N31" s="90">
        <v>70.0</v>
      </c>
      <c r="O31" s="316" t="s">
        <v>2527</v>
      </c>
      <c r="P31" s="74" t="s">
        <v>2528</v>
      </c>
      <c r="Q31" s="30"/>
      <c r="R31" s="29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122">
        <v>26.0</v>
      </c>
      <c r="H32" s="153">
        <v>45497.0</v>
      </c>
      <c r="I32" s="68"/>
      <c r="J32" s="17"/>
      <c r="K32" s="70"/>
      <c r="L32" s="314"/>
      <c r="M32" s="315" t="s">
        <v>1829</v>
      </c>
      <c r="N32" s="90">
        <v>1000.0</v>
      </c>
      <c r="O32" s="316" t="s">
        <v>2522</v>
      </c>
      <c r="P32" s="74" t="s">
        <v>2529</v>
      </c>
      <c r="Q32" s="30"/>
      <c r="R32" s="29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122">
        <v>27.0</v>
      </c>
      <c r="H33" s="153">
        <v>45497.0</v>
      </c>
      <c r="I33" s="84"/>
      <c r="J33" s="17"/>
      <c r="K33" s="85"/>
      <c r="L33" s="133"/>
      <c r="M33" s="72" t="s">
        <v>2296</v>
      </c>
      <c r="N33" s="90">
        <v>1262.5</v>
      </c>
      <c r="O33" s="316" t="s">
        <v>469</v>
      </c>
      <c r="P33" s="74" t="s">
        <v>2530</v>
      </c>
      <c r="Q33" s="30"/>
      <c r="R33" s="29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122">
        <v>28.0</v>
      </c>
      <c r="H34" s="153">
        <v>45498.0</v>
      </c>
      <c r="I34" s="68" t="s">
        <v>7</v>
      </c>
      <c r="J34" s="69">
        <v>10000.0</v>
      </c>
      <c r="K34" s="85"/>
      <c r="L34" s="314" t="s">
        <v>589</v>
      </c>
      <c r="M34" s="315"/>
      <c r="N34" s="90"/>
      <c r="O34" s="316"/>
      <c r="P34" s="74"/>
      <c r="Q34" s="30"/>
      <c r="R34" s="29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122">
        <v>29.0</v>
      </c>
      <c r="H35" s="153">
        <v>45498.0</v>
      </c>
      <c r="I35" s="84"/>
      <c r="J35" s="17"/>
      <c r="K35" s="85"/>
      <c r="L35" s="133"/>
      <c r="M35" s="72" t="s">
        <v>20</v>
      </c>
      <c r="N35" s="90">
        <v>70.0</v>
      </c>
      <c r="O35" s="316" t="s">
        <v>2531</v>
      </c>
      <c r="P35" s="74" t="s">
        <v>310</v>
      </c>
      <c r="Q35" s="30"/>
      <c r="R35" s="29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122">
        <v>30.0</v>
      </c>
      <c r="H36" s="153">
        <v>45499.0</v>
      </c>
      <c r="I36" s="68" t="s">
        <v>7</v>
      </c>
      <c r="J36" s="69">
        <v>20000.0</v>
      </c>
      <c r="K36" s="319"/>
      <c r="L36" s="314" t="s">
        <v>2532</v>
      </c>
      <c r="M36" s="315"/>
      <c r="N36" s="90"/>
      <c r="O36" s="316"/>
      <c r="P36" s="74"/>
      <c r="Q36" s="30"/>
      <c r="R36" s="29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122">
        <v>31.0</v>
      </c>
      <c r="H37" s="153">
        <v>45499.0</v>
      </c>
      <c r="I37" s="84"/>
      <c r="J37" s="17"/>
      <c r="K37" s="85"/>
      <c r="L37" s="133"/>
      <c r="M37" s="72" t="s">
        <v>2296</v>
      </c>
      <c r="N37" s="90">
        <v>2525.0</v>
      </c>
      <c r="O37" s="316" t="s">
        <v>469</v>
      </c>
      <c r="P37" s="74" t="s">
        <v>2533</v>
      </c>
      <c r="Q37" s="30"/>
      <c r="R37" s="29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122">
        <v>32.0</v>
      </c>
      <c r="H38" s="153">
        <v>45499.0</v>
      </c>
      <c r="I38" s="84"/>
      <c r="J38" s="17"/>
      <c r="K38" s="85"/>
      <c r="L38" s="133"/>
      <c r="M38" s="315" t="s">
        <v>2506</v>
      </c>
      <c r="N38" s="90">
        <v>10000.0</v>
      </c>
      <c r="O38" s="316" t="s">
        <v>2534</v>
      </c>
      <c r="P38" s="74" t="s">
        <v>2535</v>
      </c>
      <c r="Q38" s="30"/>
      <c r="R38" s="29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122">
        <v>33.0</v>
      </c>
      <c r="H39" s="153">
        <v>45499.0</v>
      </c>
      <c r="I39" s="68"/>
      <c r="J39" s="69"/>
      <c r="K39" s="70"/>
      <c r="L39" s="314"/>
      <c r="M39" s="72" t="s">
        <v>20</v>
      </c>
      <c r="N39" s="90">
        <v>207.0</v>
      </c>
      <c r="O39" s="316" t="s">
        <v>2536</v>
      </c>
      <c r="P39" s="74" t="s">
        <v>2537</v>
      </c>
      <c r="Q39" s="30"/>
      <c r="R39" s="29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122">
        <v>34.0</v>
      </c>
      <c r="H40" s="153">
        <v>45499.0</v>
      </c>
      <c r="I40" s="84"/>
      <c r="J40" s="17"/>
      <c r="K40" s="85"/>
      <c r="L40" s="133"/>
      <c r="M40" s="72" t="s">
        <v>2296</v>
      </c>
      <c r="N40" s="90">
        <v>1262.5</v>
      </c>
      <c r="O40" s="316" t="s">
        <v>469</v>
      </c>
      <c r="P40" s="74" t="s">
        <v>2538</v>
      </c>
      <c r="Q40" s="30"/>
      <c r="R40" s="29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122">
        <v>35.0</v>
      </c>
      <c r="H41" s="153">
        <v>45499.0</v>
      </c>
      <c r="I41" s="84"/>
      <c r="J41" s="17"/>
      <c r="K41" s="85"/>
      <c r="L41" s="133"/>
      <c r="M41" s="72" t="s">
        <v>20</v>
      </c>
      <c r="N41" s="90">
        <v>90.0</v>
      </c>
      <c r="O41" s="316" t="s">
        <v>2539</v>
      </c>
      <c r="P41" s="74" t="s">
        <v>2540</v>
      </c>
      <c r="Q41" s="30"/>
      <c r="R41" s="29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122">
        <v>36.0</v>
      </c>
      <c r="H42" s="153">
        <v>45499.0</v>
      </c>
      <c r="I42" s="84"/>
      <c r="J42" s="17"/>
      <c r="K42" s="85"/>
      <c r="L42" s="133"/>
      <c r="M42" s="72" t="s">
        <v>2296</v>
      </c>
      <c r="N42" s="90">
        <v>1262.5</v>
      </c>
      <c r="O42" s="316" t="s">
        <v>469</v>
      </c>
      <c r="P42" s="74" t="s">
        <v>2541</v>
      </c>
      <c r="Q42" s="30"/>
      <c r="R42" s="29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122">
        <v>37.0</v>
      </c>
      <c r="H43" s="153">
        <v>45499.0</v>
      </c>
      <c r="I43" s="84"/>
      <c r="J43" s="17"/>
      <c r="K43" s="85"/>
      <c r="L43" s="133"/>
      <c r="M43" s="72" t="s">
        <v>2296</v>
      </c>
      <c r="N43" s="90">
        <v>4848.0</v>
      </c>
      <c r="O43" s="316" t="s">
        <v>469</v>
      </c>
      <c r="P43" s="74" t="s">
        <v>2542</v>
      </c>
      <c r="Q43" s="30"/>
      <c r="R43" s="29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122">
        <v>38.0</v>
      </c>
      <c r="H44" s="153">
        <v>45499.0</v>
      </c>
      <c r="I44" s="84"/>
      <c r="J44" s="69"/>
      <c r="K44" s="70"/>
      <c r="L44" s="314"/>
      <c r="M44" s="72" t="s">
        <v>2296</v>
      </c>
      <c r="N44" s="90">
        <v>7575.0</v>
      </c>
      <c r="O44" s="316" t="s">
        <v>469</v>
      </c>
      <c r="P44" s="74" t="s">
        <v>2543</v>
      </c>
      <c r="Q44" s="30"/>
      <c r="R44" s="29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122">
        <v>39.0</v>
      </c>
      <c r="H45" s="153">
        <v>45500.0</v>
      </c>
      <c r="I45" s="84"/>
      <c r="J45" s="17"/>
      <c r="K45" s="85"/>
      <c r="L45" s="133"/>
      <c r="M45" s="72" t="s">
        <v>20</v>
      </c>
      <c r="N45" s="90">
        <v>434.5</v>
      </c>
      <c r="O45" s="316" t="s">
        <v>2544</v>
      </c>
      <c r="P45" s="74" t="s">
        <v>2545</v>
      </c>
      <c r="Q45" s="30"/>
      <c r="R45" s="29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122">
        <v>40.0</v>
      </c>
      <c r="H46" s="153">
        <v>45500.0</v>
      </c>
      <c r="I46" s="68" t="s">
        <v>7</v>
      </c>
      <c r="J46" s="69">
        <v>15000.0</v>
      </c>
      <c r="K46" s="85"/>
      <c r="L46" s="314" t="s">
        <v>311</v>
      </c>
      <c r="M46" s="103"/>
      <c r="N46" s="103"/>
      <c r="O46" s="103"/>
      <c r="P46" s="103"/>
      <c r="Q46" s="30"/>
      <c r="R46" s="29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122">
        <v>41.0</v>
      </c>
      <c r="H47" s="153">
        <v>45500.0</v>
      </c>
      <c r="I47" s="84"/>
      <c r="J47" s="17"/>
      <c r="K47" s="85"/>
      <c r="L47" s="133"/>
      <c r="M47" s="72" t="s">
        <v>20</v>
      </c>
      <c r="N47" s="90">
        <v>360.0</v>
      </c>
      <c r="O47" s="316" t="s">
        <v>2539</v>
      </c>
      <c r="P47" s="74" t="s">
        <v>2546</v>
      </c>
      <c r="Q47" s="30"/>
      <c r="R47" s="29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122">
        <v>42.0</v>
      </c>
      <c r="H48" s="153">
        <v>45500.0</v>
      </c>
      <c r="I48" s="84"/>
      <c r="J48" s="17"/>
      <c r="K48" s="85"/>
      <c r="L48" s="133"/>
      <c r="M48" s="72" t="s">
        <v>2296</v>
      </c>
      <c r="N48" s="90">
        <v>1262.5</v>
      </c>
      <c r="O48" s="316" t="s">
        <v>469</v>
      </c>
      <c r="P48" s="74" t="s">
        <v>2547</v>
      </c>
      <c r="Q48" s="30"/>
      <c r="R48" s="29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122">
        <v>43.0</v>
      </c>
      <c r="H49" s="153">
        <v>45501.0</v>
      </c>
      <c r="I49" s="84"/>
      <c r="J49" s="17"/>
      <c r="K49" s="85"/>
      <c r="L49" s="133"/>
      <c r="M49" s="72" t="s">
        <v>2296</v>
      </c>
      <c r="N49" s="90">
        <v>2525.0</v>
      </c>
      <c r="O49" s="316" t="s">
        <v>469</v>
      </c>
      <c r="P49" s="74" t="s">
        <v>2332</v>
      </c>
      <c r="Q49" s="30"/>
      <c r="R49" s="29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122">
        <v>44.0</v>
      </c>
      <c r="H50" s="153">
        <v>45502.0</v>
      </c>
      <c r="I50" s="68"/>
      <c r="J50" s="69"/>
      <c r="K50" s="70"/>
      <c r="L50" s="314"/>
      <c r="M50" s="72" t="s">
        <v>827</v>
      </c>
      <c r="N50" s="90">
        <v>631.17</v>
      </c>
      <c r="O50" s="316"/>
      <c r="P50" s="74" t="s">
        <v>2548</v>
      </c>
      <c r="Q50" s="30"/>
      <c r="R50" s="29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122">
        <v>45.0</v>
      </c>
      <c r="H51" s="153">
        <v>45502.0</v>
      </c>
      <c r="I51" s="84"/>
      <c r="J51" s="17"/>
      <c r="K51" s="85"/>
      <c r="L51" s="133"/>
      <c r="M51" s="72" t="s">
        <v>2296</v>
      </c>
      <c r="N51" s="90">
        <v>1262.5</v>
      </c>
      <c r="O51" s="316" t="s">
        <v>469</v>
      </c>
      <c r="P51" s="74" t="s">
        <v>2549</v>
      </c>
      <c r="Q51" s="30"/>
      <c r="R51" s="29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122">
        <v>46.0</v>
      </c>
      <c r="H52" s="153">
        <v>45502.0</v>
      </c>
      <c r="I52" s="84"/>
      <c r="J52" s="17"/>
      <c r="K52" s="85"/>
      <c r="L52" s="133"/>
      <c r="M52" s="72" t="s">
        <v>827</v>
      </c>
      <c r="N52" s="90">
        <v>3856.62</v>
      </c>
      <c r="O52" s="316"/>
      <c r="P52" s="74" t="s">
        <v>2550</v>
      </c>
      <c r="Q52" s="30"/>
      <c r="R52" s="29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122">
        <v>47.0</v>
      </c>
      <c r="H53" s="153">
        <v>45502.0</v>
      </c>
      <c r="I53" s="68"/>
      <c r="J53" s="69"/>
      <c r="K53" s="70"/>
      <c r="L53" s="314"/>
      <c r="M53" s="72" t="s">
        <v>20</v>
      </c>
      <c r="N53" s="90">
        <v>90.0</v>
      </c>
      <c r="O53" s="316" t="s">
        <v>2539</v>
      </c>
      <c r="P53" s="74" t="s">
        <v>425</v>
      </c>
      <c r="Q53" s="30"/>
      <c r="R53" s="29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122">
        <v>48.0</v>
      </c>
      <c r="H54" s="153">
        <v>45502.0</v>
      </c>
      <c r="I54" s="84"/>
      <c r="J54" s="69"/>
      <c r="K54" s="70"/>
      <c r="L54" s="314"/>
      <c r="M54" s="72" t="s">
        <v>2296</v>
      </c>
      <c r="N54" s="90">
        <v>882.82</v>
      </c>
      <c r="O54" s="316" t="s">
        <v>469</v>
      </c>
      <c r="P54" s="74" t="s">
        <v>2551</v>
      </c>
      <c r="Q54" s="30"/>
      <c r="R54" s="29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122">
        <v>49.0</v>
      </c>
      <c r="H55" s="153">
        <v>45503.0</v>
      </c>
      <c r="I55" s="84"/>
      <c r="J55" s="17"/>
      <c r="K55" s="85"/>
      <c r="L55" s="133"/>
      <c r="M55" s="72" t="s">
        <v>20</v>
      </c>
      <c r="N55" s="90">
        <v>413.2</v>
      </c>
      <c r="O55" s="316" t="s">
        <v>2552</v>
      </c>
      <c r="P55" s="74" t="s">
        <v>2553</v>
      </c>
      <c r="Q55" s="30"/>
      <c r="R55" s="29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122">
        <v>50.0</v>
      </c>
      <c r="H56" s="153">
        <v>45503.0</v>
      </c>
      <c r="I56" s="84"/>
      <c r="J56" s="17"/>
      <c r="K56" s="85"/>
      <c r="L56" s="133"/>
      <c r="M56" s="72" t="s">
        <v>2296</v>
      </c>
      <c r="N56" s="90">
        <v>1636.2</v>
      </c>
      <c r="O56" s="316" t="s">
        <v>469</v>
      </c>
      <c r="P56" s="74" t="s">
        <v>793</v>
      </c>
      <c r="Q56" s="30"/>
      <c r="R56" s="29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122">
        <v>51.0</v>
      </c>
      <c r="H57" s="153">
        <v>45503.0</v>
      </c>
      <c r="I57" s="84"/>
      <c r="J57" s="17"/>
      <c r="K57" s="85"/>
      <c r="L57" s="133"/>
      <c r="M57" s="72" t="s">
        <v>827</v>
      </c>
      <c r="N57" s="90">
        <v>2020.0</v>
      </c>
      <c r="O57" s="316"/>
      <c r="P57" s="74" t="s">
        <v>2521</v>
      </c>
      <c r="Q57" s="30"/>
      <c r="R57" s="29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122">
        <v>52.0</v>
      </c>
      <c r="H58" s="153">
        <v>45503.0</v>
      </c>
      <c r="I58" s="84"/>
      <c r="J58" s="103"/>
      <c r="K58" s="103"/>
      <c r="L58" s="133"/>
      <c r="M58" s="72" t="s">
        <v>827</v>
      </c>
      <c r="N58" s="90">
        <v>1070.0</v>
      </c>
      <c r="O58" s="316"/>
      <c r="P58" s="74" t="s">
        <v>2554</v>
      </c>
      <c r="Q58" s="30"/>
      <c r="R58" s="29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122">
        <v>53.0</v>
      </c>
      <c r="H59" s="153">
        <v>45504.0</v>
      </c>
      <c r="I59" s="84"/>
      <c r="J59" s="17"/>
      <c r="K59" s="70"/>
      <c r="L59" s="314"/>
      <c r="M59" s="72" t="s">
        <v>20</v>
      </c>
      <c r="N59" s="90">
        <v>300.0</v>
      </c>
      <c r="O59" s="316" t="s">
        <v>2555</v>
      </c>
      <c r="P59" s="74" t="s">
        <v>119</v>
      </c>
      <c r="Q59" s="30"/>
      <c r="R59" s="29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122">
        <v>54.0</v>
      </c>
      <c r="H60" s="153"/>
      <c r="I60" s="84"/>
      <c r="J60" s="17"/>
      <c r="K60" s="85"/>
      <c r="L60" s="133"/>
      <c r="M60" s="72"/>
      <c r="N60" s="90"/>
      <c r="O60" s="316"/>
      <c r="P60" s="239"/>
      <c r="Q60" s="30"/>
      <c r="R60" s="29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122">
        <v>55.0</v>
      </c>
      <c r="H61" s="153"/>
      <c r="I61" s="84"/>
      <c r="J61" s="17"/>
      <c r="K61" s="85"/>
      <c r="L61" s="133"/>
      <c r="M61" s="315"/>
      <c r="N61" s="90"/>
      <c r="O61" s="316"/>
      <c r="P61" s="74"/>
      <c r="Q61" s="30"/>
      <c r="R61" s="29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122">
        <v>56.0</v>
      </c>
      <c r="H62" s="153"/>
      <c r="I62" s="84"/>
      <c r="J62" s="17"/>
      <c r="K62" s="85"/>
      <c r="L62" s="133"/>
      <c r="M62" s="315"/>
      <c r="N62" s="90"/>
      <c r="O62" s="316"/>
      <c r="P62" s="74"/>
      <c r="Q62" s="30"/>
      <c r="R62" s="29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122">
        <v>57.0</v>
      </c>
      <c r="H63" s="153"/>
      <c r="I63" s="68"/>
      <c r="J63" s="69"/>
      <c r="K63" s="70"/>
      <c r="L63" s="314"/>
      <c r="M63" s="315"/>
      <c r="N63" s="90"/>
      <c r="O63" s="316"/>
      <c r="P63" s="74"/>
      <c r="Q63" s="30"/>
      <c r="R63" s="29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122">
        <v>58.0</v>
      </c>
      <c r="H64" s="153"/>
      <c r="I64" s="68"/>
      <c r="J64" s="69"/>
      <c r="K64" s="70"/>
      <c r="L64" s="314"/>
      <c r="M64" s="315"/>
      <c r="N64" s="90"/>
      <c r="O64" s="316"/>
      <c r="P64" s="74"/>
      <c r="Q64" s="30"/>
      <c r="R64" s="29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122">
        <v>59.0</v>
      </c>
      <c r="H65" s="153"/>
      <c r="I65" s="84"/>
      <c r="J65" s="17"/>
      <c r="K65" s="70"/>
      <c r="L65" s="314"/>
      <c r="M65" s="315"/>
      <c r="N65" s="90"/>
      <c r="O65" s="316"/>
      <c r="P65" s="74"/>
      <c r="Q65" s="30"/>
      <c r="R65" s="29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122">
        <v>60.0</v>
      </c>
      <c r="H66" s="153"/>
      <c r="I66" s="84"/>
      <c r="J66" s="17"/>
      <c r="K66" s="85"/>
      <c r="L66" s="133"/>
      <c r="M66" s="315"/>
      <c r="N66" s="90"/>
      <c r="O66" s="316"/>
      <c r="P66" s="74"/>
      <c r="Q66" s="30"/>
      <c r="R66" s="29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122">
        <v>61.0</v>
      </c>
      <c r="H67" s="153"/>
      <c r="I67" s="84"/>
      <c r="J67" s="17"/>
      <c r="K67" s="85"/>
      <c r="L67" s="133"/>
      <c r="M67" s="315"/>
      <c r="N67" s="90"/>
      <c r="O67" s="316"/>
      <c r="P67" s="74"/>
      <c r="Q67" s="30"/>
      <c r="R67" s="29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122">
        <v>62.0</v>
      </c>
      <c r="H68" s="153"/>
      <c r="I68" s="84"/>
      <c r="J68" s="17"/>
      <c r="K68" s="85"/>
      <c r="L68" s="133"/>
      <c r="M68" s="315"/>
      <c r="N68" s="90"/>
      <c r="O68" s="316"/>
      <c r="P68" s="74"/>
      <c r="Q68" s="30"/>
      <c r="R68" s="29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122">
        <v>63.0</v>
      </c>
      <c r="H69" s="153"/>
      <c r="I69" s="84"/>
      <c r="J69" s="17"/>
      <c r="K69" s="85"/>
      <c r="L69" s="133"/>
      <c r="M69" s="315"/>
      <c r="N69" s="90"/>
      <c r="O69" s="320"/>
      <c r="P69" s="239"/>
      <c r="Q69" s="30"/>
      <c r="R69" s="29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122">
        <v>64.0</v>
      </c>
      <c r="H70" s="153"/>
      <c r="I70" s="84"/>
      <c r="J70" s="17"/>
      <c r="K70" s="85"/>
      <c r="L70" s="133"/>
      <c r="M70" s="315"/>
      <c r="N70" s="90"/>
      <c r="O70" s="320"/>
      <c r="P70" s="239"/>
      <c r="Q70" s="30"/>
      <c r="R70" s="29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122">
        <v>65.0</v>
      </c>
      <c r="H71" s="153"/>
      <c r="I71" s="84"/>
      <c r="J71" s="17"/>
      <c r="K71" s="85"/>
      <c r="L71" s="133"/>
      <c r="M71" s="315"/>
      <c r="N71" s="90"/>
      <c r="O71" s="316"/>
      <c r="P71" s="74"/>
      <c r="Q71" s="30"/>
      <c r="R71" s="29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122">
        <v>66.0</v>
      </c>
      <c r="H72" s="153"/>
      <c r="I72" s="68"/>
      <c r="J72" s="69"/>
      <c r="K72" s="70"/>
      <c r="L72" s="314"/>
      <c r="M72" s="135"/>
      <c r="N72" s="19"/>
      <c r="O72" s="131"/>
      <c r="P72" s="128"/>
      <c r="Q72" s="30"/>
      <c r="R72" s="29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122">
        <v>67.0</v>
      </c>
      <c r="H73" s="153"/>
      <c r="I73" s="84"/>
      <c r="J73" s="17"/>
      <c r="K73" s="85"/>
      <c r="L73" s="133"/>
      <c r="M73" s="315"/>
      <c r="N73" s="90"/>
      <c r="O73" s="320"/>
      <c r="P73" s="239"/>
      <c r="Q73" s="30"/>
      <c r="R73" s="29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122">
        <v>68.0</v>
      </c>
      <c r="H74" s="153"/>
      <c r="I74" s="84"/>
      <c r="J74" s="17"/>
      <c r="K74" s="85"/>
      <c r="L74" s="133"/>
      <c r="M74" s="315"/>
      <c r="N74" s="90"/>
      <c r="O74" s="320"/>
      <c r="P74" s="239"/>
      <c r="Q74" s="30"/>
      <c r="R74" s="29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122">
        <v>69.0</v>
      </c>
      <c r="H75" s="153"/>
      <c r="I75" s="84"/>
      <c r="J75" s="17"/>
      <c r="K75" s="85"/>
      <c r="L75" s="133"/>
      <c r="M75" s="315"/>
      <c r="N75" s="90"/>
      <c r="O75" s="316"/>
      <c r="P75" s="74"/>
      <c r="Q75" s="30"/>
      <c r="R75" s="29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122">
        <v>70.0</v>
      </c>
      <c r="H76" s="153"/>
      <c r="I76" s="84"/>
      <c r="J76" s="17"/>
      <c r="K76" s="85"/>
      <c r="L76" s="133"/>
      <c r="M76" s="315"/>
      <c r="N76" s="90"/>
      <c r="O76" s="316"/>
      <c r="P76" s="74"/>
      <c r="Q76" s="30"/>
      <c r="R76" s="29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122">
        <v>71.0</v>
      </c>
      <c r="H77" s="153"/>
      <c r="I77" s="68"/>
      <c r="J77" s="69"/>
      <c r="K77" s="70"/>
      <c r="L77" s="314"/>
      <c r="M77" s="315"/>
      <c r="N77" s="90"/>
      <c r="O77" s="320"/>
      <c r="P77" s="239"/>
      <c r="Q77" s="30"/>
      <c r="R77" s="29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122">
        <v>72.0</v>
      </c>
      <c r="H78" s="153"/>
      <c r="I78" s="84"/>
      <c r="J78" s="17"/>
      <c r="K78" s="85"/>
      <c r="L78" s="133"/>
      <c r="M78" s="315"/>
      <c r="N78" s="90"/>
      <c r="O78" s="316"/>
      <c r="P78" s="74"/>
      <c r="Q78" s="30"/>
      <c r="R78" s="29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122">
        <v>73.0</v>
      </c>
      <c r="H79" s="153"/>
      <c r="I79" s="84"/>
      <c r="J79" s="17"/>
      <c r="K79" s="85"/>
      <c r="L79" s="133"/>
      <c r="M79" s="315"/>
      <c r="N79" s="90"/>
      <c r="O79" s="316"/>
      <c r="P79" s="74"/>
      <c r="Q79" s="30"/>
      <c r="R79" s="29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122">
        <v>74.0</v>
      </c>
      <c r="H80" s="153"/>
      <c r="I80" s="68"/>
      <c r="J80" s="69"/>
      <c r="K80" s="70"/>
      <c r="L80" s="314"/>
      <c r="M80" s="135"/>
      <c r="N80" s="19"/>
      <c r="O80" s="131"/>
      <c r="P80" s="128"/>
      <c r="Q80" s="30"/>
      <c r="R80" s="29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122">
        <v>75.0</v>
      </c>
      <c r="H81" s="153"/>
      <c r="I81" s="84"/>
      <c r="J81" s="17"/>
      <c r="K81" s="85"/>
      <c r="L81" s="133"/>
      <c r="M81" s="315"/>
      <c r="N81" s="90"/>
      <c r="O81" s="316"/>
      <c r="P81" s="74"/>
      <c r="Q81" s="30"/>
      <c r="R81" s="29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122">
        <v>76.0</v>
      </c>
      <c r="H82" s="153"/>
      <c r="I82" s="84"/>
      <c r="J82" s="17"/>
      <c r="K82" s="85"/>
      <c r="L82" s="133"/>
      <c r="M82" s="315"/>
      <c r="N82" s="90"/>
      <c r="O82" s="316"/>
      <c r="P82" s="74"/>
      <c r="Q82" s="30"/>
      <c r="R82" s="29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122">
        <v>77.0</v>
      </c>
      <c r="H83" s="153"/>
      <c r="I83" s="84"/>
      <c r="J83" s="17"/>
      <c r="K83" s="85"/>
      <c r="L83" s="133"/>
      <c r="M83" s="315"/>
      <c r="N83" s="90"/>
      <c r="O83" s="316"/>
      <c r="P83" s="74"/>
      <c r="Q83" s="30"/>
      <c r="R83" s="29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122">
        <v>78.0</v>
      </c>
      <c r="H84" s="153"/>
      <c r="I84" s="84"/>
      <c r="J84" s="17"/>
      <c r="K84" s="85"/>
      <c r="L84" s="133"/>
      <c r="M84" s="315"/>
      <c r="N84" s="90"/>
      <c r="O84" s="316"/>
      <c r="P84" s="74"/>
      <c r="Q84" s="30"/>
      <c r="R84" s="29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122">
        <v>79.0</v>
      </c>
      <c r="H85" s="153"/>
      <c r="I85" s="68"/>
      <c r="J85" s="69"/>
      <c r="K85" s="70"/>
      <c r="L85" s="314"/>
      <c r="M85" s="135"/>
      <c r="N85" s="19"/>
      <c r="O85" s="131"/>
      <c r="P85" s="128"/>
      <c r="Q85" s="30"/>
      <c r="R85" s="29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122">
        <v>80.0</v>
      </c>
      <c r="H86" s="153"/>
      <c r="I86" s="84"/>
      <c r="J86" s="17"/>
      <c r="K86" s="85"/>
      <c r="L86" s="133"/>
      <c r="M86" s="315"/>
      <c r="N86" s="90"/>
      <c r="O86" s="316"/>
      <c r="P86" s="74"/>
      <c r="Q86" s="30"/>
      <c r="R86" s="29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122">
        <v>81.0</v>
      </c>
      <c r="H87" s="153"/>
      <c r="I87" s="84"/>
      <c r="J87" s="17"/>
      <c r="K87" s="85"/>
      <c r="L87" s="133"/>
      <c r="M87" s="315"/>
      <c r="N87" s="90"/>
      <c r="O87" s="316"/>
      <c r="P87" s="74"/>
      <c r="Q87" s="30"/>
      <c r="R87" s="29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122">
        <v>82.0</v>
      </c>
      <c r="H88" s="153"/>
      <c r="I88" s="68"/>
      <c r="J88" s="69"/>
      <c r="K88" s="85"/>
      <c r="L88" s="133"/>
      <c r="M88" s="135"/>
      <c r="N88" s="19"/>
      <c r="O88" s="131"/>
      <c r="P88" s="128"/>
      <c r="Q88" s="30"/>
      <c r="R88" s="29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122">
        <v>83.0</v>
      </c>
      <c r="H89" s="153"/>
      <c r="I89" s="84"/>
      <c r="J89" s="17"/>
      <c r="K89" s="85"/>
      <c r="L89" s="133"/>
      <c r="M89" s="315"/>
      <c r="N89" s="90"/>
      <c r="O89" s="320"/>
      <c r="P89" s="239"/>
      <c r="Q89" s="30"/>
      <c r="R89" s="29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122">
        <v>84.0</v>
      </c>
      <c r="H90" s="153"/>
      <c r="I90" s="68"/>
      <c r="J90" s="69"/>
      <c r="K90" s="85"/>
      <c r="L90" s="133"/>
      <c r="M90" s="135"/>
      <c r="N90" s="19"/>
      <c r="O90" s="131"/>
      <c r="P90" s="128"/>
      <c r="Q90" s="30"/>
      <c r="R90" s="29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122">
        <v>85.0</v>
      </c>
      <c r="H91" s="153"/>
      <c r="I91" s="84"/>
      <c r="J91" s="17"/>
      <c r="K91" s="85"/>
      <c r="L91" s="133"/>
      <c r="M91" s="315"/>
      <c r="N91" s="90"/>
      <c r="O91" s="320"/>
      <c r="P91" s="239"/>
      <c r="Q91" s="30"/>
      <c r="R91" s="29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122">
        <v>86.0</v>
      </c>
      <c r="H92" s="130"/>
      <c r="I92" s="84"/>
      <c r="J92" s="17"/>
      <c r="K92" s="85"/>
      <c r="L92" s="133"/>
      <c r="M92" s="135"/>
      <c r="N92" s="19"/>
      <c r="O92" s="131"/>
      <c r="P92" s="128"/>
      <c r="Q92" s="30"/>
      <c r="R92" s="29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122">
        <v>87.0</v>
      </c>
      <c r="H93" s="130"/>
      <c r="I93" s="84"/>
      <c r="J93" s="17"/>
      <c r="K93" s="85"/>
      <c r="L93" s="133"/>
      <c r="M93" s="135"/>
      <c r="N93" s="19"/>
      <c r="O93" s="131"/>
      <c r="P93" s="128"/>
      <c r="Q93" s="30"/>
      <c r="R93" s="29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122">
        <v>88.0</v>
      </c>
      <c r="H94" s="130"/>
      <c r="I94" s="84"/>
      <c r="J94" s="17"/>
      <c r="K94" s="85"/>
      <c r="L94" s="133"/>
      <c r="M94" s="135"/>
      <c r="N94" s="19"/>
      <c r="O94" s="131"/>
      <c r="P94" s="128"/>
      <c r="Q94" s="30"/>
      <c r="R94" s="29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122">
        <v>89.0</v>
      </c>
      <c r="H95" s="130"/>
      <c r="I95" s="84"/>
      <c r="J95" s="17"/>
      <c r="K95" s="85"/>
      <c r="L95" s="133"/>
      <c r="M95" s="135"/>
      <c r="N95" s="19"/>
      <c r="O95" s="131"/>
      <c r="P95" s="128"/>
      <c r="Q95" s="30"/>
      <c r="R95" s="29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122">
        <v>90.0</v>
      </c>
      <c r="H96" s="130"/>
      <c r="I96" s="84"/>
      <c r="J96" s="17"/>
      <c r="K96" s="85"/>
      <c r="L96" s="133"/>
      <c r="M96" s="135"/>
      <c r="N96" s="19"/>
      <c r="O96" s="131"/>
      <c r="P96" s="128"/>
      <c r="Q96" s="30"/>
      <c r="R96" s="29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122">
        <v>91.0</v>
      </c>
      <c r="H97" s="130"/>
      <c r="I97" s="84"/>
      <c r="J97" s="17"/>
      <c r="K97" s="85"/>
      <c r="L97" s="133"/>
      <c r="M97" s="135"/>
      <c r="N97" s="19"/>
      <c r="O97" s="131"/>
      <c r="P97" s="128"/>
      <c r="Q97" s="30"/>
      <c r="R97" s="29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122">
        <v>92.0</v>
      </c>
      <c r="H98" s="130"/>
      <c r="I98" s="84"/>
      <c r="J98" s="17"/>
      <c r="K98" s="85"/>
      <c r="L98" s="133"/>
      <c r="M98" s="135"/>
      <c r="N98" s="19"/>
      <c r="O98" s="131"/>
      <c r="P98" s="128"/>
      <c r="Q98" s="30"/>
      <c r="R98" s="29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122">
        <v>93.0</v>
      </c>
      <c r="H99" s="130"/>
      <c r="I99" s="84"/>
      <c r="J99" s="17"/>
      <c r="K99" s="85"/>
      <c r="L99" s="133"/>
      <c r="M99" s="135"/>
      <c r="N99" s="19"/>
      <c r="O99" s="131"/>
      <c r="P99" s="128"/>
      <c r="Q99" s="30"/>
      <c r="R99" s="29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122">
        <v>94.0</v>
      </c>
      <c r="H100" s="130"/>
      <c r="I100" s="84"/>
      <c r="J100" s="17"/>
      <c r="K100" s="85"/>
      <c r="L100" s="133"/>
      <c r="M100" s="135"/>
      <c r="N100" s="19"/>
      <c r="O100" s="131"/>
      <c r="P100" s="128"/>
      <c r="Q100" s="30"/>
      <c r="R100" s="29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122">
        <v>95.0</v>
      </c>
      <c r="H101" s="130"/>
      <c r="I101" s="84"/>
      <c r="J101" s="17"/>
      <c r="K101" s="85"/>
      <c r="L101" s="133"/>
      <c r="M101" s="135"/>
      <c r="N101" s="19"/>
      <c r="O101" s="131"/>
      <c r="P101" s="128"/>
      <c r="Q101" s="30"/>
      <c r="R101" s="29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122">
        <v>96.0</v>
      </c>
      <c r="H102" s="130"/>
      <c r="I102" s="84"/>
      <c r="J102" s="17"/>
      <c r="K102" s="85"/>
      <c r="L102" s="133"/>
      <c r="M102" s="135"/>
      <c r="N102" s="19"/>
      <c r="O102" s="131"/>
      <c r="P102" s="128"/>
      <c r="Q102" s="30"/>
      <c r="R102" s="29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122">
        <v>97.0</v>
      </c>
      <c r="H103" s="130"/>
      <c r="I103" s="84"/>
      <c r="J103" s="17"/>
      <c r="K103" s="85"/>
      <c r="L103" s="133"/>
      <c r="M103" s="135"/>
      <c r="N103" s="19"/>
      <c r="O103" s="131"/>
      <c r="P103" s="128"/>
      <c r="Q103" s="30"/>
      <c r="R103" s="29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122">
        <v>98.0</v>
      </c>
      <c r="H104" s="130"/>
      <c r="I104" s="84"/>
      <c r="J104" s="17"/>
      <c r="K104" s="85"/>
      <c r="L104" s="133"/>
      <c r="M104" s="135"/>
      <c r="N104" s="19"/>
      <c r="O104" s="131"/>
      <c r="P104" s="128"/>
      <c r="Q104" s="30"/>
      <c r="R104" s="29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122">
        <v>99.0</v>
      </c>
      <c r="H105" s="130"/>
      <c r="I105" s="84"/>
      <c r="J105" s="17"/>
      <c r="K105" s="85"/>
      <c r="L105" s="133"/>
      <c r="M105" s="135"/>
      <c r="N105" s="19"/>
      <c r="O105" s="131"/>
      <c r="P105" s="128"/>
      <c r="Q105" s="30"/>
      <c r="R105" s="29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122">
        <v>100.0</v>
      </c>
      <c r="H106" s="130"/>
      <c r="I106" s="84"/>
      <c r="J106" s="17"/>
      <c r="K106" s="85"/>
      <c r="L106" s="133"/>
      <c r="M106" s="135"/>
      <c r="N106" s="19"/>
      <c r="O106" s="131"/>
      <c r="P106" s="128"/>
      <c r="Q106" s="30"/>
      <c r="R106" s="29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66"/>
      <c r="H107" s="130"/>
      <c r="I107" s="84"/>
      <c r="J107" s="17"/>
      <c r="K107" s="85"/>
      <c r="L107" s="133"/>
      <c r="M107" s="135"/>
      <c r="N107" s="19"/>
      <c r="O107" s="131"/>
      <c r="P107" s="128"/>
      <c r="Q107" s="30"/>
      <c r="R107" s="29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66"/>
      <c r="H108" s="130"/>
      <c r="I108" s="84"/>
      <c r="J108" s="17"/>
      <c r="K108" s="85"/>
      <c r="L108" s="133"/>
      <c r="M108" s="135"/>
      <c r="N108" s="19"/>
      <c r="O108" s="131"/>
      <c r="P108" s="128"/>
      <c r="Q108" s="30"/>
      <c r="R108" s="29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66"/>
      <c r="H109" s="130"/>
      <c r="I109" s="84"/>
      <c r="J109" s="17"/>
      <c r="K109" s="85"/>
      <c r="L109" s="133"/>
      <c r="M109" s="135"/>
      <c r="N109" s="19"/>
      <c r="O109" s="131"/>
      <c r="P109" s="128"/>
      <c r="Q109" s="30"/>
      <c r="R109" s="29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66"/>
      <c r="H110" s="130"/>
      <c r="I110" s="84"/>
      <c r="J110" s="17"/>
      <c r="K110" s="85"/>
      <c r="L110" s="133"/>
      <c r="M110" s="135"/>
      <c r="N110" s="19"/>
      <c r="O110" s="131"/>
      <c r="P110" s="128"/>
      <c r="Q110" s="30"/>
      <c r="R110" s="29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66"/>
      <c r="H111" s="130"/>
      <c r="I111" s="84"/>
      <c r="J111" s="17"/>
      <c r="K111" s="85"/>
      <c r="L111" s="133"/>
      <c r="M111" s="135"/>
      <c r="N111" s="19"/>
      <c r="O111" s="131"/>
      <c r="P111" s="128"/>
      <c r="Q111" s="30"/>
      <c r="R111" s="29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66"/>
      <c r="H112" s="130"/>
      <c r="I112" s="84"/>
      <c r="J112" s="17"/>
      <c r="K112" s="85"/>
      <c r="L112" s="133"/>
      <c r="M112" s="135"/>
      <c r="N112" s="19"/>
      <c r="O112" s="131"/>
      <c r="P112" s="128"/>
      <c r="Q112" s="30"/>
      <c r="R112" s="29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66"/>
      <c r="H113" s="130"/>
      <c r="I113" s="84"/>
      <c r="J113" s="17"/>
      <c r="K113" s="85"/>
      <c r="L113" s="133"/>
      <c r="M113" s="135"/>
      <c r="N113" s="19"/>
      <c r="O113" s="131"/>
      <c r="P113" s="128"/>
      <c r="Q113" s="30"/>
      <c r="R113" s="29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66"/>
      <c r="H114" s="130"/>
      <c r="I114" s="84"/>
      <c r="J114" s="17"/>
      <c r="K114" s="85"/>
      <c r="L114" s="133"/>
      <c r="M114" s="135"/>
      <c r="N114" s="19"/>
      <c r="O114" s="131"/>
      <c r="P114" s="128"/>
      <c r="Q114" s="30"/>
      <c r="R114" s="29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66"/>
      <c r="H115" s="130"/>
      <c r="I115" s="84"/>
      <c r="J115" s="17"/>
      <c r="K115" s="85"/>
      <c r="L115" s="133"/>
      <c r="M115" s="135"/>
      <c r="N115" s="19"/>
      <c r="O115" s="131"/>
      <c r="P115" s="128"/>
      <c r="Q115" s="30"/>
      <c r="R115" s="29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66"/>
      <c r="H116" s="130"/>
      <c r="I116" s="84"/>
      <c r="J116" s="17"/>
      <c r="K116" s="85"/>
      <c r="L116" s="133"/>
      <c r="M116" s="135"/>
      <c r="N116" s="19"/>
      <c r="O116" s="131"/>
      <c r="P116" s="128"/>
      <c r="Q116" s="30"/>
      <c r="R116" s="29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66"/>
      <c r="H117" s="130"/>
      <c r="I117" s="84"/>
      <c r="J117" s="17"/>
      <c r="K117" s="85"/>
      <c r="L117" s="133"/>
      <c r="M117" s="135"/>
      <c r="N117" s="19"/>
      <c r="O117" s="131"/>
      <c r="P117" s="128"/>
      <c r="Q117" s="30"/>
      <c r="R117" s="29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66"/>
      <c r="H118" s="130"/>
      <c r="I118" s="84"/>
      <c r="J118" s="17"/>
      <c r="K118" s="85"/>
      <c r="L118" s="133"/>
      <c r="M118" s="135"/>
      <c r="N118" s="19"/>
      <c r="O118" s="131"/>
      <c r="P118" s="128"/>
      <c r="Q118" s="30"/>
      <c r="R118" s="29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66"/>
      <c r="H119" s="130"/>
      <c r="I119" s="84"/>
      <c r="J119" s="17"/>
      <c r="K119" s="85"/>
      <c r="L119" s="133"/>
      <c r="M119" s="135"/>
      <c r="N119" s="19"/>
      <c r="O119" s="131"/>
      <c r="P119" s="128"/>
      <c r="Q119" s="30"/>
      <c r="R119" s="29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66"/>
      <c r="H120" s="130"/>
      <c r="I120" s="84"/>
      <c r="J120" s="17"/>
      <c r="K120" s="85"/>
      <c r="L120" s="133"/>
      <c r="M120" s="135"/>
      <c r="N120" s="19"/>
      <c r="O120" s="131"/>
      <c r="P120" s="128"/>
      <c r="Q120" s="30"/>
      <c r="R120" s="29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66"/>
      <c r="H121" s="130"/>
      <c r="I121" s="84"/>
      <c r="J121" s="17"/>
      <c r="K121" s="85"/>
      <c r="L121" s="133"/>
      <c r="M121" s="135"/>
      <c r="N121" s="19"/>
      <c r="O121" s="131"/>
      <c r="P121" s="128"/>
      <c r="Q121" s="30"/>
      <c r="R121" s="29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66"/>
      <c r="H122" s="130"/>
      <c r="I122" s="84"/>
      <c r="J122" s="17"/>
      <c r="K122" s="85"/>
      <c r="L122" s="133"/>
      <c r="M122" s="135"/>
      <c r="N122" s="19"/>
      <c r="O122" s="131"/>
      <c r="P122" s="128"/>
      <c r="Q122" s="30"/>
      <c r="R122" s="29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66"/>
      <c r="H123" s="130"/>
      <c r="I123" s="84"/>
      <c r="J123" s="17"/>
      <c r="K123" s="85"/>
      <c r="L123" s="133"/>
      <c r="M123" s="135"/>
      <c r="N123" s="19"/>
      <c r="O123" s="131"/>
      <c r="P123" s="128"/>
      <c r="Q123" s="30"/>
      <c r="R123" s="29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66"/>
      <c r="H124" s="130"/>
      <c r="I124" s="84"/>
      <c r="J124" s="17"/>
      <c r="K124" s="85"/>
      <c r="L124" s="133"/>
      <c r="M124" s="135"/>
      <c r="N124" s="19"/>
      <c r="O124" s="131"/>
      <c r="P124" s="128"/>
      <c r="Q124" s="30"/>
      <c r="R124" s="29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66"/>
      <c r="H125" s="130"/>
      <c r="I125" s="84"/>
      <c r="J125" s="17"/>
      <c r="K125" s="85"/>
      <c r="L125" s="133"/>
      <c r="M125" s="135"/>
      <c r="N125" s="19"/>
      <c r="O125" s="131"/>
      <c r="P125" s="128"/>
      <c r="Q125" s="30"/>
      <c r="R125" s="29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66"/>
      <c r="H126" s="130"/>
      <c r="I126" s="84"/>
      <c r="J126" s="17"/>
      <c r="K126" s="85"/>
      <c r="L126" s="133"/>
      <c r="M126" s="135"/>
      <c r="N126" s="19"/>
      <c r="O126" s="131"/>
      <c r="P126" s="128"/>
      <c r="Q126" s="30"/>
      <c r="R126" s="29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66"/>
      <c r="H127" s="130"/>
      <c r="I127" s="84"/>
      <c r="J127" s="17"/>
      <c r="K127" s="85"/>
      <c r="L127" s="133"/>
      <c r="M127" s="135"/>
      <c r="N127" s="19"/>
      <c r="O127" s="131"/>
      <c r="P127" s="128"/>
      <c r="Q127" s="30"/>
      <c r="R127" s="29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66"/>
      <c r="H128" s="130"/>
      <c r="I128" s="84"/>
      <c r="J128" s="17"/>
      <c r="K128" s="85"/>
      <c r="L128" s="133"/>
      <c r="M128" s="135"/>
      <c r="N128" s="19"/>
      <c r="O128" s="131"/>
      <c r="P128" s="128"/>
      <c r="Q128" s="30"/>
      <c r="R128" s="29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66"/>
      <c r="H129" s="130"/>
      <c r="I129" s="84"/>
      <c r="J129" s="17"/>
      <c r="K129" s="85"/>
      <c r="L129" s="133"/>
      <c r="M129" s="135"/>
      <c r="N129" s="19"/>
      <c r="O129" s="131"/>
      <c r="P129" s="128"/>
      <c r="Q129" s="30"/>
      <c r="R129" s="29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66"/>
      <c r="H130" s="130"/>
      <c r="I130" s="84"/>
      <c r="J130" s="17"/>
      <c r="K130" s="85"/>
      <c r="L130" s="133"/>
      <c r="M130" s="135"/>
      <c r="N130" s="19"/>
      <c r="O130" s="131"/>
      <c r="P130" s="128"/>
      <c r="Q130" s="30"/>
      <c r="R130" s="29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66"/>
      <c r="H131" s="130"/>
      <c r="I131" s="84"/>
      <c r="J131" s="17"/>
      <c r="K131" s="85"/>
      <c r="L131" s="133"/>
      <c r="M131" s="135"/>
      <c r="N131" s="19"/>
      <c r="O131" s="131"/>
      <c r="P131" s="128"/>
      <c r="Q131" s="30"/>
      <c r="R131" s="29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66"/>
      <c r="H132" s="130"/>
      <c r="I132" s="84"/>
      <c r="J132" s="17"/>
      <c r="K132" s="85"/>
      <c r="L132" s="133"/>
      <c r="M132" s="135"/>
      <c r="N132" s="19"/>
      <c r="O132" s="131"/>
      <c r="P132" s="128"/>
      <c r="Q132" s="30"/>
      <c r="R132" s="29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66"/>
      <c r="H133" s="130"/>
      <c r="I133" s="84"/>
      <c r="J133" s="17"/>
      <c r="K133" s="85"/>
      <c r="L133" s="133"/>
      <c r="M133" s="135"/>
      <c r="N133" s="19"/>
      <c r="O133" s="131"/>
      <c r="P133" s="128"/>
      <c r="Q133" s="30"/>
      <c r="R133" s="29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66"/>
      <c r="H134" s="130"/>
      <c r="I134" s="84"/>
      <c r="J134" s="17"/>
      <c r="K134" s="85"/>
      <c r="L134" s="133"/>
      <c r="M134" s="135"/>
      <c r="N134" s="19"/>
      <c r="O134" s="131"/>
      <c r="P134" s="128"/>
      <c r="Q134" s="30"/>
      <c r="R134" s="29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66"/>
      <c r="H135" s="130"/>
      <c r="I135" s="84"/>
      <c r="J135" s="17"/>
      <c r="K135" s="85"/>
      <c r="L135" s="133"/>
      <c r="M135" s="135"/>
      <c r="N135" s="19"/>
      <c r="O135" s="131"/>
      <c r="P135" s="128"/>
      <c r="Q135" s="30"/>
      <c r="R135" s="29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66"/>
      <c r="H136" s="130"/>
      <c r="I136" s="84"/>
      <c r="J136" s="17"/>
      <c r="K136" s="85"/>
      <c r="L136" s="133"/>
      <c r="M136" s="135"/>
      <c r="N136" s="19"/>
      <c r="O136" s="131"/>
      <c r="P136" s="128"/>
      <c r="Q136" s="30"/>
      <c r="R136" s="29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66"/>
      <c r="H137" s="130"/>
      <c r="I137" s="84"/>
      <c r="J137" s="17"/>
      <c r="K137" s="85"/>
      <c r="L137" s="133"/>
      <c r="M137" s="135"/>
      <c r="N137" s="19"/>
      <c r="O137" s="131"/>
      <c r="P137" s="128"/>
      <c r="Q137" s="30"/>
      <c r="R137" s="29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66"/>
      <c r="H138" s="130"/>
      <c r="I138" s="84"/>
      <c r="J138" s="17"/>
      <c r="K138" s="85"/>
      <c r="L138" s="133"/>
      <c r="M138" s="135"/>
      <c r="N138" s="19"/>
      <c r="O138" s="131"/>
      <c r="P138" s="128"/>
      <c r="Q138" s="30"/>
      <c r="R138" s="29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66"/>
      <c r="H139" s="130"/>
      <c r="I139" s="84"/>
      <c r="J139" s="17"/>
      <c r="K139" s="85"/>
      <c r="L139" s="133"/>
      <c r="M139" s="135"/>
      <c r="N139" s="19"/>
      <c r="O139" s="131"/>
      <c r="P139" s="128"/>
      <c r="Q139" s="30"/>
      <c r="R139" s="29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66"/>
      <c r="H140" s="130"/>
      <c r="I140" s="84"/>
      <c r="J140" s="17"/>
      <c r="K140" s="85"/>
      <c r="L140" s="133"/>
      <c r="M140" s="135"/>
      <c r="N140" s="19"/>
      <c r="O140" s="131"/>
      <c r="P140" s="128"/>
      <c r="Q140" s="30"/>
      <c r="R140" s="29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66"/>
      <c r="H141" s="130"/>
      <c r="I141" s="84"/>
      <c r="J141" s="17"/>
      <c r="K141" s="85"/>
      <c r="L141" s="133"/>
      <c r="M141" s="135"/>
      <c r="N141" s="19"/>
      <c r="O141" s="131"/>
      <c r="P141" s="128"/>
      <c r="Q141" s="30"/>
      <c r="R141" s="29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66"/>
      <c r="H142" s="130"/>
      <c r="I142" s="84"/>
      <c r="J142" s="17"/>
      <c r="K142" s="85"/>
      <c r="L142" s="133"/>
      <c r="M142" s="135"/>
      <c r="N142" s="19"/>
      <c r="O142" s="131"/>
      <c r="P142" s="128"/>
      <c r="Q142" s="30"/>
      <c r="R142" s="29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66"/>
      <c r="H143" s="130"/>
      <c r="I143" s="84"/>
      <c r="J143" s="17"/>
      <c r="K143" s="85"/>
      <c r="L143" s="133"/>
      <c r="M143" s="135"/>
      <c r="N143" s="19"/>
      <c r="O143" s="131"/>
      <c r="P143" s="128"/>
      <c r="Q143" s="30"/>
      <c r="R143" s="29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66"/>
      <c r="H144" s="130"/>
      <c r="I144" s="84"/>
      <c r="J144" s="17"/>
      <c r="K144" s="85"/>
      <c r="L144" s="133"/>
      <c r="M144" s="135"/>
      <c r="N144" s="19"/>
      <c r="O144" s="131"/>
      <c r="P144" s="128"/>
      <c r="Q144" s="30"/>
      <c r="R144" s="29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66"/>
      <c r="H145" s="130"/>
      <c r="I145" s="84"/>
      <c r="J145" s="17"/>
      <c r="K145" s="85"/>
      <c r="L145" s="133"/>
      <c r="M145" s="135"/>
      <c r="N145" s="19"/>
      <c r="O145" s="131"/>
      <c r="P145" s="128"/>
      <c r="Q145" s="30"/>
      <c r="R145" s="29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66"/>
      <c r="H146" s="130"/>
      <c r="I146" s="84"/>
      <c r="J146" s="17"/>
      <c r="K146" s="85"/>
      <c r="L146" s="133"/>
      <c r="M146" s="135"/>
      <c r="N146" s="19"/>
      <c r="O146" s="131"/>
      <c r="P146" s="128"/>
      <c r="Q146" s="30"/>
      <c r="R146" s="29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66"/>
      <c r="H147" s="130"/>
      <c r="I147" s="84"/>
      <c r="J147" s="17"/>
      <c r="K147" s="85"/>
      <c r="L147" s="133"/>
      <c r="M147" s="135"/>
      <c r="N147" s="19"/>
      <c r="O147" s="131"/>
      <c r="P147" s="128"/>
      <c r="Q147" s="30"/>
      <c r="R147" s="29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66"/>
      <c r="H148" s="130"/>
      <c r="I148" s="84"/>
      <c r="J148" s="17"/>
      <c r="K148" s="85"/>
      <c r="L148" s="133"/>
      <c r="M148" s="135"/>
      <c r="N148" s="19"/>
      <c r="O148" s="131"/>
      <c r="P148" s="128"/>
      <c r="Q148" s="30"/>
      <c r="R148" s="29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66"/>
      <c r="H149" s="130"/>
      <c r="I149" s="84"/>
      <c r="J149" s="17"/>
      <c r="K149" s="85"/>
      <c r="L149" s="133"/>
      <c r="M149" s="135"/>
      <c r="N149" s="19"/>
      <c r="O149" s="131"/>
      <c r="P149" s="128"/>
      <c r="Q149" s="30"/>
      <c r="R149" s="29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66"/>
      <c r="H150" s="130"/>
      <c r="I150" s="84"/>
      <c r="J150" s="17"/>
      <c r="K150" s="85"/>
      <c r="L150" s="133"/>
      <c r="M150" s="135"/>
      <c r="N150" s="19"/>
      <c r="O150" s="131"/>
      <c r="P150" s="128"/>
      <c r="Q150" s="30"/>
      <c r="R150" s="29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66"/>
      <c r="H151" s="130"/>
      <c r="I151" s="84"/>
      <c r="J151" s="17"/>
      <c r="K151" s="85"/>
      <c r="L151" s="133"/>
      <c r="M151" s="135"/>
      <c r="N151" s="19"/>
      <c r="O151" s="131"/>
      <c r="P151" s="128"/>
      <c r="Q151" s="30"/>
      <c r="R151" s="29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66"/>
      <c r="H152" s="130"/>
      <c r="I152" s="84"/>
      <c r="J152" s="17"/>
      <c r="K152" s="85"/>
      <c r="L152" s="133"/>
      <c r="M152" s="135"/>
      <c r="N152" s="19"/>
      <c r="O152" s="131"/>
      <c r="P152" s="128"/>
      <c r="Q152" s="30"/>
      <c r="R152" s="29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66"/>
      <c r="H153" s="130"/>
      <c r="I153" s="84"/>
      <c r="J153" s="17"/>
      <c r="K153" s="85"/>
      <c r="L153" s="133"/>
      <c r="M153" s="135"/>
      <c r="N153" s="19"/>
      <c r="O153" s="131"/>
      <c r="P153" s="128"/>
      <c r="Q153" s="30"/>
      <c r="R153" s="29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66"/>
      <c r="H154" s="130"/>
      <c r="I154" s="84"/>
      <c r="J154" s="17"/>
      <c r="K154" s="85"/>
      <c r="L154" s="133"/>
      <c r="M154" s="135"/>
      <c r="N154" s="19"/>
      <c r="O154" s="131"/>
      <c r="P154" s="128"/>
      <c r="Q154" s="30"/>
      <c r="R154" s="29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66"/>
      <c r="H155" s="130"/>
      <c r="I155" s="84"/>
      <c r="J155" s="17"/>
      <c r="K155" s="85"/>
      <c r="L155" s="133"/>
      <c r="M155" s="135"/>
      <c r="N155" s="19"/>
      <c r="O155" s="131"/>
      <c r="P155" s="128"/>
      <c r="Q155" s="30"/>
      <c r="R155" s="29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66"/>
      <c r="H156" s="130"/>
      <c r="I156" s="84"/>
      <c r="J156" s="17"/>
      <c r="K156" s="85"/>
      <c r="L156" s="133"/>
      <c r="M156" s="135"/>
      <c r="N156" s="19"/>
      <c r="O156" s="131"/>
      <c r="P156" s="128"/>
      <c r="Q156" s="30"/>
      <c r="R156" s="29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66"/>
      <c r="H157" s="130"/>
      <c r="I157" s="84"/>
      <c r="J157" s="17"/>
      <c r="K157" s="85"/>
      <c r="L157" s="133"/>
      <c r="M157" s="135"/>
      <c r="N157" s="19"/>
      <c r="O157" s="131"/>
      <c r="P157" s="128"/>
      <c r="Q157" s="30"/>
      <c r="R157" s="29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66"/>
      <c r="H158" s="130"/>
      <c r="I158" s="84"/>
      <c r="J158" s="17"/>
      <c r="K158" s="85"/>
      <c r="L158" s="133"/>
      <c r="M158" s="135"/>
      <c r="N158" s="19"/>
      <c r="O158" s="131"/>
      <c r="P158" s="128"/>
      <c r="Q158" s="30"/>
      <c r="R158" s="29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66"/>
      <c r="H159" s="130"/>
      <c r="I159" s="84"/>
      <c r="J159" s="17"/>
      <c r="K159" s="85"/>
      <c r="L159" s="133"/>
      <c r="M159" s="135"/>
      <c r="N159" s="19"/>
      <c r="O159" s="131"/>
      <c r="P159" s="128"/>
      <c r="Q159" s="30"/>
      <c r="R159" s="29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66"/>
      <c r="H160" s="130"/>
      <c r="I160" s="84"/>
      <c r="J160" s="17"/>
      <c r="K160" s="85"/>
      <c r="L160" s="133"/>
      <c r="M160" s="135"/>
      <c r="N160" s="19"/>
      <c r="O160" s="131"/>
      <c r="P160" s="128"/>
      <c r="Q160" s="30"/>
      <c r="R160" s="29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66"/>
      <c r="H161" s="130"/>
      <c r="I161" s="84"/>
      <c r="J161" s="17"/>
      <c r="K161" s="85"/>
      <c r="L161" s="133"/>
      <c r="M161" s="135"/>
      <c r="N161" s="19"/>
      <c r="O161" s="131"/>
      <c r="P161" s="128"/>
      <c r="Q161" s="30"/>
      <c r="R161" s="29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66"/>
      <c r="H162" s="130"/>
      <c r="I162" s="84"/>
      <c r="J162" s="17"/>
      <c r="K162" s="85"/>
      <c r="L162" s="133"/>
      <c r="M162" s="135"/>
      <c r="N162" s="19"/>
      <c r="O162" s="131"/>
      <c r="P162" s="128"/>
      <c r="Q162" s="30"/>
      <c r="R162" s="29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66"/>
      <c r="H163" s="130"/>
      <c r="I163" s="84"/>
      <c r="J163" s="17"/>
      <c r="K163" s="85"/>
      <c r="L163" s="133"/>
      <c r="M163" s="135"/>
      <c r="N163" s="19"/>
      <c r="O163" s="131"/>
      <c r="P163" s="128"/>
      <c r="Q163" s="30"/>
      <c r="R163" s="29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66"/>
      <c r="H164" s="130"/>
      <c r="I164" s="84"/>
      <c r="J164" s="17"/>
      <c r="K164" s="85"/>
      <c r="L164" s="133"/>
      <c r="M164" s="135"/>
      <c r="N164" s="19"/>
      <c r="O164" s="131"/>
      <c r="P164" s="128"/>
      <c r="Q164" s="30"/>
      <c r="R164" s="29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66"/>
      <c r="H165" s="130"/>
      <c r="I165" s="84"/>
      <c r="J165" s="17"/>
      <c r="K165" s="85"/>
      <c r="L165" s="133"/>
      <c r="M165" s="135"/>
      <c r="N165" s="19"/>
      <c r="O165" s="131"/>
      <c r="P165" s="128"/>
      <c r="Q165" s="30"/>
      <c r="R165" s="29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66"/>
      <c r="H166" s="130"/>
      <c r="I166" s="84"/>
      <c r="J166" s="17"/>
      <c r="K166" s="85"/>
      <c r="L166" s="133"/>
      <c r="M166" s="135"/>
      <c r="N166" s="19"/>
      <c r="O166" s="131"/>
      <c r="P166" s="128"/>
      <c r="Q166" s="30"/>
      <c r="R166" s="29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66"/>
      <c r="H167" s="130"/>
      <c r="I167" s="84"/>
      <c r="J167" s="17"/>
      <c r="K167" s="85"/>
      <c r="L167" s="133"/>
      <c r="M167" s="135"/>
      <c r="N167" s="19"/>
      <c r="O167" s="131"/>
      <c r="P167" s="128"/>
      <c r="Q167" s="30"/>
      <c r="R167" s="29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66"/>
      <c r="H168" s="130"/>
      <c r="I168" s="84"/>
      <c r="J168" s="17"/>
      <c r="K168" s="85"/>
      <c r="L168" s="133"/>
      <c r="M168" s="135"/>
      <c r="N168" s="19"/>
      <c r="O168" s="131"/>
      <c r="P168" s="128"/>
      <c r="Q168" s="30"/>
      <c r="R168" s="29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66"/>
      <c r="H169" s="130"/>
      <c r="I169" s="84"/>
      <c r="J169" s="17"/>
      <c r="K169" s="85"/>
      <c r="L169" s="133"/>
      <c r="M169" s="135"/>
      <c r="N169" s="19"/>
      <c r="O169" s="131"/>
      <c r="P169" s="128"/>
      <c r="Q169" s="30"/>
      <c r="R169" s="29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66"/>
      <c r="H170" s="130"/>
      <c r="I170" s="84"/>
      <c r="J170" s="17"/>
      <c r="K170" s="85"/>
      <c r="L170" s="133"/>
      <c r="M170" s="135"/>
      <c r="N170" s="19"/>
      <c r="O170" s="131"/>
      <c r="P170" s="128"/>
      <c r="Q170" s="30"/>
      <c r="R170" s="29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66"/>
      <c r="H171" s="130"/>
      <c r="I171" s="84"/>
      <c r="J171" s="17"/>
      <c r="K171" s="85"/>
      <c r="L171" s="133"/>
      <c r="M171" s="135"/>
      <c r="N171" s="19"/>
      <c r="O171" s="131"/>
      <c r="P171" s="128"/>
      <c r="Q171" s="30"/>
      <c r="R171" s="29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66"/>
      <c r="H172" s="130"/>
      <c r="I172" s="84"/>
      <c r="J172" s="17"/>
      <c r="K172" s="85"/>
      <c r="L172" s="133"/>
      <c r="M172" s="135"/>
      <c r="N172" s="19"/>
      <c r="O172" s="131"/>
      <c r="P172" s="128"/>
      <c r="Q172" s="30"/>
      <c r="R172" s="29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66"/>
      <c r="H173" s="130"/>
      <c r="I173" s="84"/>
      <c r="J173" s="17"/>
      <c r="K173" s="85"/>
      <c r="L173" s="133"/>
      <c r="M173" s="135"/>
      <c r="N173" s="19"/>
      <c r="O173" s="131"/>
      <c r="P173" s="128"/>
      <c r="Q173" s="30"/>
      <c r="R173" s="29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66"/>
      <c r="H174" s="130"/>
      <c r="I174" s="84"/>
      <c r="J174" s="17"/>
      <c r="K174" s="85"/>
      <c r="L174" s="133"/>
      <c r="M174" s="135"/>
      <c r="N174" s="19"/>
      <c r="O174" s="131"/>
      <c r="P174" s="128"/>
      <c r="Q174" s="30"/>
      <c r="R174" s="29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66"/>
      <c r="H175" s="130"/>
      <c r="I175" s="84"/>
      <c r="J175" s="17"/>
      <c r="K175" s="85"/>
      <c r="L175" s="133"/>
      <c r="M175" s="135"/>
      <c r="N175" s="19"/>
      <c r="O175" s="131"/>
      <c r="P175" s="128"/>
      <c r="Q175" s="30"/>
      <c r="R175" s="29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66"/>
      <c r="H176" s="130"/>
      <c r="I176" s="84"/>
      <c r="J176" s="17"/>
      <c r="K176" s="85"/>
      <c r="L176" s="133"/>
      <c r="M176" s="135"/>
      <c r="N176" s="19"/>
      <c r="O176" s="131"/>
      <c r="P176" s="128"/>
      <c r="Q176" s="30"/>
      <c r="R176" s="29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66"/>
      <c r="H177" s="130"/>
      <c r="I177" s="84"/>
      <c r="J177" s="17"/>
      <c r="K177" s="85"/>
      <c r="L177" s="133"/>
      <c r="M177" s="135"/>
      <c r="N177" s="19"/>
      <c r="O177" s="131"/>
      <c r="P177" s="128"/>
      <c r="Q177" s="30"/>
      <c r="R177" s="29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66"/>
      <c r="H178" s="130"/>
      <c r="I178" s="84"/>
      <c r="J178" s="17"/>
      <c r="K178" s="85"/>
      <c r="L178" s="133"/>
      <c r="M178" s="135"/>
      <c r="N178" s="19"/>
      <c r="O178" s="131"/>
      <c r="P178" s="128"/>
      <c r="Q178" s="30"/>
      <c r="R178" s="29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66"/>
      <c r="H179" s="130"/>
      <c r="I179" s="84"/>
      <c r="J179" s="17"/>
      <c r="K179" s="85"/>
      <c r="L179" s="133"/>
      <c r="M179" s="135"/>
      <c r="N179" s="19"/>
      <c r="O179" s="131"/>
      <c r="P179" s="128"/>
      <c r="Q179" s="30"/>
      <c r="R179" s="29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66"/>
      <c r="H180" s="130"/>
      <c r="I180" s="84"/>
      <c r="J180" s="17"/>
      <c r="K180" s="85"/>
      <c r="L180" s="133"/>
      <c r="M180" s="135"/>
      <c r="N180" s="19"/>
      <c r="O180" s="131"/>
      <c r="P180" s="128"/>
      <c r="Q180" s="30"/>
      <c r="R180" s="29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66"/>
      <c r="H181" s="130"/>
      <c r="I181" s="84"/>
      <c r="J181" s="17"/>
      <c r="K181" s="85"/>
      <c r="L181" s="133"/>
      <c r="M181" s="135"/>
      <c r="N181" s="19"/>
      <c r="O181" s="131"/>
      <c r="P181" s="128"/>
      <c r="Q181" s="30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66"/>
      <c r="H182" s="130"/>
      <c r="I182" s="84"/>
      <c r="J182" s="17"/>
      <c r="K182" s="85"/>
      <c r="L182" s="133"/>
      <c r="M182" s="135"/>
      <c r="N182" s="19"/>
      <c r="O182" s="131"/>
      <c r="P182" s="128"/>
      <c r="Q182" s="30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66"/>
      <c r="H183" s="130"/>
      <c r="I183" s="84"/>
      <c r="J183" s="17"/>
      <c r="K183" s="85"/>
      <c r="L183" s="133"/>
      <c r="M183" s="135"/>
      <c r="N183" s="19"/>
      <c r="O183" s="131"/>
      <c r="P183" s="128"/>
      <c r="Q183" s="30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66"/>
      <c r="H184" s="130"/>
      <c r="I184" s="84"/>
      <c r="J184" s="17"/>
      <c r="K184" s="85"/>
      <c r="L184" s="133"/>
      <c r="M184" s="135"/>
      <c r="N184" s="19"/>
      <c r="O184" s="131"/>
      <c r="P184" s="128"/>
      <c r="Q184" s="30"/>
      <c r="R184" s="29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66"/>
      <c r="H185" s="130"/>
      <c r="I185" s="84"/>
      <c r="J185" s="17"/>
      <c r="K185" s="85"/>
      <c r="L185" s="133"/>
      <c r="M185" s="135"/>
      <c r="N185" s="19"/>
      <c r="O185" s="131"/>
      <c r="P185" s="128"/>
      <c r="Q185" s="30"/>
      <c r="R185" s="29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66"/>
      <c r="H186" s="130"/>
      <c r="I186" s="84"/>
      <c r="J186" s="17"/>
      <c r="K186" s="85"/>
      <c r="L186" s="133"/>
      <c r="M186" s="135"/>
      <c r="N186" s="19"/>
      <c r="O186" s="131"/>
      <c r="P186" s="128"/>
      <c r="Q186" s="30"/>
      <c r="R186" s="29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66"/>
      <c r="H187" s="130"/>
      <c r="I187" s="84"/>
      <c r="J187" s="17"/>
      <c r="K187" s="85"/>
      <c r="L187" s="133"/>
      <c r="M187" s="135"/>
      <c r="N187" s="19"/>
      <c r="O187" s="131"/>
      <c r="P187" s="128"/>
      <c r="Q187" s="30"/>
      <c r="R187" s="29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66"/>
      <c r="H188" s="130"/>
      <c r="I188" s="84"/>
      <c r="J188" s="17"/>
      <c r="K188" s="85"/>
      <c r="L188" s="133"/>
      <c r="M188" s="135"/>
      <c r="N188" s="19"/>
      <c r="O188" s="131"/>
      <c r="P188" s="128"/>
      <c r="Q188" s="30"/>
      <c r="R188" s="29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66"/>
      <c r="H189" s="130"/>
      <c r="I189" s="84"/>
      <c r="J189" s="17"/>
      <c r="K189" s="85"/>
      <c r="L189" s="133"/>
      <c r="M189" s="135"/>
      <c r="N189" s="19"/>
      <c r="O189" s="131"/>
      <c r="P189" s="128"/>
      <c r="Q189" s="30"/>
      <c r="R189" s="29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66"/>
      <c r="H190" s="130"/>
      <c r="I190" s="84"/>
      <c r="J190" s="17"/>
      <c r="K190" s="85"/>
      <c r="L190" s="133"/>
      <c r="M190" s="135"/>
      <c r="N190" s="19"/>
      <c r="O190" s="131"/>
      <c r="P190" s="128"/>
      <c r="Q190" s="30"/>
      <c r="R190" s="29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66"/>
      <c r="H191" s="130"/>
      <c r="I191" s="84"/>
      <c r="J191" s="17"/>
      <c r="K191" s="85"/>
      <c r="L191" s="133"/>
      <c r="M191" s="135"/>
      <c r="N191" s="19"/>
      <c r="O191" s="131"/>
      <c r="P191" s="128"/>
      <c r="Q191" s="30"/>
      <c r="R191" s="29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66"/>
      <c r="H192" s="130"/>
      <c r="I192" s="84"/>
      <c r="J192" s="17"/>
      <c r="K192" s="85"/>
      <c r="L192" s="133"/>
      <c r="M192" s="135"/>
      <c r="N192" s="19"/>
      <c r="O192" s="131"/>
      <c r="P192" s="128"/>
      <c r="Q192" s="30"/>
      <c r="R192" s="29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66"/>
      <c r="H193" s="130"/>
      <c r="I193" s="84"/>
      <c r="J193" s="17"/>
      <c r="K193" s="85"/>
      <c r="L193" s="133"/>
      <c r="M193" s="135"/>
      <c r="N193" s="19"/>
      <c r="O193" s="131"/>
      <c r="P193" s="128"/>
      <c r="Q193" s="30"/>
      <c r="R193" s="29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66"/>
      <c r="H194" s="130"/>
      <c r="I194" s="84"/>
      <c r="J194" s="17"/>
      <c r="K194" s="85"/>
      <c r="L194" s="133"/>
      <c r="M194" s="135"/>
      <c r="N194" s="19"/>
      <c r="O194" s="131"/>
      <c r="P194" s="128"/>
      <c r="Q194" s="30"/>
      <c r="R194" s="29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66"/>
      <c r="H195" s="130"/>
      <c r="I195" s="84"/>
      <c r="J195" s="17"/>
      <c r="K195" s="85"/>
      <c r="L195" s="133"/>
      <c r="M195" s="135"/>
      <c r="N195" s="19"/>
      <c r="O195" s="131"/>
      <c r="P195" s="128"/>
      <c r="Q195" s="30"/>
      <c r="R195" s="29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66"/>
      <c r="H196" s="130"/>
      <c r="I196" s="84"/>
      <c r="J196" s="17"/>
      <c r="K196" s="85"/>
      <c r="L196" s="133"/>
      <c r="M196" s="135"/>
      <c r="N196" s="19"/>
      <c r="O196" s="131"/>
      <c r="P196" s="128"/>
      <c r="Q196" s="30"/>
      <c r="R196" s="29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66"/>
      <c r="H197" s="130"/>
      <c r="I197" s="84"/>
      <c r="J197" s="17"/>
      <c r="K197" s="85"/>
      <c r="L197" s="133"/>
      <c r="M197" s="135"/>
      <c r="N197" s="19"/>
      <c r="O197" s="131"/>
      <c r="P197" s="128"/>
      <c r="Q197" s="30"/>
      <c r="R197" s="29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66"/>
      <c r="H198" s="130"/>
      <c r="I198" s="84"/>
      <c r="J198" s="17"/>
      <c r="K198" s="85"/>
      <c r="L198" s="133"/>
      <c r="M198" s="135"/>
      <c r="N198" s="19"/>
      <c r="O198" s="131"/>
      <c r="P198" s="128"/>
      <c r="Q198" s="30"/>
      <c r="R198" s="29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66"/>
      <c r="H199" s="130"/>
      <c r="I199" s="84"/>
      <c r="J199" s="17"/>
      <c r="K199" s="85"/>
      <c r="L199" s="133"/>
      <c r="M199" s="135"/>
      <c r="N199" s="19"/>
      <c r="O199" s="131"/>
      <c r="P199" s="128"/>
      <c r="Q199" s="30"/>
      <c r="R199" s="29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66"/>
      <c r="H200" s="130"/>
      <c r="I200" s="84"/>
      <c r="J200" s="17"/>
      <c r="K200" s="85"/>
      <c r="L200" s="133"/>
      <c r="M200" s="135"/>
      <c r="N200" s="19"/>
      <c r="O200" s="131"/>
      <c r="P200" s="128"/>
      <c r="Q200" s="30"/>
      <c r="R200" s="29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66"/>
      <c r="H201" s="130"/>
      <c r="I201" s="84"/>
      <c r="J201" s="17"/>
      <c r="K201" s="85"/>
      <c r="L201" s="133"/>
      <c r="M201" s="135"/>
      <c r="N201" s="19"/>
      <c r="O201" s="131"/>
      <c r="P201" s="128"/>
      <c r="Q201" s="30"/>
      <c r="R201" s="29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66"/>
      <c r="H202" s="130"/>
      <c r="I202" s="84"/>
      <c r="J202" s="17"/>
      <c r="K202" s="85"/>
      <c r="L202" s="133"/>
      <c r="M202" s="135"/>
      <c r="N202" s="19"/>
      <c r="O202" s="131"/>
      <c r="P202" s="128"/>
      <c r="Q202" s="30"/>
      <c r="R202" s="29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66"/>
      <c r="H203" s="130"/>
      <c r="I203" s="84"/>
      <c r="J203" s="17"/>
      <c r="K203" s="85"/>
      <c r="L203" s="133"/>
      <c r="M203" s="135"/>
      <c r="N203" s="19"/>
      <c r="O203" s="131"/>
      <c r="P203" s="128"/>
      <c r="Q203" s="30"/>
      <c r="R203" s="29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66"/>
      <c r="H204" s="130"/>
      <c r="I204" s="84"/>
      <c r="J204" s="17"/>
      <c r="K204" s="85"/>
      <c r="L204" s="133"/>
      <c r="M204" s="135"/>
      <c r="N204" s="19"/>
      <c r="O204" s="131"/>
      <c r="P204" s="128"/>
      <c r="Q204" s="30"/>
      <c r="R204" s="29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66"/>
      <c r="H205" s="130"/>
      <c r="I205" s="84"/>
      <c r="J205" s="17"/>
      <c r="K205" s="85"/>
      <c r="L205" s="133"/>
      <c r="M205" s="135"/>
      <c r="N205" s="19"/>
      <c r="O205" s="131"/>
      <c r="P205" s="128"/>
      <c r="Q205" s="30"/>
      <c r="R205" s="29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66"/>
      <c r="H206" s="130"/>
      <c r="I206" s="84"/>
      <c r="J206" s="17"/>
      <c r="K206" s="85"/>
      <c r="L206" s="133"/>
      <c r="M206" s="135"/>
      <c r="N206" s="19"/>
      <c r="O206" s="131"/>
      <c r="P206" s="128"/>
      <c r="Q206" s="30"/>
      <c r="R206" s="29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66"/>
      <c r="H207" s="130"/>
      <c r="I207" s="84"/>
      <c r="J207" s="17"/>
      <c r="K207" s="85"/>
      <c r="L207" s="133"/>
      <c r="M207" s="135"/>
      <c r="N207" s="19"/>
      <c r="O207" s="131"/>
      <c r="P207" s="128"/>
      <c r="Q207" s="30"/>
      <c r="R207" s="29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66"/>
      <c r="H208" s="130"/>
      <c r="I208" s="84"/>
      <c r="J208" s="17"/>
      <c r="K208" s="85"/>
      <c r="L208" s="133"/>
      <c r="M208" s="135"/>
      <c r="N208" s="19"/>
      <c r="O208" s="131"/>
      <c r="P208" s="128"/>
      <c r="Q208" s="30"/>
      <c r="R208" s="29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66"/>
      <c r="H209" s="130"/>
      <c r="I209" s="84"/>
      <c r="J209" s="17"/>
      <c r="K209" s="85"/>
      <c r="L209" s="133"/>
      <c r="M209" s="135"/>
      <c r="N209" s="19"/>
      <c r="O209" s="131"/>
      <c r="P209" s="128"/>
      <c r="Q209" s="30"/>
      <c r="R209" s="29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66"/>
      <c r="H210" s="130"/>
      <c r="I210" s="84"/>
      <c r="J210" s="17"/>
      <c r="K210" s="85"/>
      <c r="L210" s="133"/>
      <c r="M210" s="135"/>
      <c r="N210" s="19"/>
      <c r="O210" s="131"/>
      <c r="P210" s="128"/>
      <c r="Q210" s="30"/>
      <c r="R210" s="29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66"/>
      <c r="H211" s="130"/>
      <c r="I211" s="84"/>
      <c r="J211" s="17"/>
      <c r="K211" s="85"/>
      <c r="L211" s="133"/>
      <c r="M211" s="135"/>
      <c r="N211" s="19"/>
      <c r="O211" s="131"/>
      <c r="P211" s="128"/>
      <c r="Q211" s="30"/>
      <c r="R211" s="29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66"/>
      <c r="H212" s="130"/>
      <c r="I212" s="84"/>
      <c r="J212" s="17"/>
      <c r="K212" s="85"/>
      <c r="L212" s="133"/>
      <c r="M212" s="135"/>
      <c r="N212" s="19"/>
      <c r="O212" s="131"/>
      <c r="P212" s="128"/>
      <c r="Q212" s="30"/>
      <c r="R212" s="29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66"/>
      <c r="H213" s="130"/>
      <c r="I213" s="84"/>
      <c r="J213" s="17"/>
      <c r="K213" s="85"/>
      <c r="L213" s="133"/>
      <c r="M213" s="135"/>
      <c r="N213" s="19"/>
      <c r="O213" s="131"/>
      <c r="P213" s="128"/>
      <c r="Q213" s="30"/>
      <c r="R213" s="29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66"/>
      <c r="H214" s="130"/>
      <c r="I214" s="84"/>
      <c r="J214" s="17"/>
      <c r="K214" s="85"/>
      <c r="L214" s="133"/>
      <c r="M214" s="135"/>
      <c r="N214" s="19"/>
      <c r="O214" s="131"/>
      <c r="P214" s="128"/>
      <c r="Q214" s="30"/>
      <c r="R214" s="29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66"/>
      <c r="H215" s="130"/>
      <c r="I215" s="84"/>
      <c r="J215" s="17"/>
      <c r="K215" s="85"/>
      <c r="L215" s="133"/>
      <c r="M215" s="135"/>
      <c r="N215" s="19"/>
      <c r="O215" s="131"/>
      <c r="P215" s="128"/>
      <c r="Q215" s="30"/>
      <c r="R215" s="29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66"/>
      <c r="H216" s="130"/>
      <c r="I216" s="84"/>
      <c r="J216" s="17"/>
      <c r="K216" s="85"/>
      <c r="L216" s="133"/>
      <c r="M216" s="135"/>
      <c r="N216" s="19"/>
      <c r="O216" s="131"/>
      <c r="P216" s="128"/>
      <c r="Q216" s="30"/>
      <c r="R216" s="29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66"/>
      <c r="H217" s="130"/>
      <c r="I217" s="84"/>
      <c r="J217" s="17"/>
      <c r="K217" s="85"/>
      <c r="L217" s="133"/>
      <c r="M217" s="135"/>
      <c r="N217" s="19"/>
      <c r="O217" s="131"/>
      <c r="P217" s="128"/>
      <c r="Q217" s="30"/>
      <c r="R217" s="29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66"/>
      <c r="H218" s="130"/>
      <c r="I218" s="84"/>
      <c r="J218" s="17"/>
      <c r="K218" s="85"/>
      <c r="L218" s="133"/>
      <c r="M218" s="135"/>
      <c r="N218" s="19"/>
      <c r="O218" s="131"/>
      <c r="P218" s="128"/>
      <c r="Q218" s="30"/>
      <c r="R218" s="29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66"/>
      <c r="H219" s="130"/>
      <c r="I219" s="84"/>
      <c r="J219" s="17"/>
      <c r="K219" s="85"/>
      <c r="L219" s="133"/>
      <c r="M219" s="135"/>
      <c r="N219" s="19"/>
      <c r="O219" s="131"/>
      <c r="P219" s="128"/>
      <c r="Q219" s="30"/>
      <c r="R219" s="29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66"/>
      <c r="H220" s="130"/>
      <c r="I220" s="84"/>
      <c r="J220" s="17"/>
      <c r="K220" s="85"/>
      <c r="L220" s="133"/>
      <c r="M220" s="135"/>
      <c r="N220" s="19"/>
      <c r="O220" s="131"/>
      <c r="P220" s="128"/>
      <c r="Q220" s="30"/>
      <c r="R220" s="29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66"/>
      <c r="H221" s="130"/>
      <c r="I221" s="84"/>
      <c r="J221" s="17"/>
      <c r="K221" s="85"/>
      <c r="L221" s="133"/>
      <c r="M221" s="135"/>
      <c r="N221" s="19"/>
      <c r="O221" s="131"/>
      <c r="P221" s="128"/>
      <c r="Q221" s="30"/>
      <c r="R221" s="29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66"/>
      <c r="H222" s="130"/>
      <c r="I222" s="84"/>
      <c r="J222" s="17"/>
      <c r="K222" s="85"/>
      <c r="L222" s="133"/>
      <c r="M222" s="135"/>
      <c r="N222" s="19"/>
      <c r="O222" s="131"/>
      <c r="P222" s="128"/>
      <c r="Q222" s="30"/>
      <c r="R222" s="29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66"/>
      <c r="H223" s="130"/>
      <c r="I223" s="84"/>
      <c r="J223" s="17"/>
      <c r="K223" s="85"/>
      <c r="L223" s="133"/>
      <c r="M223" s="135"/>
      <c r="N223" s="19"/>
      <c r="O223" s="131"/>
      <c r="P223" s="128"/>
      <c r="Q223" s="30"/>
      <c r="R223" s="29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66"/>
      <c r="H224" s="130"/>
      <c r="I224" s="84"/>
      <c r="J224" s="17"/>
      <c r="K224" s="85"/>
      <c r="L224" s="133"/>
      <c r="M224" s="135"/>
      <c r="N224" s="19"/>
      <c r="O224" s="131"/>
      <c r="P224" s="128"/>
      <c r="Q224" s="30"/>
      <c r="R224" s="29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66"/>
      <c r="H225" s="130"/>
      <c r="I225" s="84"/>
      <c r="J225" s="17"/>
      <c r="K225" s="85"/>
      <c r="L225" s="133"/>
      <c r="M225" s="135"/>
      <c r="N225" s="19"/>
      <c r="O225" s="131"/>
      <c r="P225" s="128"/>
      <c r="Q225" s="30"/>
      <c r="R225" s="29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66"/>
      <c r="H226" s="130"/>
      <c r="I226" s="84"/>
      <c r="J226" s="17"/>
      <c r="K226" s="85"/>
      <c r="L226" s="133"/>
      <c r="M226" s="135"/>
      <c r="N226" s="19"/>
      <c r="O226" s="131"/>
      <c r="P226" s="128"/>
      <c r="Q226" s="30"/>
      <c r="R226" s="29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66"/>
      <c r="H227" s="130"/>
      <c r="I227" s="84"/>
      <c r="J227" s="17"/>
      <c r="K227" s="85"/>
      <c r="L227" s="133"/>
      <c r="M227" s="135"/>
      <c r="N227" s="19"/>
      <c r="O227" s="131"/>
      <c r="P227" s="128"/>
      <c r="Q227" s="30"/>
      <c r="R227" s="29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66"/>
      <c r="H228" s="130"/>
      <c r="I228" s="84"/>
      <c r="J228" s="17"/>
      <c r="K228" s="85"/>
      <c r="L228" s="133"/>
      <c r="M228" s="135"/>
      <c r="N228" s="19"/>
      <c r="O228" s="131"/>
      <c r="P228" s="128"/>
      <c r="Q228" s="30"/>
      <c r="R228" s="29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66"/>
      <c r="H229" s="130"/>
      <c r="I229" s="84"/>
      <c r="J229" s="17"/>
      <c r="K229" s="85"/>
      <c r="L229" s="133"/>
      <c r="M229" s="135"/>
      <c r="N229" s="19"/>
      <c r="O229" s="131"/>
      <c r="P229" s="128"/>
      <c r="Q229" s="30"/>
      <c r="R229" s="29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66"/>
      <c r="H230" s="130"/>
      <c r="I230" s="84"/>
      <c r="J230" s="17"/>
      <c r="K230" s="85"/>
      <c r="L230" s="133"/>
      <c r="M230" s="135"/>
      <c r="N230" s="19"/>
      <c r="O230" s="131"/>
      <c r="P230" s="128"/>
      <c r="Q230" s="30"/>
      <c r="R230" s="29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66"/>
      <c r="H231" s="130"/>
      <c r="I231" s="84"/>
      <c r="J231" s="17"/>
      <c r="K231" s="85"/>
      <c r="L231" s="133"/>
      <c r="M231" s="135"/>
      <c r="N231" s="19"/>
      <c r="O231" s="131"/>
      <c r="P231" s="128"/>
      <c r="Q231" s="30"/>
      <c r="R231" s="29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66"/>
      <c r="H232" s="130"/>
      <c r="I232" s="84"/>
      <c r="J232" s="17"/>
      <c r="K232" s="85"/>
      <c r="L232" s="133"/>
      <c r="M232" s="135"/>
      <c r="N232" s="19"/>
      <c r="O232" s="131"/>
      <c r="P232" s="128"/>
      <c r="Q232" s="30"/>
      <c r="R232" s="29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66"/>
      <c r="H233" s="130"/>
      <c r="I233" s="84"/>
      <c r="J233" s="17"/>
      <c r="K233" s="85"/>
      <c r="L233" s="133"/>
      <c r="M233" s="135"/>
      <c r="N233" s="19"/>
      <c r="O233" s="131"/>
      <c r="P233" s="128"/>
      <c r="Q233" s="30"/>
      <c r="R233" s="29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66"/>
      <c r="H234" s="130"/>
      <c r="I234" s="84"/>
      <c r="J234" s="17"/>
      <c r="K234" s="85"/>
      <c r="L234" s="133"/>
      <c r="M234" s="135"/>
      <c r="N234" s="19"/>
      <c r="O234" s="131"/>
      <c r="P234" s="128"/>
      <c r="Q234" s="30"/>
      <c r="R234" s="29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66"/>
      <c r="H235" s="130"/>
      <c r="I235" s="84"/>
      <c r="J235" s="17"/>
      <c r="K235" s="85"/>
      <c r="L235" s="133"/>
      <c r="M235" s="135"/>
      <c r="N235" s="19"/>
      <c r="O235" s="131"/>
      <c r="P235" s="128"/>
      <c r="Q235" s="30"/>
      <c r="R235" s="29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66"/>
      <c r="H236" s="130"/>
      <c r="I236" s="84"/>
      <c r="J236" s="17"/>
      <c r="K236" s="85"/>
      <c r="L236" s="133"/>
      <c r="M236" s="135"/>
      <c r="N236" s="19"/>
      <c r="O236" s="131"/>
      <c r="P236" s="128"/>
      <c r="Q236" s="30"/>
      <c r="R236" s="29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66"/>
      <c r="H237" s="130"/>
      <c r="I237" s="84"/>
      <c r="J237" s="17"/>
      <c r="K237" s="85"/>
      <c r="L237" s="133"/>
      <c r="M237" s="135"/>
      <c r="N237" s="19"/>
      <c r="O237" s="131"/>
      <c r="P237" s="128"/>
      <c r="Q237" s="30"/>
      <c r="R237" s="29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66"/>
      <c r="H238" s="130"/>
      <c r="I238" s="84"/>
      <c r="J238" s="17"/>
      <c r="K238" s="85"/>
      <c r="L238" s="133"/>
      <c r="M238" s="135"/>
      <c r="N238" s="19"/>
      <c r="O238" s="131"/>
      <c r="P238" s="128"/>
      <c r="Q238" s="30"/>
      <c r="R238" s="29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66"/>
      <c r="H239" s="130"/>
      <c r="I239" s="84"/>
      <c r="J239" s="17"/>
      <c r="K239" s="85"/>
      <c r="L239" s="133"/>
      <c r="M239" s="135"/>
      <c r="N239" s="19"/>
      <c r="O239" s="131"/>
      <c r="P239" s="128"/>
      <c r="Q239" s="30"/>
      <c r="R239" s="29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66"/>
      <c r="H240" s="130"/>
      <c r="I240" s="84"/>
      <c r="J240" s="17"/>
      <c r="K240" s="85"/>
      <c r="L240" s="133"/>
      <c r="M240" s="135"/>
      <c r="N240" s="19"/>
      <c r="O240" s="131"/>
      <c r="P240" s="128"/>
      <c r="Q240" s="30"/>
      <c r="R240" s="29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66"/>
      <c r="H241" s="130"/>
      <c r="I241" s="84"/>
      <c r="J241" s="17"/>
      <c r="K241" s="85"/>
      <c r="L241" s="133"/>
      <c r="M241" s="135"/>
      <c r="N241" s="19"/>
      <c r="O241" s="131"/>
      <c r="P241" s="128"/>
      <c r="Q241" s="30"/>
      <c r="R241" s="29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133"/>
      <c r="M242" s="135"/>
      <c r="N242" s="19"/>
      <c r="O242" s="131"/>
      <c r="P242" s="128"/>
      <c r="Q242" s="30"/>
      <c r="R242" s="29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133"/>
      <c r="M243" s="135"/>
      <c r="N243" s="19"/>
      <c r="O243" s="131"/>
      <c r="P243" s="128"/>
      <c r="Q243" s="30"/>
      <c r="R243" s="29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133"/>
      <c r="M244" s="135"/>
      <c r="N244" s="19"/>
      <c r="O244" s="131"/>
      <c r="P244" s="128"/>
      <c r="Q244" s="30"/>
      <c r="R244" s="29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133"/>
      <c r="M245" s="135"/>
      <c r="N245" s="19"/>
      <c r="O245" s="131"/>
      <c r="P245" s="128"/>
      <c r="Q245" s="30"/>
      <c r="R245" s="29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133"/>
      <c r="M246" s="135"/>
      <c r="N246" s="19"/>
      <c r="O246" s="131"/>
      <c r="P246" s="128"/>
      <c r="Q246" s="30"/>
      <c r="R246" s="29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133"/>
      <c r="M247" s="135"/>
      <c r="N247" s="19"/>
      <c r="O247" s="131"/>
      <c r="P247" s="128"/>
      <c r="Q247" s="30"/>
      <c r="R247" s="29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133"/>
      <c r="M248" s="135"/>
      <c r="N248" s="19"/>
      <c r="O248" s="131"/>
      <c r="P248" s="128"/>
      <c r="Q248" s="30"/>
      <c r="R248" s="29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133"/>
      <c r="M249" s="135"/>
      <c r="N249" s="19"/>
      <c r="O249" s="131"/>
      <c r="P249" s="128"/>
      <c r="Q249" s="30"/>
      <c r="R249" s="29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133"/>
      <c r="M250" s="135"/>
      <c r="N250" s="19"/>
      <c r="O250" s="131"/>
      <c r="P250" s="128"/>
      <c r="Q250" s="30"/>
      <c r="R250" s="29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133"/>
      <c r="M251" s="135"/>
      <c r="N251" s="19"/>
      <c r="O251" s="131"/>
      <c r="P251" s="128"/>
      <c r="Q251" s="30"/>
      <c r="R251" s="29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133"/>
      <c r="M252" s="135"/>
      <c r="N252" s="19"/>
      <c r="O252" s="131"/>
      <c r="P252" s="128"/>
      <c r="Q252" s="30"/>
      <c r="R252" s="29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133"/>
      <c r="M253" s="135"/>
      <c r="N253" s="19"/>
      <c r="O253" s="131"/>
      <c r="P253" s="128"/>
      <c r="Q253" s="30"/>
      <c r="R253" s="29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133"/>
      <c r="M254" s="135"/>
      <c r="N254" s="19"/>
      <c r="O254" s="131"/>
      <c r="P254" s="128"/>
      <c r="Q254" s="30"/>
      <c r="R254" s="29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133"/>
      <c r="M255" s="135"/>
      <c r="N255" s="19"/>
      <c r="O255" s="131"/>
      <c r="P255" s="128"/>
      <c r="Q255" s="30"/>
      <c r="R255" s="29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133"/>
      <c r="M256" s="135"/>
      <c r="N256" s="19"/>
      <c r="O256" s="131"/>
      <c r="P256" s="128"/>
      <c r="Q256" s="30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133"/>
      <c r="M257" s="135"/>
      <c r="N257" s="19"/>
      <c r="O257" s="131"/>
      <c r="P257" s="128"/>
      <c r="Q257" s="30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133"/>
      <c r="M258" s="135"/>
      <c r="N258" s="19"/>
      <c r="O258" s="131"/>
      <c r="P258" s="128"/>
      <c r="Q258" s="30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133"/>
      <c r="M259" s="135"/>
      <c r="N259" s="19"/>
      <c r="O259" s="131"/>
      <c r="P259" s="128"/>
      <c r="Q259" s="30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133"/>
      <c r="M260" s="135"/>
      <c r="N260" s="19"/>
      <c r="O260" s="131"/>
      <c r="P260" s="128"/>
      <c r="Q260" s="30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133"/>
      <c r="M261" s="135"/>
      <c r="N261" s="19"/>
      <c r="O261" s="131"/>
      <c r="P261" s="128"/>
      <c r="Q261" s="30"/>
      <c r="R261" s="29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133"/>
      <c r="M262" s="135"/>
      <c r="N262" s="19"/>
      <c r="O262" s="131"/>
      <c r="P262" s="128"/>
      <c r="Q262" s="30"/>
      <c r="R262" s="29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133"/>
      <c r="M263" s="135"/>
      <c r="N263" s="19"/>
      <c r="O263" s="131"/>
      <c r="P263" s="128"/>
      <c r="Q263" s="30"/>
      <c r="R263" s="29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133"/>
      <c r="M264" s="135"/>
      <c r="N264" s="19"/>
      <c r="O264" s="131"/>
      <c r="P264" s="128"/>
      <c r="Q264" s="30"/>
      <c r="R264" s="29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133"/>
      <c r="M265" s="135"/>
      <c r="N265" s="19"/>
      <c r="O265" s="131"/>
      <c r="P265" s="128"/>
      <c r="Q265" s="30"/>
      <c r="R265" s="29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133"/>
      <c r="M266" s="135"/>
      <c r="N266" s="19"/>
      <c r="O266" s="131"/>
      <c r="P266" s="128"/>
      <c r="Q266" s="30"/>
      <c r="R266" s="29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133"/>
      <c r="M267" s="135"/>
      <c r="N267" s="19"/>
      <c r="O267" s="131"/>
      <c r="P267" s="128"/>
      <c r="Q267" s="30"/>
      <c r="R267" s="29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133"/>
      <c r="M268" s="135"/>
      <c r="N268" s="19"/>
      <c r="O268" s="131"/>
      <c r="P268" s="128"/>
      <c r="Q268" s="30"/>
      <c r="R268" s="29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133"/>
      <c r="M269" s="135"/>
      <c r="N269" s="19"/>
      <c r="O269" s="131"/>
      <c r="P269" s="128"/>
      <c r="Q269" s="30"/>
      <c r="R269" s="29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133"/>
      <c r="M270" s="135"/>
      <c r="N270" s="19"/>
      <c r="O270" s="131"/>
      <c r="P270" s="128"/>
      <c r="Q270" s="30"/>
      <c r="R270" s="29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133"/>
      <c r="M271" s="135"/>
      <c r="N271" s="19"/>
      <c r="O271" s="131"/>
      <c r="P271" s="128"/>
      <c r="Q271" s="30"/>
      <c r="R271" s="29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133"/>
      <c r="M272" s="135"/>
      <c r="N272" s="19"/>
      <c r="O272" s="131"/>
      <c r="P272" s="128"/>
      <c r="Q272" s="30"/>
      <c r="R272" s="29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133"/>
      <c r="M273" s="135"/>
      <c r="N273" s="19"/>
      <c r="O273" s="131"/>
      <c r="P273" s="128"/>
      <c r="Q273" s="30"/>
      <c r="R273" s="29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133"/>
      <c r="M274" s="135"/>
      <c r="N274" s="19"/>
      <c r="O274" s="131"/>
      <c r="P274" s="128"/>
      <c r="Q274" s="30"/>
      <c r="R274" s="29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133"/>
      <c r="M275" s="135"/>
      <c r="N275" s="19"/>
      <c r="O275" s="131"/>
      <c r="P275" s="128"/>
      <c r="Q275" s="30"/>
      <c r="R275" s="29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133"/>
      <c r="M276" s="135"/>
      <c r="N276" s="19"/>
      <c r="O276" s="131"/>
      <c r="P276" s="128"/>
      <c r="Q276" s="30"/>
      <c r="R276" s="29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133"/>
      <c r="M277" s="135"/>
      <c r="N277" s="19"/>
      <c r="O277" s="131"/>
      <c r="P277" s="128"/>
      <c r="Q277" s="30"/>
      <c r="R277" s="29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133"/>
      <c r="M278" s="135"/>
      <c r="N278" s="19"/>
      <c r="O278" s="131"/>
      <c r="P278" s="128"/>
      <c r="Q278" s="30"/>
      <c r="R278" s="29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133"/>
      <c r="M279" s="135"/>
      <c r="N279" s="19"/>
      <c r="O279" s="131"/>
      <c r="P279" s="128"/>
      <c r="Q279" s="30"/>
      <c r="R279" s="29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133"/>
      <c r="M280" s="135"/>
      <c r="N280" s="19"/>
      <c r="O280" s="131"/>
      <c r="P280" s="128"/>
      <c r="Q280" s="30"/>
      <c r="R280" s="29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133"/>
      <c r="M281" s="135"/>
      <c r="N281" s="19"/>
      <c r="O281" s="131"/>
      <c r="P281" s="128"/>
      <c r="Q281" s="30"/>
      <c r="R281" s="29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133"/>
      <c r="M282" s="135"/>
      <c r="N282" s="19"/>
      <c r="O282" s="131"/>
      <c r="P282" s="128"/>
      <c r="Q282" s="30"/>
      <c r="R282" s="29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133"/>
      <c r="M283" s="135"/>
      <c r="N283" s="19"/>
      <c r="O283" s="131"/>
      <c r="P283" s="128"/>
      <c r="Q283" s="30"/>
      <c r="R283" s="29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133"/>
      <c r="M284" s="135"/>
      <c r="N284" s="19"/>
      <c r="O284" s="131"/>
      <c r="P284" s="128"/>
      <c r="Q284" s="30"/>
      <c r="R284" s="29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133"/>
      <c r="M285" s="135"/>
      <c r="N285" s="19"/>
      <c r="O285" s="131"/>
      <c r="P285" s="128"/>
      <c r="Q285" s="30"/>
      <c r="R285" s="29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133"/>
      <c r="M286" s="135"/>
      <c r="N286" s="19"/>
      <c r="O286" s="131"/>
      <c r="P286" s="128"/>
      <c r="Q286" s="30"/>
      <c r="R286" s="29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133"/>
      <c r="M287" s="135"/>
      <c r="N287" s="19"/>
      <c r="O287" s="131"/>
      <c r="P287" s="128"/>
      <c r="Q287" s="30"/>
      <c r="R287" s="29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133"/>
      <c r="M288" s="135"/>
      <c r="N288" s="19"/>
      <c r="O288" s="131"/>
      <c r="P288" s="128"/>
      <c r="Q288" s="30"/>
      <c r="R288" s="29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133"/>
      <c r="M289" s="135"/>
      <c r="N289" s="19"/>
      <c r="O289" s="131"/>
      <c r="P289" s="128"/>
      <c r="Q289" s="30"/>
      <c r="R289" s="29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133"/>
      <c r="M290" s="135"/>
      <c r="N290" s="19"/>
      <c r="O290" s="131"/>
      <c r="P290" s="128"/>
      <c r="Q290" s="30"/>
      <c r="R290" s="29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133"/>
      <c r="M291" s="135"/>
      <c r="N291" s="19"/>
      <c r="O291" s="131"/>
      <c r="P291" s="128"/>
      <c r="Q291" s="30"/>
      <c r="R291" s="29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133"/>
      <c r="M292" s="135"/>
      <c r="N292" s="19"/>
      <c r="O292" s="131"/>
      <c r="P292" s="128"/>
      <c r="Q292" s="30"/>
      <c r="R292" s="29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133"/>
      <c r="M293" s="135"/>
      <c r="N293" s="19"/>
      <c r="O293" s="131"/>
      <c r="P293" s="128"/>
      <c r="Q293" s="30"/>
      <c r="R293" s="29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133"/>
      <c r="M294" s="135"/>
      <c r="N294" s="19"/>
      <c r="O294" s="131"/>
      <c r="P294" s="128"/>
      <c r="Q294" s="30"/>
      <c r="R294" s="29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133"/>
      <c r="M295" s="135"/>
      <c r="N295" s="19"/>
      <c r="O295" s="131"/>
      <c r="P295" s="128"/>
      <c r="Q295" s="30"/>
      <c r="R295" s="29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133"/>
      <c r="M296" s="135"/>
      <c r="N296" s="19"/>
      <c r="O296" s="131"/>
      <c r="P296" s="128"/>
      <c r="Q296" s="30"/>
      <c r="R296" s="29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133"/>
      <c r="M297" s="135"/>
      <c r="N297" s="19"/>
      <c r="O297" s="131"/>
      <c r="P297" s="128"/>
      <c r="Q297" s="30"/>
      <c r="R297" s="29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133"/>
      <c r="M298" s="135"/>
      <c r="N298" s="19"/>
      <c r="O298" s="131"/>
      <c r="P298" s="128"/>
      <c r="Q298" s="30"/>
      <c r="R298" s="29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133"/>
      <c r="M299" s="135"/>
      <c r="N299" s="19"/>
      <c r="O299" s="131"/>
      <c r="P299" s="128"/>
      <c r="Q299" s="30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133"/>
      <c r="M300" s="135"/>
      <c r="N300" s="19"/>
      <c r="O300" s="131"/>
      <c r="P300" s="128"/>
      <c r="Q300" s="30"/>
      <c r="R300" s="29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133"/>
      <c r="M301" s="135"/>
      <c r="N301" s="19"/>
      <c r="O301" s="131"/>
      <c r="P301" s="128"/>
      <c r="Q301" s="30"/>
      <c r="R301" s="29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133"/>
      <c r="M302" s="135"/>
      <c r="N302" s="19"/>
      <c r="O302" s="131"/>
      <c r="P302" s="128"/>
      <c r="Q302" s="30"/>
      <c r="R302" s="29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133"/>
      <c r="M303" s="135"/>
      <c r="N303" s="19"/>
      <c r="O303" s="131"/>
      <c r="P303" s="128"/>
      <c r="Q303" s="30"/>
      <c r="R303" s="29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133"/>
      <c r="M304" s="135"/>
      <c r="N304" s="19"/>
      <c r="O304" s="131"/>
      <c r="P304" s="128"/>
      <c r="Q304" s="30"/>
      <c r="R304" s="29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133"/>
      <c r="M305" s="135"/>
      <c r="N305" s="19"/>
      <c r="O305" s="131"/>
      <c r="P305" s="128"/>
      <c r="Q305" s="30"/>
      <c r="R305" s="29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133"/>
      <c r="M306" s="135"/>
      <c r="N306" s="19"/>
      <c r="O306" s="131"/>
      <c r="P306" s="128"/>
      <c r="Q306" s="30"/>
      <c r="R306" s="29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133"/>
      <c r="M307" s="135"/>
      <c r="N307" s="19"/>
      <c r="O307" s="131"/>
      <c r="P307" s="128"/>
      <c r="Q307" s="30"/>
      <c r="R307" s="29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133"/>
      <c r="M308" s="135"/>
      <c r="N308" s="19"/>
      <c r="O308" s="131"/>
      <c r="P308" s="128"/>
      <c r="Q308" s="30"/>
      <c r="R308" s="29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133"/>
      <c r="M309" s="135"/>
      <c r="N309" s="19"/>
      <c r="O309" s="131"/>
      <c r="P309" s="128"/>
      <c r="Q309" s="30"/>
      <c r="R309" s="29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133"/>
      <c r="M310" s="135"/>
      <c r="N310" s="19"/>
      <c r="O310" s="131"/>
      <c r="P310" s="128"/>
      <c r="Q310" s="30"/>
      <c r="R310" s="29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133"/>
      <c r="M311" s="135"/>
      <c r="N311" s="19"/>
      <c r="O311" s="131"/>
      <c r="P311" s="128"/>
      <c r="Q311" s="30"/>
      <c r="R311" s="29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133"/>
      <c r="M312" s="135"/>
      <c r="N312" s="19"/>
      <c r="O312" s="131"/>
      <c r="P312" s="128"/>
      <c r="Q312" s="30"/>
      <c r="R312" s="29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133"/>
      <c r="M313" s="135"/>
      <c r="N313" s="19"/>
      <c r="O313" s="131"/>
      <c r="P313" s="128"/>
      <c r="Q313" s="30"/>
      <c r="R313" s="29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133"/>
      <c r="M314" s="135"/>
      <c r="N314" s="19"/>
      <c r="O314" s="131"/>
      <c r="P314" s="128"/>
      <c r="Q314" s="30"/>
      <c r="R314" s="29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133"/>
      <c r="M315" s="135"/>
      <c r="N315" s="19"/>
      <c r="O315" s="131"/>
      <c r="P315" s="128"/>
      <c r="Q315" s="30"/>
      <c r="R315" s="29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133"/>
      <c r="M316" s="135"/>
      <c r="N316" s="19"/>
      <c r="O316" s="131"/>
      <c r="P316" s="128"/>
      <c r="Q316" s="30"/>
      <c r="R316" s="29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133"/>
      <c r="M317" s="135"/>
      <c r="N317" s="19"/>
      <c r="O317" s="131"/>
      <c r="P317" s="128"/>
      <c r="Q317" s="30"/>
      <c r="R317" s="29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133"/>
      <c r="M318" s="135"/>
      <c r="N318" s="19"/>
      <c r="O318" s="131"/>
      <c r="P318" s="128"/>
      <c r="Q318" s="30"/>
      <c r="R318" s="29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133"/>
      <c r="M319" s="135"/>
      <c r="N319" s="19"/>
      <c r="O319" s="131"/>
      <c r="P319" s="128"/>
      <c r="Q319" s="30"/>
      <c r="R319" s="29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133"/>
      <c r="M320" s="135"/>
      <c r="N320" s="19"/>
      <c r="O320" s="131"/>
      <c r="P320" s="128"/>
      <c r="Q320" s="30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133"/>
      <c r="M321" s="135"/>
      <c r="N321" s="19"/>
      <c r="O321" s="131"/>
      <c r="P321" s="128"/>
      <c r="Q321" s="30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133"/>
      <c r="M322" s="135"/>
      <c r="N322" s="19"/>
      <c r="O322" s="131"/>
      <c r="P322" s="128"/>
      <c r="Q322" s="30"/>
      <c r="R322" s="29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133"/>
      <c r="M323" s="135"/>
      <c r="N323" s="19"/>
      <c r="O323" s="131"/>
      <c r="P323" s="128"/>
      <c r="Q323" s="30"/>
      <c r="R323" s="29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133"/>
      <c r="M324" s="135"/>
      <c r="N324" s="19"/>
      <c r="O324" s="131"/>
      <c r="P324" s="128"/>
      <c r="Q324" s="30"/>
      <c r="R324" s="29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133"/>
      <c r="M325" s="135"/>
      <c r="N325" s="19"/>
      <c r="O325" s="131"/>
      <c r="P325" s="128"/>
      <c r="Q325" s="30"/>
      <c r="R325" s="29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133"/>
      <c r="M326" s="135"/>
      <c r="N326" s="19"/>
      <c r="O326" s="131"/>
      <c r="P326" s="128"/>
      <c r="Q326" s="30"/>
      <c r="R326" s="29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133"/>
      <c r="M327" s="135"/>
      <c r="N327" s="19"/>
      <c r="O327" s="131"/>
      <c r="P327" s="128"/>
      <c r="Q327" s="30"/>
      <c r="R327" s="29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133"/>
      <c r="M328" s="135"/>
      <c r="N328" s="19"/>
      <c r="O328" s="131"/>
      <c r="P328" s="128"/>
      <c r="Q328" s="30"/>
      <c r="R328" s="29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133"/>
      <c r="M329" s="135"/>
      <c r="N329" s="19"/>
      <c r="O329" s="131"/>
      <c r="P329" s="128"/>
      <c r="Q329" s="30"/>
      <c r="R329" s="29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133"/>
      <c r="M330" s="135"/>
      <c r="N330" s="19"/>
      <c r="O330" s="131"/>
      <c r="P330" s="128"/>
      <c r="Q330" s="30"/>
      <c r="R330" s="29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133"/>
      <c r="M331" s="135"/>
      <c r="N331" s="19"/>
      <c r="O331" s="131"/>
      <c r="P331" s="128"/>
      <c r="Q331" s="30"/>
      <c r="R331" s="29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133"/>
      <c r="M332" s="135"/>
      <c r="N332" s="19"/>
      <c r="O332" s="131"/>
      <c r="P332" s="128"/>
      <c r="Q332" s="30"/>
      <c r="R332" s="29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133"/>
      <c r="M333" s="135"/>
      <c r="N333" s="19"/>
      <c r="O333" s="131"/>
      <c r="P333" s="128"/>
      <c r="Q333" s="30"/>
      <c r="R333" s="29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133"/>
      <c r="M334" s="135"/>
      <c r="N334" s="19"/>
      <c r="O334" s="131"/>
      <c r="P334" s="128"/>
      <c r="Q334" s="30"/>
      <c r="R334" s="29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133"/>
      <c r="M335" s="135"/>
      <c r="N335" s="19"/>
      <c r="O335" s="131"/>
      <c r="P335" s="128"/>
      <c r="Q335" s="30"/>
      <c r="R335" s="29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133"/>
      <c r="M336" s="135"/>
      <c r="N336" s="19"/>
      <c r="O336" s="131"/>
      <c r="P336" s="128"/>
      <c r="Q336" s="30"/>
      <c r="R336" s="29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133"/>
      <c r="M337" s="135"/>
      <c r="N337" s="19"/>
      <c r="O337" s="131"/>
      <c r="P337" s="128"/>
      <c r="Q337" s="30"/>
      <c r="R337" s="29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133"/>
      <c r="M338" s="135"/>
      <c r="N338" s="19"/>
      <c r="O338" s="131"/>
      <c r="P338" s="128"/>
      <c r="Q338" s="30"/>
      <c r="R338" s="29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133"/>
      <c r="M339" s="135"/>
      <c r="N339" s="19"/>
      <c r="O339" s="131"/>
      <c r="P339" s="128"/>
      <c r="Q339" s="30"/>
      <c r="R339" s="29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133"/>
      <c r="M340" s="135"/>
      <c r="N340" s="19"/>
      <c r="O340" s="131"/>
      <c r="P340" s="128"/>
      <c r="Q340" s="30"/>
      <c r="R340" s="29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133"/>
      <c r="M341" s="135"/>
      <c r="N341" s="19"/>
      <c r="O341" s="131"/>
      <c r="P341" s="128"/>
      <c r="Q341" s="30"/>
      <c r="R341" s="29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133"/>
      <c r="M342" s="135"/>
      <c r="N342" s="19"/>
      <c r="O342" s="131"/>
      <c r="P342" s="128"/>
      <c r="Q342" s="30"/>
      <c r="R342" s="29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133"/>
      <c r="M343" s="135"/>
      <c r="N343" s="19"/>
      <c r="O343" s="131"/>
      <c r="P343" s="128"/>
      <c r="Q343" s="30"/>
      <c r="R343" s="29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133"/>
      <c r="M344" s="135"/>
      <c r="N344" s="19"/>
      <c r="O344" s="131"/>
      <c r="P344" s="128"/>
      <c r="Q344" s="30"/>
      <c r="R344" s="29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133"/>
      <c r="M345" s="135"/>
      <c r="N345" s="19"/>
      <c r="O345" s="131"/>
      <c r="P345" s="128"/>
      <c r="Q345" s="30"/>
      <c r="R345" s="29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133"/>
      <c r="M346" s="135"/>
      <c r="N346" s="19"/>
      <c r="O346" s="131"/>
      <c r="P346" s="128"/>
      <c r="Q346" s="30"/>
      <c r="R346" s="29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133"/>
      <c r="M347" s="135"/>
      <c r="N347" s="19"/>
      <c r="O347" s="131"/>
      <c r="P347" s="128"/>
      <c r="Q347" s="30"/>
      <c r="R347" s="29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133"/>
      <c r="M348" s="135"/>
      <c r="N348" s="19"/>
      <c r="O348" s="131"/>
      <c r="P348" s="128"/>
      <c r="Q348" s="30"/>
      <c r="R348" s="29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133"/>
      <c r="M349" s="135"/>
      <c r="N349" s="19"/>
      <c r="O349" s="131"/>
      <c r="P349" s="128"/>
      <c r="Q349" s="30"/>
      <c r="R349" s="29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133"/>
      <c r="M350" s="135"/>
      <c r="N350" s="19"/>
      <c r="O350" s="131"/>
      <c r="P350" s="128"/>
      <c r="Q350" s="30"/>
      <c r="R350" s="29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133"/>
      <c r="M351" s="135"/>
      <c r="N351" s="19"/>
      <c r="O351" s="131"/>
      <c r="P351" s="128"/>
      <c r="Q351" s="30"/>
      <c r="R351" s="29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133"/>
      <c r="M352" s="135"/>
      <c r="N352" s="19"/>
      <c r="O352" s="131"/>
      <c r="P352" s="128"/>
      <c r="Q352" s="30"/>
      <c r="R352" s="29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133"/>
      <c r="M353" s="135"/>
      <c r="N353" s="19"/>
      <c r="O353" s="131"/>
      <c r="P353" s="128"/>
      <c r="Q353" s="30"/>
      <c r="R353" s="29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133"/>
      <c r="M354" s="135"/>
      <c r="N354" s="19"/>
      <c r="O354" s="131"/>
      <c r="P354" s="128"/>
      <c r="Q354" s="30"/>
      <c r="R354" s="29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133"/>
      <c r="M355" s="135"/>
      <c r="N355" s="19"/>
      <c r="O355" s="131"/>
      <c r="P355" s="128"/>
      <c r="Q355" s="30"/>
      <c r="R355" s="29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133"/>
      <c r="M356" s="135"/>
      <c r="N356" s="19"/>
      <c r="O356" s="131"/>
      <c r="P356" s="128"/>
      <c r="Q356" s="30"/>
      <c r="R356" s="29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133"/>
      <c r="M357" s="135"/>
      <c r="N357" s="19"/>
      <c r="O357" s="131"/>
      <c r="P357" s="128"/>
      <c r="Q357" s="30"/>
      <c r="R357" s="29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133"/>
      <c r="M358" s="135"/>
      <c r="N358" s="19"/>
      <c r="O358" s="131"/>
      <c r="P358" s="128"/>
      <c r="Q358" s="30"/>
      <c r="R358" s="29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133"/>
      <c r="M359" s="135"/>
      <c r="N359" s="19"/>
      <c r="O359" s="131"/>
      <c r="P359" s="128"/>
      <c r="Q359" s="30"/>
      <c r="R359" s="29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133"/>
      <c r="M360" s="135"/>
      <c r="N360" s="19"/>
      <c r="O360" s="131"/>
      <c r="P360" s="128"/>
      <c r="Q360" s="30"/>
      <c r="R360" s="29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133"/>
      <c r="M361" s="135"/>
      <c r="N361" s="19"/>
      <c r="O361" s="131"/>
      <c r="P361" s="128"/>
      <c r="Q361" s="30"/>
      <c r="R361" s="29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133"/>
      <c r="M362" s="135"/>
      <c r="N362" s="19"/>
      <c r="O362" s="131"/>
      <c r="P362" s="128"/>
      <c r="Q362" s="30"/>
      <c r="R362" s="29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133"/>
      <c r="M363" s="135"/>
      <c r="N363" s="19"/>
      <c r="O363" s="131"/>
      <c r="P363" s="128"/>
      <c r="Q363" s="30"/>
      <c r="R363" s="29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133"/>
      <c r="M364" s="135"/>
      <c r="N364" s="19"/>
      <c r="O364" s="131"/>
      <c r="P364" s="128"/>
      <c r="Q364" s="30"/>
      <c r="R364" s="29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133"/>
      <c r="M365" s="135"/>
      <c r="N365" s="19"/>
      <c r="O365" s="131"/>
      <c r="P365" s="128"/>
      <c r="Q365" s="30"/>
      <c r="R365" s="29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133"/>
      <c r="M366" s="135"/>
      <c r="N366" s="19"/>
      <c r="O366" s="131"/>
      <c r="P366" s="128"/>
      <c r="Q366" s="30"/>
      <c r="R366" s="29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133"/>
      <c r="M367" s="135"/>
      <c r="N367" s="19"/>
      <c r="O367" s="131"/>
      <c r="P367" s="128"/>
      <c r="Q367" s="30"/>
      <c r="R367" s="29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133"/>
      <c r="M368" s="135"/>
      <c r="N368" s="19"/>
      <c r="O368" s="131"/>
      <c r="P368" s="128"/>
      <c r="Q368" s="30"/>
      <c r="R368" s="29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133"/>
      <c r="M369" s="135"/>
      <c r="N369" s="19"/>
      <c r="O369" s="131"/>
      <c r="P369" s="128"/>
      <c r="Q369" s="30"/>
      <c r="R369" s="29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133"/>
      <c r="M370" s="135"/>
      <c r="N370" s="19"/>
      <c r="O370" s="131"/>
      <c r="P370" s="128"/>
      <c r="Q370" s="30"/>
      <c r="R370" s="29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133"/>
      <c r="M371" s="135"/>
      <c r="N371" s="19"/>
      <c r="O371" s="131"/>
      <c r="P371" s="128"/>
      <c r="Q371" s="30"/>
      <c r="R371" s="29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133"/>
      <c r="M372" s="135"/>
      <c r="N372" s="19"/>
      <c r="O372" s="131"/>
      <c r="P372" s="128"/>
      <c r="Q372" s="30"/>
      <c r="R372" s="29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133"/>
      <c r="M373" s="135"/>
      <c r="N373" s="19"/>
      <c r="O373" s="131"/>
      <c r="P373" s="128"/>
      <c r="Q373" s="30"/>
      <c r="R373" s="29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133"/>
      <c r="M374" s="135"/>
      <c r="N374" s="19"/>
      <c r="O374" s="131"/>
      <c r="P374" s="128"/>
      <c r="Q374" s="30"/>
      <c r="R374" s="29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133"/>
      <c r="M375" s="135"/>
      <c r="N375" s="19"/>
      <c r="O375" s="131"/>
      <c r="P375" s="128"/>
      <c r="Q375" s="30"/>
      <c r="R375" s="29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133"/>
      <c r="M376" s="135"/>
      <c r="N376" s="19"/>
      <c r="O376" s="131"/>
      <c r="P376" s="128"/>
      <c r="Q376" s="30"/>
      <c r="R376" s="29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133"/>
      <c r="M377" s="135"/>
      <c r="N377" s="19"/>
      <c r="O377" s="131"/>
      <c r="P377" s="128"/>
      <c r="Q377" s="30"/>
      <c r="R377" s="29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133"/>
      <c r="M378" s="135"/>
      <c r="N378" s="19"/>
      <c r="O378" s="131"/>
      <c r="P378" s="128"/>
      <c r="Q378" s="30"/>
      <c r="R378" s="29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133"/>
      <c r="M379" s="135"/>
      <c r="N379" s="19"/>
      <c r="O379" s="131"/>
      <c r="P379" s="128"/>
      <c r="Q379" s="30"/>
      <c r="R379" s="29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133"/>
      <c r="M380" s="135"/>
      <c r="N380" s="19"/>
      <c r="O380" s="131"/>
      <c r="P380" s="128"/>
      <c r="Q380" s="30"/>
      <c r="R380" s="29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133"/>
      <c r="M381" s="135"/>
      <c r="N381" s="19"/>
      <c r="O381" s="131"/>
      <c r="P381" s="128"/>
      <c r="Q381" s="30"/>
      <c r="R381" s="29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133"/>
      <c r="M382" s="135"/>
      <c r="N382" s="19"/>
      <c r="O382" s="131"/>
      <c r="P382" s="128"/>
      <c r="Q382" s="30"/>
      <c r="R382" s="29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133"/>
      <c r="M383" s="135"/>
      <c r="N383" s="19"/>
      <c r="O383" s="131"/>
      <c r="P383" s="128"/>
      <c r="Q383" s="30"/>
      <c r="R383" s="29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133"/>
      <c r="M384" s="135"/>
      <c r="N384" s="19"/>
      <c r="O384" s="131"/>
      <c r="P384" s="128"/>
      <c r="Q384" s="30"/>
      <c r="R384" s="29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133"/>
      <c r="M385" s="135"/>
      <c r="N385" s="19"/>
      <c r="O385" s="131"/>
      <c r="P385" s="128"/>
      <c r="Q385" s="30"/>
      <c r="R385" s="29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133"/>
      <c r="M386" s="135"/>
      <c r="N386" s="19"/>
      <c r="O386" s="131"/>
      <c r="P386" s="128"/>
      <c r="Q386" s="30"/>
      <c r="R386" s="29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133"/>
      <c r="M387" s="135"/>
      <c r="N387" s="19"/>
      <c r="O387" s="131"/>
      <c r="P387" s="128"/>
      <c r="Q387" s="30"/>
      <c r="R387" s="29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133"/>
      <c r="M388" s="135"/>
      <c r="N388" s="19"/>
      <c r="O388" s="131"/>
      <c r="P388" s="128"/>
      <c r="Q388" s="30"/>
      <c r="R388" s="29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133"/>
      <c r="M389" s="135"/>
      <c r="N389" s="19"/>
      <c r="O389" s="131"/>
      <c r="P389" s="128"/>
      <c r="Q389" s="30"/>
      <c r="R389" s="29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133"/>
      <c r="M390" s="135"/>
      <c r="N390" s="19"/>
      <c r="O390" s="131"/>
      <c r="P390" s="128"/>
      <c r="Q390" s="30"/>
      <c r="R390" s="29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133"/>
      <c r="M391" s="135"/>
      <c r="N391" s="19"/>
      <c r="O391" s="131"/>
      <c r="P391" s="128"/>
      <c r="Q391" s="30"/>
      <c r="R391" s="29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133"/>
      <c r="M392" s="135"/>
      <c r="N392" s="19"/>
      <c r="O392" s="131"/>
      <c r="P392" s="128"/>
      <c r="Q392" s="30"/>
      <c r="R392" s="29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133"/>
      <c r="M393" s="135"/>
      <c r="N393" s="19"/>
      <c r="O393" s="131"/>
      <c r="P393" s="128"/>
      <c r="Q393" s="30"/>
      <c r="R393" s="29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133"/>
      <c r="M394" s="135"/>
      <c r="N394" s="19"/>
      <c r="O394" s="131"/>
      <c r="P394" s="128"/>
      <c r="Q394" s="30"/>
      <c r="R394" s="29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133"/>
      <c r="M395" s="135"/>
      <c r="N395" s="19"/>
      <c r="O395" s="131"/>
      <c r="P395" s="128"/>
      <c r="Q395" s="30"/>
      <c r="R395" s="29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133"/>
      <c r="M396" s="135"/>
      <c r="N396" s="19"/>
      <c r="O396" s="131"/>
      <c r="P396" s="128"/>
      <c r="Q396" s="30"/>
      <c r="R396" s="29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133"/>
      <c r="M397" s="135"/>
      <c r="N397" s="19"/>
      <c r="O397" s="131"/>
      <c r="P397" s="128"/>
      <c r="Q397" s="30"/>
      <c r="R397" s="29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133"/>
      <c r="M398" s="135"/>
      <c r="N398" s="19"/>
      <c r="O398" s="131"/>
      <c r="P398" s="128"/>
      <c r="Q398" s="30"/>
      <c r="R398" s="29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133"/>
      <c r="M399" s="135"/>
      <c r="N399" s="19"/>
      <c r="O399" s="131"/>
      <c r="P399" s="128"/>
      <c r="Q399" s="30"/>
      <c r="R399" s="29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133"/>
      <c r="M400" s="135"/>
      <c r="N400" s="19"/>
      <c r="O400" s="131"/>
      <c r="P400" s="128"/>
      <c r="Q400" s="30"/>
      <c r="R400" s="29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133"/>
      <c r="M401" s="135"/>
      <c r="N401" s="19"/>
      <c r="O401" s="131"/>
      <c r="P401" s="128"/>
      <c r="Q401" s="30"/>
      <c r="R401" s="29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133"/>
      <c r="M402" s="135"/>
      <c r="N402" s="19"/>
      <c r="O402" s="131"/>
      <c r="P402" s="128"/>
      <c r="Q402" s="30"/>
      <c r="R402" s="29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133"/>
      <c r="M403" s="135"/>
      <c r="N403" s="19"/>
      <c r="O403" s="131"/>
      <c r="P403" s="128"/>
      <c r="Q403" s="30"/>
      <c r="R403" s="29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133"/>
      <c r="M404" s="135"/>
      <c r="N404" s="19"/>
      <c r="O404" s="131"/>
      <c r="P404" s="128"/>
      <c r="Q404" s="30"/>
      <c r="R404" s="29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133"/>
      <c r="M405" s="135"/>
      <c r="N405" s="19"/>
      <c r="O405" s="131"/>
      <c r="P405" s="128"/>
      <c r="Q405" s="30"/>
      <c r="R405" s="29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133"/>
      <c r="M406" s="135"/>
      <c r="N406" s="19"/>
      <c r="O406" s="131"/>
      <c r="P406" s="128"/>
      <c r="Q406" s="30"/>
      <c r="R406" s="29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133"/>
      <c r="M407" s="135"/>
      <c r="N407" s="19"/>
      <c r="O407" s="131"/>
      <c r="P407" s="128"/>
      <c r="Q407" s="30"/>
      <c r="R407" s="29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133"/>
      <c r="M408" s="135"/>
      <c r="N408" s="19"/>
      <c r="O408" s="131"/>
      <c r="P408" s="128"/>
      <c r="Q408" s="30"/>
      <c r="R408" s="29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133"/>
      <c r="M409" s="135"/>
      <c r="N409" s="19"/>
      <c r="O409" s="131"/>
      <c r="P409" s="128"/>
      <c r="Q409" s="30"/>
      <c r="R409" s="29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133"/>
      <c r="M410" s="135"/>
      <c r="N410" s="19"/>
      <c r="O410" s="131"/>
      <c r="P410" s="128"/>
      <c r="Q410" s="30"/>
      <c r="R410" s="29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133"/>
      <c r="M411" s="135"/>
      <c r="N411" s="19"/>
      <c r="O411" s="131"/>
      <c r="P411" s="128"/>
      <c r="Q411" s="30"/>
      <c r="R411" s="29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133"/>
      <c r="M412" s="135"/>
      <c r="N412" s="19"/>
      <c r="O412" s="131"/>
      <c r="P412" s="128"/>
      <c r="Q412" s="30"/>
      <c r="R412" s="29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133"/>
      <c r="M413" s="135"/>
      <c r="N413" s="19"/>
      <c r="O413" s="131"/>
      <c r="P413" s="128"/>
      <c r="Q413" s="30"/>
      <c r="R413" s="29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133"/>
      <c r="M414" s="135"/>
      <c r="N414" s="19"/>
      <c r="O414" s="131"/>
      <c r="P414" s="128"/>
      <c r="Q414" s="30"/>
      <c r="R414" s="29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133"/>
      <c r="M415" s="135"/>
      <c r="N415" s="19"/>
      <c r="O415" s="131"/>
      <c r="P415" s="128"/>
      <c r="Q415" s="30"/>
      <c r="R415" s="29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133"/>
      <c r="M416" s="135"/>
      <c r="N416" s="19"/>
      <c r="O416" s="131"/>
      <c r="P416" s="128"/>
      <c r="Q416" s="30"/>
      <c r="R416" s="29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133"/>
      <c r="M417" s="135"/>
      <c r="N417" s="19"/>
      <c r="O417" s="131"/>
      <c r="P417" s="128"/>
      <c r="Q417" s="30"/>
      <c r="R417" s="29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85"/>
      <c r="L418" s="133"/>
      <c r="M418" s="135"/>
      <c r="N418" s="19"/>
      <c r="O418" s="131"/>
      <c r="P418" s="128"/>
      <c r="Q418" s="30"/>
      <c r="R418" s="29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85"/>
      <c r="L419" s="133"/>
      <c r="M419" s="135"/>
      <c r="N419" s="19"/>
      <c r="O419" s="131"/>
      <c r="P419" s="128"/>
      <c r="Q419" s="30"/>
      <c r="R419" s="29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85"/>
      <c r="L420" s="133"/>
      <c r="M420" s="135"/>
      <c r="N420" s="19"/>
      <c r="O420" s="131"/>
      <c r="P420" s="128"/>
      <c r="Q420" s="30"/>
      <c r="R420" s="29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85"/>
      <c r="L421" s="133"/>
      <c r="M421" s="135"/>
      <c r="N421" s="19"/>
      <c r="O421" s="131"/>
      <c r="P421" s="128"/>
      <c r="Q421" s="30"/>
      <c r="R421" s="29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85"/>
      <c r="L422" s="133"/>
      <c r="M422" s="135"/>
      <c r="N422" s="19"/>
      <c r="O422" s="131"/>
      <c r="P422" s="128"/>
      <c r="Q422" s="30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85"/>
      <c r="L423" s="133"/>
      <c r="M423" s="135"/>
      <c r="N423" s="19"/>
      <c r="O423" s="131"/>
      <c r="P423" s="128"/>
      <c r="Q423" s="30"/>
      <c r="R423" s="29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85"/>
      <c r="L424" s="133"/>
      <c r="M424" s="135"/>
      <c r="N424" s="19"/>
      <c r="O424" s="131"/>
      <c r="P424" s="128"/>
      <c r="Q424" s="30"/>
      <c r="R424" s="29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85"/>
      <c r="L425" s="133"/>
      <c r="M425" s="135"/>
      <c r="N425" s="19"/>
      <c r="O425" s="131"/>
      <c r="P425" s="128"/>
      <c r="Q425" s="30"/>
      <c r="R425" s="29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85"/>
      <c r="L426" s="133"/>
      <c r="M426" s="135"/>
      <c r="N426" s="19"/>
      <c r="O426" s="131"/>
      <c r="P426" s="128"/>
      <c r="Q426" s="30"/>
      <c r="R426" s="29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85"/>
      <c r="L427" s="133"/>
      <c r="M427" s="135"/>
      <c r="N427" s="19"/>
      <c r="O427" s="131"/>
      <c r="P427" s="128"/>
      <c r="Q427" s="30"/>
      <c r="R427" s="29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85"/>
      <c r="L428" s="133"/>
      <c r="M428" s="135"/>
      <c r="N428" s="19"/>
      <c r="O428" s="131"/>
      <c r="P428" s="128"/>
      <c r="Q428" s="30"/>
      <c r="R428" s="29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85"/>
      <c r="L429" s="133"/>
      <c r="M429" s="135"/>
      <c r="N429" s="19"/>
      <c r="O429" s="131"/>
      <c r="P429" s="128"/>
      <c r="Q429" s="30"/>
      <c r="R429" s="29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85"/>
      <c r="L430" s="133"/>
      <c r="M430" s="135"/>
      <c r="N430" s="19"/>
      <c r="O430" s="131"/>
      <c r="P430" s="128"/>
      <c r="Q430" s="30"/>
      <c r="R430" s="29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85"/>
      <c r="L431" s="133"/>
      <c r="M431" s="135"/>
      <c r="N431" s="19"/>
      <c r="O431" s="131"/>
      <c r="P431" s="128"/>
      <c r="Q431" s="30"/>
      <c r="R431" s="29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85"/>
      <c r="L432" s="133"/>
      <c r="M432" s="135"/>
      <c r="N432" s="19"/>
      <c r="O432" s="131"/>
      <c r="P432" s="128"/>
      <c r="Q432" s="30"/>
      <c r="R432" s="29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85"/>
      <c r="L433" s="133"/>
      <c r="M433" s="135"/>
      <c r="N433" s="19"/>
      <c r="O433" s="131"/>
      <c r="P433" s="128"/>
      <c r="Q433" s="30"/>
      <c r="R433" s="29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85"/>
      <c r="L434" s="133"/>
      <c r="M434" s="135"/>
      <c r="N434" s="19"/>
      <c r="O434" s="131"/>
      <c r="P434" s="128"/>
      <c r="Q434" s="30"/>
      <c r="R434" s="29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85"/>
      <c r="L435" s="133"/>
      <c r="M435" s="135"/>
      <c r="N435" s="19"/>
      <c r="O435" s="131"/>
      <c r="P435" s="128"/>
      <c r="Q435" s="30"/>
      <c r="R435" s="29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85"/>
      <c r="L436" s="133"/>
      <c r="M436" s="135"/>
      <c r="N436" s="19"/>
      <c r="O436" s="131"/>
      <c r="P436" s="128"/>
      <c r="Q436" s="30"/>
      <c r="R436" s="29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85"/>
      <c r="L437" s="133"/>
      <c r="M437" s="135"/>
      <c r="N437" s="19"/>
      <c r="O437" s="131"/>
      <c r="P437" s="128"/>
      <c r="Q437" s="30"/>
      <c r="R437" s="29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85"/>
      <c r="L438" s="133"/>
      <c r="M438" s="135"/>
      <c r="N438" s="19"/>
      <c r="O438" s="131"/>
      <c r="P438" s="128"/>
      <c r="Q438" s="30"/>
      <c r="R438" s="29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85"/>
      <c r="L439" s="133"/>
      <c r="M439" s="135"/>
      <c r="N439" s="19"/>
      <c r="O439" s="131"/>
      <c r="P439" s="128"/>
      <c r="Q439" s="30"/>
      <c r="R439" s="29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85"/>
      <c r="L440" s="133"/>
      <c r="M440" s="135"/>
      <c r="N440" s="19"/>
      <c r="O440" s="131"/>
      <c r="P440" s="128"/>
      <c r="Q440" s="30"/>
      <c r="R440" s="29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85"/>
      <c r="L441" s="133"/>
      <c r="M441" s="135"/>
      <c r="N441" s="19"/>
      <c r="O441" s="131"/>
      <c r="P441" s="128"/>
      <c r="Q441" s="30"/>
      <c r="R441" s="29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85"/>
      <c r="L442" s="133"/>
      <c r="M442" s="135"/>
      <c r="N442" s="19"/>
      <c r="O442" s="131"/>
      <c r="P442" s="128"/>
      <c r="Q442" s="30"/>
      <c r="R442" s="29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85"/>
      <c r="L443" s="133"/>
      <c r="M443" s="135"/>
      <c r="N443" s="19"/>
      <c r="O443" s="131"/>
      <c r="P443" s="128"/>
      <c r="Q443" s="30"/>
      <c r="R443" s="29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85"/>
      <c r="L444" s="133"/>
      <c r="M444" s="135"/>
      <c r="N444" s="19"/>
      <c r="O444" s="131"/>
      <c r="P444" s="128"/>
      <c r="Q444" s="30"/>
      <c r="R444" s="29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85"/>
      <c r="L445" s="133"/>
      <c r="M445" s="135"/>
      <c r="N445" s="19"/>
      <c r="O445" s="131"/>
      <c r="P445" s="128"/>
      <c r="Q445" s="30"/>
      <c r="R445" s="29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85"/>
      <c r="L446" s="133"/>
      <c r="M446" s="135"/>
      <c r="N446" s="19"/>
      <c r="O446" s="131"/>
      <c r="P446" s="128"/>
      <c r="Q446" s="30"/>
      <c r="R446" s="29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85"/>
      <c r="L447" s="133"/>
      <c r="M447" s="135"/>
      <c r="N447" s="19"/>
      <c r="O447" s="131"/>
      <c r="P447" s="128"/>
      <c r="Q447" s="30"/>
      <c r="R447" s="29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85"/>
      <c r="L448" s="133"/>
      <c r="M448" s="135"/>
      <c r="N448" s="19"/>
      <c r="O448" s="131"/>
      <c r="P448" s="128"/>
      <c r="Q448" s="30"/>
      <c r="R448" s="29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85"/>
      <c r="L449" s="133"/>
      <c r="M449" s="135"/>
      <c r="N449" s="19"/>
      <c r="O449" s="131"/>
      <c r="P449" s="128"/>
      <c r="Q449" s="30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85"/>
      <c r="L450" s="133"/>
      <c r="M450" s="135"/>
      <c r="N450" s="19"/>
      <c r="O450" s="131"/>
      <c r="P450" s="128"/>
      <c r="Q450" s="30"/>
      <c r="R450" s="29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85"/>
      <c r="L451" s="133"/>
      <c r="M451" s="135"/>
      <c r="N451" s="19"/>
      <c r="O451" s="131"/>
      <c r="P451" s="128"/>
      <c r="Q451" s="30"/>
      <c r="R451" s="29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85"/>
      <c r="L452" s="133"/>
      <c r="M452" s="135"/>
      <c r="N452" s="19"/>
      <c r="O452" s="131"/>
      <c r="P452" s="128"/>
      <c r="Q452" s="30"/>
      <c r="R452" s="29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85"/>
      <c r="L453" s="133"/>
      <c r="M453" s="135"/>
      <c r="N453" s="19"/>
      <c r="O453" s="131"/>
      <c r="P453" s="128"/>
      <c r="Q453" s="30"/>
      <c r="R453" s="29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85"/>
      <c r="L454" s="133"/>
      <c r="M454" s="135"/>
      <c r="N454" s="19"/>
      <c r="O454" s="131"/>
      <c r="P454" s="128"/>
      <c r="Q454" s="30"/>
      <c r="R454" s="29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85"/>
      <c r="L455" s="133"/>
      <c r="M455" s="135"/>
      <c r="N455" s="19"/>
      <c r="O455" s="131"/>
      <c r="P455" s="128"/>
      <c r="Q455" s="30"/>
      <c r="R455" s="29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85"/>
      <c r="L456" s="133"/>
      <c r="M456" s="135"/>
      <c r="N456" s="19"/>
      <c r="O456" s="131"/>
      <c r="P456" s="128"/>
      <c r="Q456" s="30"/>
      <c r="R456" s="29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85"/>
      <c r="L457" s="133"/>
      <c r="M457" s="135"/>
      <c r="N457" s="19"/>
      <c r="O457" s="131"/>
      <c r="P457" s="128"/>
      <c r="Q457" s="30"/>
      <c r="R457" s="29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85"/>
      <c r="L458" s="133"/>
      <c r="M458" s="135"/>
      <c r="N458" s="19"/>
      <c r="O458" s="131"/>
      <c r="P458" s="128"/>
      <c r="Q458" s="30"/>
      <c r="R458" s="29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85"/>
      <c r="L459" s="133"/>
      <c r="M459" s="135"/>
      <c r="N459" s="19"/>
      <c r="O459" s="131"/>
      <c r="P459" s="128"/>
      <c r="Q459" s="30"/>
      <c r="R459" s="29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85"/>
      <c r="L460" s="133"/>
      <c r="M460" s="135"/>
      <c r="N460" s="19"/>
      <c r="O460" s="131"/>
      <c r="P460" s="128"/>
      <c r="Q460" s="30"/>
      <c r="R460" s="29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85"/>
      <c r="L461" s="133"/>
      <c r="M461" s="135"/>
      <c r="N461" s="19"/>
      <c r="O461" s="131"/>
      <c r="P461" s="128"/>
      <c r="Q461" s="30"/>
      <c r="R461" s="29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85"/>
      <c r="L462" s="133"/>
      <c r="M462" s="135"/>
      <c r="N462" s="19"/>
      <c r="O462" s="131"/>
      <c r="P462" s="128"/>
      <c r="Q462" s="30"/>
      <c r="R462" s="29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85"/>
      <c r="L463" s="133"/>
      <c r="M463" s="135"/>
      <c r="N463" s="19"/>
      <c r="O463" s="131"/>
      <c r="P463" s="128"/>
      <c r="Q463" s="30"/>
      <c r="R463" s="29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85"/>
      <c r="L464" s="133"/>
      <c r="M464" s="135"/>
      <c r="N464" s="19"/>
      <c r="O464" s="131"/>
      <c r="P464" s="128"/>
      <c r="Q464" s="30"/>
      <c r="R464" s="29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85"/>
      <c r="L465" s="133"/>
      <c r="M465" s="135"/>
      <c r="N465" s="19"/>
      <c r="O465" s="131"/>
      <c r="P465" s="128"/>
      <c r="Q465" s="30"/>
      <c r="R465" s="29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85"/>
      <c r="L466" s="133"/>
      <c r="M466" s="135"/>
      <c r="N466" s="19"/>
      <c r="O466" s="131"/>
      <c r="P466" s="128"/>
      <c r="Q466" s="30"/>
      <c r="R466" s="29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85"/>
      <c r="L467" s="133"/>
      <c r="M467" s="135"/>
      <c r="N467" s="19"/>
      <c r="O467" s="131"/>
      <c r="P467" s="128"/>
      <c r="Q467" s="30"/>
      <c r="R467" s="29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85"/>
      <c r="L468" s="133"/>
      <c r="M468" s="135"/>
      <c r="N468" s="19"/>
      <c r="O468" s="131"/>
      <c r="P468" s="128"/>
      <c r="Q468" s="30"/>
      <c r="R468" s="29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85"/>
      <c r="L469" s="133"/>
      <c r="M469" s="135"/>
      <c r="N469" s="19"/>
      <c r="O469" s="131"/>
      <c r="P469" s="128"/>
      <c r="Q469" s="30"/>
      <c r="R469" s="29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85"/>
      <c r="L470" s="133"/>
      <c r="M470" s="135"/>
      <c r="N470" s="19"/>
      <c r="O470" s="131"/>
      <c r="P470" s="128"/>
      <c r="Q470" s="30"/>
      <c r="R470" s="29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85"/>
      <c r="L471" s="133"/>
      <c r="M471" s="135"/>
      <c r="N471" s="19"/>
      <c r="O471" s="131"/>
      <c r="P471" s="128"/>
      <c r="Q471" s="30"/>
      <c r="R471" s="29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85"/>
      <c r="L472" s="133"/>
      <c r="M472" s="135"/>
      <c r="N472" s="19"/>
      <c r="O472" s="131"/>
      <c r="P472" s="128"/>
      <c r="Q472" s="30"/>
      <c r="R472" s="29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85"/>
      <c r="L473" s="133"/>
      <c r="M473" s="135"/>
      <c r="N473" s="19"/>
      <c r="O473" s="131"/>
      <c r="P473" s="128"/>
      <c r="Q473" s="30"/>
      <c r="R473" s="29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85"/>
      <c r="L474" s="133"/>
      <c r="M474" s="135"/>
      <c r="N474" s="19"/>
      <c r="O474" s="131"/>
      <c r="P474" s="128"/>
      <c r="Q474" s="30"/>
      <c r="R474" s="29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85"/>
      <c r="L475" s="133"/>
      <c r="M475" s="135"/>
      <c r="N475" s="19"/>
      <c r="O475" s="131"/>
      <c r="P475" s="128"/>
      <c r="Q475" s="30"/>
      <c r="R475" s="29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85"/>
      <c r="L476" s="133"/>
      <c r="M476" s="135"/>
      <c r="N476" s="19"/>
      <c r="O476" s="131"/>
      <c r="P476" s="128"/>
      <c r="Q476" s="30"/>
      <c r="R476" s="29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85"/>
      <c r="L477" s="133"/>
      <c r="M477" s="135"/>
      <c r="N477" s="19"/>
      <c r="O477" s="131"/>
      <c r="P477" s="128"/>
      <c r="Q477" s="30"/>
      <c r="R477" s="29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85"/>
      <c r="L478" s="133"/>
      <c r="M478" s="135"/>
      <c r="N478" s="19"/>
      <c r="O478" s="131"/>
      <c r="P478" s="128"/>
      <c r="Q478" s="30"/>
      <c r="R478" s="29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85"/>
      <c r="L479" s="133"/>
      <c r="M479" s="135"/>
      <c r="N479" s="19"/>
      <c r="O479" s="131"/>
      <c r="P479" s="128"/>
      <c r="Q479" s="30"/>
      <c r="R479" s="29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85"/>
      <c r="L480" s="133"/>
      <c r="M480" s="135"/>
      <c r="N480" s="19"/>
      <c r="O480" s="131"/>
      <c r="P480" s="128"/>
      <c r="Q480" s="30"/>
      <c r="R480" s="29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85"/>
      <c r="L481" s="133"/>
      <c r="M481" s="135"/>
      <c r="N481" s="19"/>
      <c r="O481" s="131"/>
      <c r="P481" s="128"/>
      <c r="Q481" s="30"/>
      <c r="R481" s="29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85"/>
      <c r="L482" s="133"/>
      <c r="M482" s="135"/>
      <c r="N482" s="19"/>
      <c r="O482" s="131"/>
      <c r="P482" s="128"/>
      <c r="Q482" s="30"/>
      <c r="R482" s="29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85"/>
      <c r="L483" s="133"/>
      <c r="M483" s="135"/>
      <c r="N483" s="19"/>
      <c r="O483" s="131"/>
      <c r="P483" s="128"/>
      <c r="Q483" s="30"/>
      <c r="R483" s="29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85"/>
      <c r="L484" s="133"/>
      <c r="M484" s="135"/>
      <c r="N484" s="19"/>
      <c r="O484" s="131"/>
      <c r="P484" s="128"/>
      <c r="Q484" s="30"/>
      <c r="R484" s="29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85"/>
      <c r="L485" s="133"/>
      <c r="M485" s="135"/>
      <c r="N485" s="19"/>
      <c r="O485" s="131"/>
      <c r="P485" s="128"/>
      <c r="Q485" s="30"/>
      <c r="R485" s="29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85"/>
      <c r="L486" s="133"/>
      <c r="M486" s="135"/>
      <c r="N486" s="19"/>
      <c r="O486" s="131"/>
      <c r="P486" s="128"/>
      <c r="Q486" s="30"/>
      <c r="R486" s="29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85"/>
      <c r="L487" s="133"/>
      <c r="M487" s="135"/>
      <c r="N487" s="19"/>
      <c r="O487" s="131"/>
      <c r="P487" s="128"/>
      <c r="Q487" s="30"/>
      <c r="R487" s="29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85"/>
      <c r="L488" s="133"/>
      <c r="M488" s="135"/>
      <c r="N488" s="19"/>
      <c r="O488" s="131"/>
      <c r="P488" s="128"/>
      <c r="Q488" s="30"/>
      <c r="R488" s="29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85"/>
      <c r="L489" s="133"/>
      <c r="M489" s="135"/>
      <c r="N489" s="19"/>
      <c r="O489" s="131"/>
      <c r="P489" s="128"/>
      <c r="Q489" s="30"/>
      <c r="R489" s="29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85"/>
      <c r="L490" s="133"/>
      <c r="M490" s="135"/>
      <c r="N490" s="19"/>
      <c r="O490" s="131"/>
      <c r="P490" s="128"/>
      <c r="Q490" s="30"/>
      <c r="R490" s="29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85"/>
      <c r="L491" s="133"/>
      <c r="M491" s="135"/>
      <c r="N491" s="19"/>
      <c r="O491" s="131"/>
      <c r="P491" s="128"/>
      <c r="Q491" s="30"/>
      <c r="R491" s="29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85"/>
      <c r="L492" s="133"/>
      <c r="M492" s="135"/>
      <c r="N492" s="19"/>
      <c r="O492" s="131"/>
      <c r="P492" s="128"/>
      <c r="Q492" s="30"/>
      <c r="R492" s="29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85"/>
      <c r="L493" s="133"/>
      <c r="M493" s="135"/>
      <c r="N493" s="19"/>
      <c r="O493" s="131"/>
      <c r="P493" s="128"/>
      <c r="Q493" s="30"/>
      <c r="R493" s="29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85"/>
      <c r="L494" s="133"/>
      <c r="M494" s="135"/>
      <c r="N494" s="19"/>
      <c r="O494" s="131"/>
      <c r="P494" s="128"/>
      <c r="Q494" s="30"/>
      <c r="R494" s="29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85"/>
      <c r="L495" s="133"/>
      <c r="M495" s="135"/>
      <c r="N495" s="19"/>
      <c r="O495" s="131"/>
      <c r="P495" s="128"/>
      <c r="Q495" s="30"/>
      <c r="R495" s="29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85"/>
      <c r="L496" s="133"/>
      <c r="M496" s="135"/>
      <c r="N496" s="19"/>
      <c r="O496" s="131"/>
      <c r="P496" s="128"/>
      <c r="Q496" s="30"/>
      <c r="R496" s="29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85"/>
      <c r="L497" s="133"/>
      <c r="M497" s="135"/>
      <c r="N497" s="19"/>
      <c r="O497" s="131"/>
      <c r="P497" s="128"/>
      <c r="Q497" s="30"/>
      <c r="R497" s="29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85"/>
      <c r="L498" s="133"/>
      <c r="M498" s="135"/>
      <c r="N498" s="19"/>
      <c r="O498" s="131"/>
      <c r="P498" s="128"/>
      <c r="Q498" s="30"/>
      <c r="R498" s="29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85"/>
      <c r="L499" s="133"/>
      <c r="M499" s="135"/>
      <c r="N499" s="19"/>
      <c r="O499" s="131"/>
      <c r="P499" s="128"/>
      <c r="Q499" s="30"/>
      <c r="R499" s="29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85"/>
      <c r="L500" s="133"/>
      <c r="M500" s="135"/>
      <c r="N500" s="19"/>
      <c r="O500" s="131"/>
      <c r="P500" s="128"/>
      <c r="Q500" s="30"/>
      <c r="R500" s="29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85"/>
      <c r="L501" s="133"/>
      <c r="M501" s="135"/>
      <c r="N501" s="19"/>
      <c r="O501" s="131"/>
      <c r="P501" s="128"/>
      <c r="Q501" s="30"/>
      <c r="R501" s="29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85"/>
      <c r="L502" s="133"/>
      <c r="M502" s="135"/>
      <c r="N502" s="19"/>
      <c r="O502" s="131"/>
      <c r="P502" s="128"/>
      <c r="Q502" s="30"/>
      <c r="R502" s="29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85"/>
      <c r="L503" s="133"/>
      <c r="M503" s="135"/>
      <c r="N503" s="19"/>
      <c r="O503" s="131"/>
      <c r="P503" s="128"/>
      <c r="Q503" s="30"/>
      <c r="R503" s="29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85"/>
      <c r="L504" s="133"/>
      <c r="M504" s="135"/>
      <c r="N504" s="19"/>
      <c r="O504" s="131"/>
      <c r="P504" s="128"/>
      <c r="Q504" s="30"/>
      <c r="R504" s="29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85"/>
      <c r="L505" s="133"/>
      <c r="M505" s="135"/>
      <c r="N505" s="19"/>
      <c r="O505" s="131"/>
      <c r="P505" s="128"/>
      <c r="Q505" s="30"/>
      <c r="R505" s="29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85"/>
      <c r="L506" s="133"/>
      <c r="M506" s="135"/>
      <c r="N506" s="19"/>
      <c r="O506" s="131"/>
      <c r="P506" s="128"/>
      <c r="Q506" s="30"/>
      <c r="R506" s="29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85"/>
      <c r="L507" s="133"/>
      <c r="M507" s="135"/>
      <c r="N507" s="19"/>
      <c r="O507" s="131"/>
      <c r="P507" s="128"/>
      <c r="Q507" s="30"/>
      <c r="R507" s="29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85"/>
      <c r="L508" s="133"/>
      <c r="M508" s="135"/>
      <c r="N508" s="19"/>
      <c r="O508" s="131"/>
      <c r="P508" s="128"/>
      <c r="Q508" s="30"/>
      <c r="R508" s="29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85"/>
      <c r="L509" s="133"/>
      <c r="M509" s="135"/>
      <c r="N509" s="19"/>
      <c r="O509" s="131"/>
      <c r="P509" s="128"/>
      <c r="Q509" s="30"/>
      <c r="R509" s="29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85"/>
      <c r="L510" s="133"/>
      <c r="M510" s="135"/>
      <c r="N510" s="19"/>
      <c r="O510" s="131"/>
      <c r="P510" s="128"/>
      <c r="Q510" s="30"/>
      <c r="R510" s="29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85"/>
      <c r="L511" s="133"/>
      <c r="M511" s="135"/>
      <c r="N511" s="19"/>
      <c r="O511" s="131"/>
      <c r="P511" s="128"/>
      <c r="Q511" s="30"/>
      <c r="R511" s="29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85"/>
      <c r="L512" s="133"/>
      <c r="M512" s="135"/>
      <c r="N512" s="19"/>
      <c r="O512" s="131"/>
      <c r="P512" s="128"/>
      <c r="Q512" s="30"/>
      <c r="R512" s="29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85"/>
      <c r="L513" s="133"/>
      <c r="M513" s="135"/>
      <c r="N513" s="19"/>
      <c r="O513" s="131"/>
      <c r="P513" s="128"/>
      <c r="Q513" s="30"/>
      <c r="R513" s="29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85"/>
      <c r="L514" s="133"/>
      <c r="M514" s="135"/>
      <c r="N514" s="19"/>
      <c r="O514" s="131"/>
      <c r="P514" s="128"/>
      <c r="Q514" s="30"/>
      <c r="R514" s="29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85"/>
      <c r="L515" s="133"/>
      <c r="M515" s="135"/>
      <c r="N515" s="19"/>
      <c r="O515" s="131"/>
      <c r="P515" s="128"/>
      <c r="Q515" s="30"/>
      <c r="R515" s="29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85"/>
      <c r="L516" s="133"/>
      <c r="M516" s="135"/>
      <c r="N516" s="19"/>
      <c r="O516" s="131"/>
      <c r="P516" s="128"/>
      <c r="Q516" s="30"/>
      <c r="R516" s="29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85"/>
      <c r="L517" s="133"/>
      <c r="M517" s="135"/>
      <c r="N517" s="19"/>
      <c r="O517" s="131"/>
      <c r="P517" s="128"/>
      <c r="Q517" s="30"/>
      <c r="R517" s="29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85"/>
      <c r="L518" s="133"/>
      <c r="M518" s="135"/>
      <c r="N518" s="19"/>
      <c r="O518" s="131"/>
      <c r="P518" s="128"/>
      <c r="Q518" s="30"/>
      <c r="R518" s="29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85"/>
      <c r="L519" s="133"/>
      <c r="M519" s="135"/>
      <c r="N519" s="19"/>
      <c r="O519" s="131"/>
      <c r="P519" s="128"/>
      <c r="Q519" s="30"/>
      <c r="R519" s="29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85"/>
      <c r="L520" s="133"/>
      <c r="M520" s="135"/>
      <c r="N520" s="19"/>
      <c r="O520" s="131"/>
      <c r="P520" s="128"/>
      <c r="Q520" s="30"/>
      <c r="R520" s="29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85"/>
      <c r="L521" s="133"/>
      <c r="M521" s="135"/>
      <c r="N521" s="19"/>
      <c r="O521" s="131"/>
      <c r="P521" s="128"/>
      <c r="Q521" s="30"/>
      <c r="R521" s="29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85"/>
      <c r="L522" s="133"/>
      <c r="M522" s="135"/>
      <c r="N522" s="19"/>
      <c r="O522" s="131"/>
      <c r="P522" s="128"/>
      <c r="Q522" s="30"/>
      <c r="R522" s="29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85"/>
      <c r="L523" s="133"/>
      <c r="M523" s="135"/>
      <c r="N523" s="19"/>
      <c r="O523" s="131"/>
      <c r="P523" s="128"/>
      <c r="Q523" s="30"/>
      <c r="R523" s="29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85"/>
      <c r="L524" s="133"/>
      <c r="M524" s="135"/>
      <c r="N524" s="19"/>
      <c r="O524" s="131"/>
      <c r="P524" s="128"/>
      <c r="Q524" s="30"/>
      <c r="R524" s="29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85"/>
      <c r="L525" s="133"/>
      <c r="M525" s="135"/>
      <c r="N525" s="19"/>
      <c r="O525" s="131"/>
      <c r="P525" s="128"/>
      <c r="Q525" s="30"/>
      <c r="R525" s="29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85"/>
      <c r="L526" s="133"/>
      <c r="M526" s="135"/>
      <c r="N526" s="19"/>
      <c r="O526" s="131"/>
      <c r="P526" s="128"/>
      <c r="Q526" s="30"/>
      <c r="R526" s="29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85"/>
      <c r="L527" s="133"/>
      <c r="M527" s="135"/>
      <c r="N527" s="19"/>
      <c r="O527" s="131"/>
      <c r="P527" s="128"/>
      <c r="Q527" s="30"/>
      <c r="R527" s="29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85"/>
      <c r="L528" s="133"/>
      <c r="M528" s="135"/>
      <c r="N528" s="19"/>
      <c r="O528" s="131"/>
      <c r="P528" s="128"/>
      <c r="Q528" s="30"/>
      <c r="R528" s="29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85"/>
      <c r="L529" s="133"/>
      <c r="M529" s="135"/>
      <c r="N529" s="19"/>
      <c r="O529" s="131"/>
      <c r="P529" s="128"/>
      <c r="Q529" s="30"/>
      <c r="R529" s="29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85"/>
      <c r="L530" s="133"/>
      <c r="M530" s="135"/>
      <c r="N530" s="19"/>
      <c r="O530" s="131"/>
      <c r="P530" s="128"/>
      <c r="Q530" s="30"/>
      <c r="R530" s="29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85"/>
      <c r="L531" s="133"/>
      <c r="M531" s="135"/>
      <c r="N531" s="19"/>
      <c r="O531" s="131"/>
      <c r="P531" s="128"/>
      <c r="Q531" s="30"/>
      <c r="R531" s="29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85"/>
      <c r="L532" s="133"/>
      <c r="M532" s="135"/>
      <c r="N532" s="19"/>
      <c r="O532" s="131"/>
      <c r="P532" s="128"/>
      <c r="Q532" s="30"/>
      <c r="R532" s="29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85"/>
      <c r="L533" s="133"/>
      <c r="M533" s="135"/>
      <c r="N533" s="19"/>
      <c r="O533" s="131"/>
      <c r="P533" s="128"/>
      <c r="Q533" s="30"/>
      <c r="R533" s="29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85"/>
      <c r="L534" s="133"/>
      <c r="M534" s="135"/>
      <c r="N534" s="19"/>
      <c r="O534" s="131"/>
      <c r="P534" s="128"/>
      <c r="Q534" s="30"/>
      <c r="R534" s="29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85"/>
      <c r="L535" s="133"/>
      <c r="M535" s="135"/>
      <c r="N535" s="19"/>
      <c r="O535" s="131"/>
      <c r="P535" s="128"/>
      <c r="Q535" s="30"/>
      <c r="R535" s="29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85"/>
      <c r="L536" s="133"/>
      <c r="M536" s="135"/>
      <c r="N536" s="19"/>
      <c r="O536" s="131"/>
      <c r="P536" s="128"/>
      <c r="Q536" s="30"/>
      <c r="R536" s="29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85"/>
      <c r="L537" s="133"/>
      <c r="M537" s="135"/>
      <c r="N537" s="19"/>
      <c r="O537" s="131"/>
      <c r="P537" s="128"/>
      <c r="Q537" s="30"/>
      <c r="R537" s="29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85"/>
      <c r="L538" s="133"/>
      <c r="M538" s="135"/>
      <c r="N538" s="19"/>
      <c r="O538" s="131"/>
      <c r="P538" s="128"/>
      <c r="Q538" s="30"/>
      <c r="R538" s="29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85"/>
      <c r="L539" s="133"/>
      <c r="M539" s="135"/>
      <c r="N539" s="19"/>
      <c r="O539" s="131"/>
      <c r="P539" s="128"/>
      <c r="Q539" s="30"/>
      <c r="R539" s="29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85"/>
      <c r="L540" s="133"/>
      <c r="M540" s="135"/>
      <c r="N540" s="19"/>
      <c r="O540" s="131"/>
      <c r="P540" s="128"/>
      <c r="Q540" s="30"/>
      <c r="R540" s="29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85"/>
      <c r="L541" s="133"/>
      <c r="M541" s="135"/>
      <c r="N541" s="19"/>
      <c r="O541" s="131"/>
      <c r="P541" s="128"/>
      <c r="Q541" s="30"/>
      <c r="R541" s="29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85"/>
      <c r="L542" s="133"/>
      <c r="M542" s="135"/>
      <c r="N542" s="19"/>
      <c r="O542" s="131"/>
      <c r="P542" s="128"/>
      <c r="Q542" s="30"/>
      <c r="R542" s="29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85"/>
      <c r="L543" s="133"/>
      <c r="M543" s="135"/>
      <c r="N543" s="19"/>
      <c r="O543" s="131"/>
      <c r="P543" s="128"/>
      <c r="Q543" s="30"/>
      <c r="R543" s="29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85"/>
      <c r="L544" s="133"/>
      <c r="M544" s="135"/>
      <c r="N544" s="19"/>
      <c r="O544" s="131"/>
      <c r="P544" s="128"/>
      <c r="Q544" s="30"/>
      <c r="R544" s="29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85"/>
      <c r="L545" s="133"/>
      <c r="M545" s="135"/>
      <c r="N545" s="19"/>
      <c r="O545" s="131"/>
      <c r="P545" s="128"/>
      <c r="Q545" s="30"/>
      <c r="R545" s="29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85"/>
      <c r="L546" s="133"/>
      <c r="M546" s="135"/>
      <c r="N546" s="19"/>
      <c r="O546" s="131"/>
      <c r="P546" s="128"/>
      <c r="Q546" s="30"/>
      <c r="R546" s="29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85"/>
      <c r="L547" s="133"/>
      <c r="M547" s="135"/>
      <c r="N547" s="19"/>
      <c r="O547" s="131"/>
      <c r="P547" s="128"/>
      <c r="Q547" s="30"/>
      <c r="R547" s="29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85"/>
      <c r="L548" s="133"/>
      <c r="M548" s="135"/>
      <c r="N548" s="19"/>
      <c r="O548" s="131"/>
      <c r="P548" s="128"/>
      <c r="Q548" s="30"/>
      <c r="R548" s="29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85"/>
      <c r="L549" s="133"/>
      <c r="M549" s="135"/>
      <c r="N549" s="19"/>
      <c r="O549" s="131"/>
      <c r="P549" s="128"/>
      <c r="Q549" s="30"/>
      <c r="R549" s="29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85"/>
      <c r="L550" s="133"/>
      <c r="M550" s="135"/>
      <c r="N550" s="19"/>
      <c r="O550" s="131"/>
      <c r="P550" s="128"/>
      <c r="Q550" s="30"/>
      <c r="R550" s="29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85"/>
      <c r="L551" s="133"/>
      <c r="M551" s="135"/>
      <c r="N551" s="19"/>
      <c r="O551" s="131"/>
      <c r="P551" s="128"/>
      <c r="Q551" s="30"/>
      <c r="R551" s="29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85"/>
      <c r="L552" s="133"/>
      <c r="M552" s="135"/>
      <c r="N552" s="19"/>
      <c r="O552" s="131"/>
      <c r="P552" s="128"/>
      <c r="Q552" s="30"/>
      <c r="R552" s="29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85"/>
      <c r="L553" s="133"/>
      <c r="M553" s="135"/>
      <c r="N553" s="19"/>
      <c r="O553" s="131"/>
      <c r="P553" s="128"/>
      <c r="Q553" s="30"/>
      <c r="R553" s="29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85"/>
      <c r="L554" s="133"/>
      <c r="M554" s="135"/>
      <c r="N554" s="19"/>
      <c r="O554" s="131"/>
      <c r="P554" s="128"/>
      <c r="Q554" s="30"/>
      <c r="R554" s="29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85"/>
      <c r="L555" s="133"/>
      <c r="M555" s="135"/>
      <c r="N555" s="19"/>
      <c r="O555" s="131"/>
      <c r="P555" s="128"/>
      <c r="Q555" s="30"/>
      <c r="R555" s="29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85"/>
      <c r="L556" s="133"/>
      <c r="M556" s="135"/>
      <c r="N556" s="19"/>
      <c r="O556" s="131"/>
      <c r="P556" s="128"/>
      <c r="Q556" s="30"/>
      <c r="R556" s="29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85"/>
      <c r="L557" s="133"/>
      <c r="M557" s="135"/>
      <c r="N557" s="19"/>
      <c r="O557" s="131"/>
      <c r="P557" s="128"/>
      <c r="Q557" s="30"/>
      <c r="R557" s="29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85"/>
      <c r="L558" s="133"/>
      <c r="M558" s="135"/>
      <c r="N558" s="19"/>
      <c r="O558" s="131"/>
      <c r="P558" s="128"/>
      <c r="Q558" s="30"/>
      <c r="R558" s="29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85"/>
      <c r="L559" s="133"/>
      <c r="M559" s="135"/>
      <c r="N559" s="19"/>
      <c r="O559" s="131"/>
      <c r="P559" s="128"/>
      <c r="Q559" s="30"/>
      <c r="R559" s="29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85"/>
      <c r="L560" s="133"/>
      <c r="M560" s="135"/>
      <c r="N560" s="19"/>
      <c r="O560" s="131"/>
      <c r="P560" s="128"/>
      <c r="Q560" s="30"/>
      <c r="R560" s="29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85"/>
      <c r="L561" s="133"/>
      <c r="M561" s="135"/>
      <c r="N561" s="19"/>
      <c r="O561" s="131"/>
      <c r="P561" s="128"/>
      <c r="Q561" s="30"/>
      <c r="R561" s="29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85"/>
      <c r="L562" s="133"/>
      <c r="M562" s="135"/>
      <c r="N562" s="19"/>
      <c r="O562" s="131"/>
      <c r="P562" s="128"/>
      <c r="Q562" s="30"/>
      <c r="R562" s="29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85"/>
      <c r="L563" s="133"/>
      <c r="M563" s="135"/>
      <c r="N563" s="19"/>
      <c r="O563" s="131"/>
      <c r="P563" s="128"/>
      <c r="Q563" s="30"/>
      <c r="R563" s="29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85"/>
      <c r="L564" s="133"/>
      <c r="M564" s="135"/>
      <c r="N564" s="19"/>
      <c r="O564" s="131"/>
      <c r="P564" s="128"/>
      <c r="Q564" s="30"/>
      <c r="R564" s="29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85"/>
      <c r="L565" s="133"/>
      <c r="M565" s="135"/>
      <c r="N565" s="19"/>
      <c r="O565" s="131"/>
      <c r="P565" s="128"/>
      <c r="Q565" s="30"/>
      <c r="R565" s="29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85"/>
      <c r="L566" s="133"/>
      <c r="M566" s="135"/>
      <c r="N566" s="19"/>
      <c r="O566" s="131"/>
      <c r="P566" s="128"/>
      <c r="Q566" s="30"/>
      <c r="R566" s="29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85"/>
      <c r="L567" s="133"/>
      <c r="M567" s="135"/>
      <c r="N567" s="19"/>
      <c r="O567" s="131"/>
      <c r="P567" s="128"/>
      <c r="Q567" s="30"/>
      <c r="R567" s="29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85"/>
      <c r="L568" s="133"/>
      <c r="M568" s="135"/>
      <c r="N568" s="19"/>
      <c r="O568" s="131"/>
      <c r="P568" s="128"/>
      <c r="Q568" s="30"/>
      <c r="R568" s="29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85"/>
      <c r="L569" s="133"/>
      <c r="M569" s="135"/>
      <c r="N569" s="19"/>
      <c r="O569" s="131"/>
      <c r="P569" s="128"/>
      <c r="Q569" s="30"/>
      <c r="R569" s="29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85"/>
      <c r="L570" s="133"/>
      <c r="M570" s="135"/>
      <c r="N570" s="19"/>
      <c r="O570" s="131"/>
      <c r="P570" s="128"/>
      <c r="Q570" s="30"/>
      <c r="R570" s="29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85"/>
      <c r="L571" s="133"/>
      <c r="M571" s="135"/>
      <c r="N571" s="19"/>
      <c r="O571" s="131"/>
      <c r="P571" s="128"/>
      <c r="Q571" s="30"/>
      <c r="R571" s="29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85"/>
      <c r="L572" s="133"/>
      <c r="M572" s="135"/>
      <c r="N572" s="19"/>
      <c r="O572" s="131"/>
      <c r="P572" s="128"/>
      <c r="Q572" s="30"/>
      <c r="R572" s="29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85"/>
      <c r="L573" s="133"/>
      <c r="M573" s="135"/>
      <c r="N573" s="19"/>
      <c r="O573" s="131"/>
      <c r="P573" s="128"/>
      <c r="Q573" s="30"/>
      <c r="R573" s="29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85"/>
      <c r="L574" s="133"/>
      <c r="M574" s="135"/>
      <c r="N574" s="19"/>
      <c r="O574" s="131"/>
      <c r="P574" s="128"/>
      <c r="Q574" s="30"/>
      <c r="R574" s="29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85"/>
      <c r="L575" s="133"/>
      <c r="M575" s="135"/>
      <c r="N575" s="19"/>
      <c r="O575" s="131"/>
      <c r="P575" s="128"/>
      <c r="Q575" s="30"/>
      <c r="R575" s="29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85"/>
      <c r="L576" s="133"/>
      <c r="M576" s="135"/>
      <c r="N576" s="19"/>
      <c r="O576" s="131"/>
      <c r="P576" s="128"/>
      <c r="Q576" s="30"/>
      <c r="R576" s="29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85"/>
      <c r="L577" s="133"/>
      <c r="M577" s="135"/>
      <c r="N577" s="19"/>
      <c r="O577" s="131"/>
      <c r="P577" s="128"/>
      <c r="Q577" s="30"/>
      <c r="R577" s="29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85"/>
      <c r="L578" s="133"/>
      <c r="M578" s="135"/>
      <c r="N578" s="19"/>
      <c r="O578" s="131"/>
      <c r="P578" s="128"/>
      <c r="Q578" s="30"/>
      <c r="R578" s="29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85"/>
      <c r="L579" s="133"/>
      <c r="M579" s="135"/>
      <c r="N579" s="19"/>
      <c r="O579" s="131"/>
      <c r="P579" s="128"/>
      <c r="Q579" s="30"/>
      <c r="R579" s="29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85"/>
      <c r="L580" s="133"/>
      <c r="M580" s="135"/>
      <c r="N580" s="19"/>
      <c r="O580" s="131"/>
      <c r="P580" s="128"/>
      <c r="Q580" s="30"/>
      <c r="R580" s="29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85"/>
      <c r="L581" s="133"/>
      <c r="M581" s="135"/>
      <c r="N581" s="19"/>
      <c r="O581" s="131"/>
      <c r="P581" s="128"/>
      <c r="Q581" s="30"/>
      <c r="R581" s="29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85"/>
      <c r="L582" s="133"/>
      <c r="M582" s="135"/>
      <c r="N582" s="19"/>
      <c r="O582" s="131"/>
      <c r="P582" s="128"/>
      <c r="Q582" s="30"/>
      <c r="R582" s="29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85"/>
      <c r="L583" s="133"/>
      <c r="M583" s="135"/>
      <c r="N583" s="19"/>
      <c r="O583" s="131"/>
      <c r="P583" s="128"/>
      <c r="Q583" s="30"/>
      <c r="R583" s="29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85"/>
      <c r="L584" s="133"/>
      <c r="M584" s="135"/>
      <c r="N584" s="19"/>
      <c r="O584" s="131"/>
      <c r="P584" s="128"/>
      <c r="Q584" s="30"/>
      <c r="R584" s="29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85"/>
      <c r="L585" s="133"/>
      <c r="M585" s="135"/>
      <c r="N585" s="19"/>
      <c r="O585" s="131"/>
      <c r="P585" s="128"/>
      <c r="Q585" s="30"/>
      <c r="R585" s="29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85"/>
      <c r="L586" s="133"/>
      <c r="M586" s="135"/>
      <c r="N586" s="19"/>
      <c r="O586" s="131"/>
      <c r="P586" s="128"/>
      <c r="Q586" s="30"/>
      <c r="R586" s="29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85"/>
      <c r="L587" s="133"/>
      <c r="M587" s="135"/>
      <c r="N587" s="19"/>
      <c r="O587" s="131"/>
      <c r="P587" s="128"/>
      <c r="Q587" s="30"/>
      <c r="R587" s="29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85"/>
      <c r="L588" s="133"/>
      <c r="M588" s="135"/>
      <c r="N588" s="19"/>
      <c r="O588" s="131"/>
      <c r="P588" s="128"/>
      <c r="Q588" s="30"/>
      <c r="R588" s="29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85"/>
      <c r="L589" s="133"/>
      <c r="M589" s="135"/>
      <c r="N589" s="19"/>
      <c r="O589" s="131"/>
      <c r="P589" s="128"/>
      <c r="Q589" s="30"/>
      <c r="R589" s="29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85"/>
      <c r="L590" s="133"/>
      <c r="M590" s="135"/>
      <c r="N590" s="19"/>
      <c r="O590" s="131"/>
      <c r="P590" s="128"/>
      <c r="Q590" s="30"/>
      <c r="R590" s="29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85"/>
      <c r="L591" s="133"/>
      <c r="M591" s="135"/>
      <c r="N591" s="19"/>
      <c r="O591" s="131"/>
      <c r="P591" s="128"/>
      <c r="Q591" s="30"/>
      <c r="R591" s="29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85"/>
      <c r="L592" s="133"/>
      <c r="M592" s="135"/>
      <c r="N592" s="19"/>
      <c r="O592" s="131"/>
      <c r="P592" s="128"/>
      <c r="Q592" s="30"/>
      <c r="R592" s="29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85"/>
      <c r="L593" s="133"/>
      <c r="M593" s="135"/>
      <c r="N593" s="19"/>
      <c r="O593" s="131"/>
      <c r="P593" s="128"/>
      <c r="Q593" s="30"/>
      <c r="R593" s="29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85"/>
      <c r="L594" s="133"/>
      <c r="M594" s="135"/>
      <c r="N594" s="19"/>
      <c r="O594" s="131"/>
      <c r="P594" s="128"/>
      <c r="Q594" s="30"/>
      <c r="R594" s="29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85"/>
      <c r="L595" s="133"/>
      <c r="M595" s="135"/>
      <c r="N595" s="19"/>
      <c r="O595" s="131"/>
      <c r="P595" s="128"/>
      <c r="Q595" s="30"/>
      <c r="R595" s="29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85"/>
      <c r="L596" s="133"/>
      <c r="M596" s="135"/>
      <c r="N596" s="19"/>
      <c r="O596" s="131"/>
      <c r="P596" s="128"/>
      <c r="Q596" s="30"/>
      <c r="R596" s="29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85"/>
      <c r="L597" s="133"/>
      <c r="M597" s="135"/>
      <c r="N597" s="19"/>
      <c r="O597" s="131"/>
      <c r="P597" s="128"/>
      <c r="Q597" s="30"/>
      <c r="R597" s="29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85"/>
      <c r="L598" s="133"/>
      <c r="M598" s="135"/>
      <c r="N598" s="19"/>
      <c r="O598" s="131"/>
      <c r="P598" s="128"/>
      <c r="Q598" s="30"/>
      <c r="R598" s="29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85"/>
      <c r="L599" s="133"/>
      <c r="M599" s="135"/>
      <c r="N599" s="19"/>
      <c r="O599" s="131"/>
      <c r="P599" s="128"/>
      <c r="Q599" s="30"/>
      <c r="R599" s="29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85"/>
      <c r="L600" s="133"/>
      <c r="M600" s="135"/>
      <c r="N600" s="19"/>
      <c r="O600" s="131"/>
      <c r="P600" s="128"/>
      <c r="Q600" s="30"/>
      <c r="R600" s="29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85"/>
      <c r="L601" s="133"/>
      <c r="M601" s="135"/>
      <c r="N601" s="19"/>
      <c r="O601" s="131"/>
      <c r="P601" s="128"/>
      <c r="Q601" s="30"/>
      <c r="R601" s="29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85"/>
      <c r="L602" s="133"/>
      <c r="M602" s="135"/>
      <c r="N602" s="19"/>
      <c r="O602" s="131"/>
      <c r="P602" s="128"/>
      <c r="Q602" s="30"/>
      <c r="R602" s="29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85"/>
      <c r="L603" s="133"/>
      <c r="M603" s="135"/>
      <c r="N603" s="19"/>
      <c r="O603" s="131"/>
      <c r="P603" s="128"/>
      <c r="Q603" s="30"/>
      <c r="R603" s="29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85"/>
      <c r="L604" s="133"/>
      <c r="M604" s="135"/>
      <c r="N604" s="19"/>
      <c r="O604" s="131"/>
      <c r="P604" s="128"/>
      <c r="Q604" s="30"/>
      <c r="R604" s="29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85"/>
      <c r="L605" s="133"/>
      <c r="M605" s="135"/>
      <c r="N605" s="19"/>
      <c r="O605" s="131"/>
      <c r="P605" s="128"/>
      <c r="Q605" s="30"/>
      <c r="R605" s="29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85"/>
      <c r="L606" s="133"/>
      <c r="M606" s="135"/>
      <c r="N606" s="19"/>
      <c r="O606" s="131"/>
      <c r="P606" s="128"/>
      <c r="Q606" s="30"/>
      <c r="R606" s="29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85"/>
      <c r="L607" s="133"/>
      <c r="M607" s="135"/>
      <c r="N607" s="19"/>
      <c r="O607" s="131"/>
      <c r="P607" s="128"/>
      <c r="Q607" s="30"/>
      <c r="R607" s="29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85"/>
      <c r="L608" s="133"/>
      <c r="M608" s="135"/>
      <c r="N608" s="19"/>
      <c r="O608" s="131"/>
      <c r="P608" s="128"/>
      <c r="Q608" s="30"/>
      <c r="R608" s="29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85"/>
      <c r="L609" s="133"/>
      <c r="M609" s="135"/>
      <c r="N609" s="19"/>
      <c r="O609" s="131"/>
      <c r="P609" s="128"/>
      <c r="Q609" s="30"/>
      <c r="R609" s="29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85"/>
      <c r="L610" s="133"/>
      <c r="M610" s="135"/>
      <c r="N610" s="19"/>
      <c r="O610" s="131"/>
      <c r="P610" s="128"/>
      <c r="Q610" s="30"/>
      <c r="R610" s="29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85"/>
      <c r="L611" s="133"/>
      <c r="M611" s="135"/>
      <c r="N611" s="19"/>
      <c r="O611" s="131"/>
      <c r="P611" s="128"/>
      <c r="Q611" s="30"/>
      <c r="R611" s="29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85"/>
      <c r="L612" s="133"/>
      <c r="M612" s="135"/>
      <c r="N612" s="19"/>
      <c r="O612" s="131"/>
      <c r="P612" s="128"/>
      <c r="Q612" s="30"/>
      <c r="R612" s="29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85"/>
      <c r="L613" s="133"/>
      <c r="M613" s="135"/>
      <c r="N613" s="19"/>
      <c r="O613" s="131"/>
      <c r="P613" s="128"/>
      <c r="Q613" s="30"/>
      <c r="R613" s="29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85"/>
      <c r="L614" s="133"/>
      <c r="M614" s="135"/>
      <c r="N614" s="19"/>
      <c r="O614" s="131"/>
      <c r="P614" s="128"/>
      <c r="Q614" s="30"/>
      <c r="R614" s="29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85"/>
      <c r="L615" s="133"/>
      <c r="M615" s="135"/>
      <c r="N615" s="19"/>
      <c r="O615" s="131"/>
      <c r="P615" s="128"/>
      <c r="Q615" s="30"/>
      <c r="R615" s="29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85"/>
      <c r="L616" s="133"/>
      <c r="M616" s="135"/>
      <c r="N616" s="19"/>
      <c r="O616" s="131"/>
      <c r="P616" s="128"/>
      <c r="Q616" s="30"/>
      <c r="R616" s="29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85"/>
      <c r="L617" s="133"/>
      <c r="M617" s="135"/>
      <c r="N617" s="19"/>
      <c r="O617" s="131"/>
      <c r="P617" s="128"/>
      <c r="Q617" s="30"/>
      <c r="R617" s="29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85"/>
      <c r="L618" s="133"/>
      <c r="M618" s="135"/>
      <c r="N618" s="19"/>
      <c r="O618" s="131"/>
      <c r="P618" s="128"/>
      <c r="Q618" s="30"/>
      <c r="R618" s="29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85"/>
      <c r="L619" s="133"/>
      <c r="M619" s="135"/>
      <c r="N619" s="19"/>
      <c r="O619" s="131"/>
      <c r="P619" s="128"/>
      <c r="Q619" s="30"/>
      <c r="R619" s="29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85"/>
      <c r="L620" s="133"/>
      <c r="M620" s="135"/>
      <c r="N620" s="19"/>
      <c r="O620" s="131"/>
      <c r="P620" s="128"/>
      <c r="Q620" s="30"/>
      <c r="R620" s="29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85"/>
      <c r="L621" s="133"/>
      <c r="M621" s="135"/>
      <c r="N621" s="19"/>
      <c r="O621" s="131"/>
      <c r="P621" s="128"/>
      <c r="Q621" s="30"/>
      <c r="R621" s="29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85"/>
      <c r="L622" s="133"/>
      <c r="M622" s="135"/>
      <c r="N622" s="19"/>
      <c r="O622" s="131"/>
      <c r="P622" s="128"/>
      <c r="Q622" s="30"/>
      <c r="R622" s="29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85"/>
      <c r="L623" s="133"/>
      <c r="M623" s="135"/>
      <c r="N623" s="19"/>
      <c r="O623" s="131"/>
      <c r="P623" s="128"/>
      <c r="Q623" s="30"/>
      <c r="R623" s="29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85"/>
      <c r="L624" s="133"/>
      <c r="M624" s="135"/>
      <c r="N624" s="19"/>
      <c r="O624" s="131"/>
      <c r="P624" s="128"/>
      <c r="Q624" s="30"/>
      <c r="R624" s="29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85"/>
      <c r="L625" s="133"/>
      <c r="M625" s="135"/>
      <c r="N625" s="19"/>
      <c r="O625" s="131"/>
      <c r="P625" s="128"/>
      <c r="Q625" s="30"/>
      <c r="R625" s="29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85"/>
      <c r="L626" s="133"/>
      <c r="M626" s="135"/>
      <c r="N626" s="19"/>
      <c r="O626" s="131"/>
      <c r="P626" s="128"/>
      <c r="Q626" s="30"/>
      <c r="R626" s="29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85"/>
      <c r="L627" s="133"/>
      <c r="M627" s="135"/>
      <c r="N627" s="19"/>
      <c r="O627" s="131"/>
      <c r="P627" s="128"/>
      <c r="Q627" s="30"/>
      <c r="R627" s="29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85"/>
      <c r="L628" s="133"/>
      <c r="M628" s="135"/>
      <c r="N628" s="19"/>
      <c r="O628" s="131"/>
      <c r="P628" s="128"/>
      <c r="Q628" s="30"/>
      <c r="R628" s="29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85"/>
      <c r="L629" s="133"/>
      <c r="M629" s="135"/>
      <c r="N629" s="19"/>
      <c r="O629" s="131"/>
      <c r="P629" s="128"/>
      <c r="Q629" s="30"/>
      <c r="R629" s="29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85"/>
      <c r="L630" s="133"/>
      <c r="M630" s="135"/>
      <c r="N630" s="19"/>
      <c r="O630" s="131"/>
      <c r="P630" s="128"/>
      <c r="Q630" s="30"/>
      <c r="R630" s="29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85"/>
      <c r="L631" s="133"/>
      <c r="M631" s="135"/>
      <c r="N631" s="19"/>
      <c r="O631" s="131"/>
      <c r="P631" s="128"/>
      <c r="Q631" s="30"/>
      <c r="R631" s="29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85"/>
      <c r="L632" s="133"/>
      <c r="M632" s="135"/>
      <c r="N632" s="19"/>
      <c r="O632" s="131"/>
      <c r="P632" s="128"/>
      <c r="Q632" s="30"/>
      <c r="R632" s="29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85"/>
      <c r="L633" s="133"/>
      <c r="M633" s="135"/>
      <c r="N633" s="19"/>
      <c r="O633" s="131"/>
      <c r="P633" s="128"/>
      <c r="Q633" s="30"/>
      <c r="R633" s="29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85"/>
      <c r="L634" s="133"/>
      <c r="M634" s="135"/>
      <c r="N634" s="19"/>
      <c r="O634" s="131"/>
      <c r="P634" s="128"/>
      <c r="Q634" s="30"/>
      <c r="R634" s="29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85"/>
      <c r="L635" s="133"/>
      <c r="M635" s="135"/>
      <c r="N635" s="19"/>
      <c r="O635" s="131"/>
      <c r="P635" s="128"/>
      <c r="Q635" s="30"/>
      <c r="R635" s="29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85"/>
      <c r="L636" s="133"/>
      <c r="M636" s="135"/>
      <c r="N636" s="19"/>
      <c r="O636" s="131"/>
      <c r="P636" s="128"/>
      <c r="Q636" s="30"/>
      <c r="R636" s="29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85"/>
      <c r="L637" s="133"/>
      <c r="M637" s="135"/>
      <c r="N637" s="19"/>
      <c r="O637" s="131"/>
      <c r="P637" s="128"/>
      <c r="Q637" s="30"/>
      <c r="R637" s="29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85"/>
      <c r="L638" s="133"/>
      <c r="M638" s="135"/>
      <c r="N638" s="19"/>
      <c r="O638" s="131"/>
      <c r="P638" s="128"/>
      <c r="Q638" s="30"/>
      <c r="R638" s="29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85"/>
      <c r="L639" s="133"/>
      <c r="M639" s="135"/>
      <c r="N639" s="19"/>
      <c r="O639" s="131"/>
      <c r="P639" s="128"/>
      <c r="Q639" s="30"/>
      <c r="R639" s="29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85"/>
      <c r="L640" s="133"/>
      <c r="M640" s="135"/>
      <c r="N640" s="19"/>
      <c r="O640" s="131"/>
      <c r="P640" s="128"/>
      <c r="Q640" s="30"/>
      <c r="R640" s="29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85"/>
      <c r="L641" s="133"/>
      <c r="M641" s="135"/>
      <c r="N641" s="19"/>
      <c r="O641" s="131"/>
      <c r="P641" s="128"/>
      <c r="Q641" s="30"/>
      <c r="R641" s="29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85"/>
      <c r="L642" s="133"/>
      <c r="M642" s="135"/>
      <c r="N642" s="19"/>
      <c r="O642" s="131"/>
      <c r="P642" s="128"/>
      <c r="Q642" s="30"/>
      <c r="R642" s="29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85"/>
      <c r="L643" s="133"/>
      <c r="M643" s="135"/>
      <c r="N643" s="19"/>
      <c r="O643" s="131"/>
      <c r="P643" s="128"/>
      <c r="Q643" s="30"/>
      <c r="R643" s="29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85"/>
      <c r="L644" s="133"/>
      <c r="M644" s="135"/>
      <c r="N644" s="19"/>
      <c r="O644" s="131"/>
      <c r="P644" s="128"/>
      <c r="Q644" s="30"/>
      <c r="R644" s="29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85"/>
      <c r="L645" s="133"/>
      <c r="M645" s="135"/>
      <c r="N645" s="19"/>
      <c r="O645" s="131"/>
      <c r="P645" s="128"/>
      <c r="Q645" s="30"/>
      <c r="R645" s="29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85"/>
      <c r="L646" s="133"/>
      <c r="M646" s="135"/>
      <c r="N646" s="19"/>
      <c r="O646" s="131"/>
      <c r="P646" s="128"/>
      <c r="Q646" s="30"/>
      <c r="R646" s="29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85"/>
      <c r="L647" s="133"/>
      <c r="M647" s="135"/>
      <c r="N647" s="19"/>
      <c r="O647" s="131"/>
      <c r="P647" s="128"/>
      <c r="Q647" s="30"/>
      <c r="R647" s="29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85"/>
      <c r="L648" s="133"/>
      <c r="M648" s="135"/>
      <c r="N648" s="19"/>
      <c r="O648" s="131"/>
      <c r="P648" s="128"/>
      <c r="Q648" s="30"/>
      <c r="R648" s="29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85"/>
      <c r="L649" s="133"/>
      <c r="M649" s="135"/>
      <c r="N649" s="19"/>
      <c r="O649" s="131"/>
      <c r="P649" s="128"/>
      <c r="Q649" s="30"/>
      <c r="R649" s="29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85"/>
      <c r="L650" s="133"/>
      <c r="M650" s="135"/>
      <c r="N650" s="19"/>
      <c r="O650" s="131"/>
      <c r="P650" s="128"/>
      <c r="Q650" s="30"/>
      <c r="R650" s="29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85"/>
      <c r="L651" s="133"/>
      <c r="M651" s="135"/>
      <c r="N651" s="19"/>
      <c r="O651" s="131"/>
      <c r="P651" s="128"/>
      <c r="Q651" s="30"/>
      <c r="R651" s="29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85"/>
      <c r="L652" s="133"/>
      <c r="M652" s="135"/>
      <c r="N652" s="19"/>
      <c r="O652" s="131"/>
      <c r="P652" s="128"/>
      <c r="Q652" s="30"/>
      <c r="R652" s="29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85"/>
      <c r="L653" s="133"/>
      <c r="M653" s="135"/>
      <c r="N653" s="19"/>
      <c r="O653" s="131"/>
      <c r="P653" s="128"/>
      <c r="Q653" s="30"/>
      <c r="R653" s="29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85"/>
      <c r="L654" s="133"/>
      <c r="M654" s="135"/>
      <c r="N654" s="19"/>
      <c r="O654" s="131"/>
      <c r="P654" s="128"/>
      <c r="Q654" s="30"/>
      <c r="R654" s="29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85"/>
      <c r="L655" s="133"/>
      <c r="M655" s="135"/>
      <c r="N655" s="19"/>
      <c r="O655" s="131"/>
      <c r="P655" s="128"/>
      <c r="Q655" s="30"/>
      <c r="R655" s="29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85"/>
      <c r="L656" s="133"/>
      <c r="M656" s="135"/>
      <c r="N656" s="19"/>
      <c r="O656" s="131"/>
      <c r="P656" s="128"/>
      <c r="Q656" s="30"/>
      <c r="R656" s="29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85"/>
      <c r="L657" s="133"/>
      <c r="M657" s="135"/>
      <c r="N657" s="19"/>
      <c r="O657" s="131"/>
      <c r="P657" s="128"/>
      <c r="Q657" s="30"/>
      <c r="R657" s="29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85"/>
      <c r="L658" s="133"/>
      <c r="M658" s="135"/>
      <c r="N658" s="19"/>
      <c r="O658" s="131"/>
      <c r="P658" s="128"/>
      <c r="Q658" s="30"/>
      <c r="R658" s="29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85"/>
      <c r="L659" s="133"/>
      <c r="M659" s="135"/>
      <c r="N659" s="19"/>
      <c r="O659" s="131"/>
      <c r="P659" s="128"/>
      <c r="Q659" s="30"/>
      <c r="R659" s="29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85"/>
      <c r="L660" s="133"/>
      <c r="M660" s="135"/>
      <c r="N660" s="19"/>
      <c r="O660" s="131"/>
      <c r="P660" s="128"/>
      <c r="Q660" s="30"/>
      <c r="R660" s="29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85"/>
      <c r="L661" s="133"/>
      <c r="M661" s="135"/>
      <c r="N661" s="19"/>
      <c r="O661" s="131"/>
      <c r="P661" s="128"/>
      <c r="Q661" s="30"/>
      <c r="R661" s="29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85"/>
      <c r="L662" s="133"/>
      <c r="M662" s="135"/>
      <c r="N662" s="19"/>
      <c r="O662" s="131"/>
      <c r="P662" s="128"/>
      <c r="Q662" s="30"/>
      <c r="R662" s="29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85"/>
      <c r="L663" s="133"/>
      <c r="M663" s="135"/>
      <c r="N663" s="19"/>
      <c r="O663" s="131"/>
      <c r="P663" s="128"/>
      <c r="Q663" s="30"/>
      <c r="R663" s="29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85"/>
      <c r="L664" s="133"/>
      <c r="M664" s="135"/>
      <c r="N664" s="19"/>
      <c r="O664" s="131"/>
      <c r="P664" s="128"/>
      <c r="Q664" s="30"/>
      <c r="R664" s="29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85"/>
      <c r="L665" s="133"/>
      <c r="M665" s="135"/>
      <c r="N665" s="19"/>
      <c r="O665" s="131"/>
      <c r="P665" s="128"/>
      <c r="Q665" s="30"/>
      <c r="R665" s="29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85"/>
      <c r="L666" s="133"/>
      <c r="M666" s="135"/>
      <c r="N666" s="19"/>
      <c r="O666" s="131"/>
      <c r="P666" s="128"/>
      <c r="Q666" s="30"/>
      <c r="R666" s="29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85"/>
      <c r="L667" s="133"/>
      <c r="M667" s="135"/>
      <c r="N667" s="19"/>
      <c r="O667" s="131"/>
      <c r="P667" s="128"/>
      <c r="Q667" s="30"/>
      <c r="R667" s="29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85"/>
      <c r="L668" s="133"/>
      <c r="M668" s="135"/>
      <c r="N668" s="19"/>
      <c r="O668" s="131"/>
      <c r="P668" s="128"/>
      <c r="Q668" s="30"/>
      <c r="R668" s="29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85"/>
      <c r="L669" s="133"/>
      <c r="M669" s="135"/>
      <c r="N669" s="19"/>
      <c r="O669" s="131"/>
      <c r="P669" s="128"/>
      <c r="Q669" s="30"/>
      <c r="R669" s="29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85"/>
      <c r="L670" s="133"/>
      <c r="M670" s="135"/>
      <c r="N670" s="19"/>
      <c r="O670" s="131"/>
      <c r="P670" s="128"/>
      <c r="Q670" s="30"/>
      <c r="R670" s="29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85"/>
      <c r="L671" s="133"/>
      <c r="M671" s="135"/>
      <c r="N671" s="19"/>
      <c r="O671" s="131"/>
      <c r="P671" s="128"/>
      <c r="Q671" s="30"/>
      <c r="R671" s="29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85"/>
      <c r="L672" s="133"/>
      <c r="M672" s="135"/>
      <c r="N672" s="19"/>
      <c r="O672" s="131"/>
      <c r="P672" s="128"/>
      <c r="Q672" s="30"/>
      <c r="R672" s="29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85"/>
      <c r="L673" s="133"/>
      <c r="M673" s="135"/>
      <c r="N673" s="19"/>
      <c r="O673" s="131"/>
      <c r="P673" s="128"/>
      <c r="Q673" s="30"/>
      <c r="R673" s="29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85"/>
      <c r="L674" s="133"/>
      <c r="M674" s="135"/>
      <c r="N674" s="19"/>
      <c r="O674" s="131"/>
      <c r="P674" s="128"/>
      <c r="Q674" s="30"/>
      <c r="R674" s="29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85"/>
      <c r="L675" s="133"/>
      <c r="M675" s="135"/>
      <c r="N675" s="19"/>
      <c r="O675" s="131"/>
      <c r="P675" s="128"/>
      <c r="Q675" s="30"/>
      <c r="R675" s="29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85"/>
      <c r="L676" s="133"/>
      <c r="M676" s="135"/>
      <c r="N676" s="19"/>
      <c r="O676" s="131"/>
      <c r="P676" s="128"/>
      <c r="Q676" s="30"/>
      <c r="R676" s="29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85"/>
      <c r="L677" s="133"/>
      <c r="M677" s="135"/>
      <c r="N677" s="19"/>
      <c r="O677" s="131"/>
      <c r="P677" s="128"/>
      <c r="Q677" s="30"/>
      <c r="R677" s="29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85"/>
      <c r="L678" s="133"/>
      <c r="M678" s="135"/>
      <c r="N678" s="19"/>
      <c r="O678" s="131"/>
      <c r="P678" s="128"/>
      <c r="Q678" s="30"/>
      <c r="R678" s="29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85"/>
      <c r="L679" s="133"/>
      <c r="M679" s="135"/>
      <c r="N679" s="19"/>
      <c r="O679" s="131"/>
      <c r="P679" s="128"/>
      <c r="Q679" s="30"/>
      <c r="R679" s="29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85"/>
      <c r="L680" s="133"/>
      <c r="M680" s="135"/>
      <c r="N680" s="19"/>
      <c r="O680" s="131"/>
      <c r="P680" s="128"/>
      <c r="Q680" s="30"/>
      <c r="R680" s="29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85"/>
      <c r="L681" s="133"/>
      <c r="M681" s="135"/>
      <c r="N681" s="19"/>
      <c r="O681" s="131"/>
      <c r="P681" s="128"/>
      <c r="Q681" s="30"/>
      <c r="R681" s="29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85"/>
      <c r="L682" s="133"/>
      <c r="M682" s="135"/>
      <c r="N682" s="19"/>
      <c r="O682" s="131"/>
      <c r="P682" s="128"/>
      <c r="Q682" s="30"/>
      <c r="R682" s="29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85"/>
      <c r="L683" s="133"/>
      <c r="M683" s="135"/>
      <c r="N683" s="19"/>
      <c r="O683" s="131"/>
      <c r="P683" s="128"/>
      <c r="Q683" s="30"/>
      <c r="R683" s="29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85"/>
      <c r="L684" s="133"/>
      <c r="M684" s="135"/>
      <c r="N684" s="19"/>
      <c r="O684" s="131"/>
      <c r="P684" s="128"/>
      <c r="Q684" s="30"/>
      <c r="R684" s="29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85"/>
      <c r="L685" s="133"/>
      <c r="M685" s="135"/>
      <c r="N685" s="19"/>
      <c r="O685" s="131"/>
      <c r="P685" s="128"/>
      <c r="Q685" s="30"/>
      <c r="R685" s="29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85"/>
      <c r="L686" s="133"/>
      <c r="M686" s="135"/>
      <c r="N686" s="19"/>
      <c r="O686" s="131"/>
      <c r="P686" s="128"/>
      <c r="Q686" s="30"/>
      <c r="R686" s="29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85"/>
      <c r="L687" s="133"/>
      <c r="M687" s="135"/>
      <c r="N687" s="19"/>
      <c r="O687" s="131"/>
      <c r="P687" s="128"/>
      <c r="Q687" s="30"/>
      <c r="R687" s="29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85"/>
      <c r="L688" s="133"/>
      <c r="M688" s="135"/>
      <c r="N688" s="19"/>
      <c r="O688" s="131"/>
      <c r="P688" s="128"/>
      <c r="Q688" s="30"/>
      <c r="R688" s="29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85"/>
      <c r="L689" s="133"/>
      <c r="M689" s="135"/>
      <c r="N689" s="19"/>
      <c r="O689" s="131"/>
      <c r="P689" s="128"/>
      <c r="Q689" s="30"/>
      <c r="R689" s="29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85"/>
      <c r="L690" s="133"/>
      <c r="M690" s="135"/>
      <c r="N690" s="19"/>
      <c r="O690" s="131"/>
      <c r="P690" s="128"/>
      <c r="Q690" s="30"/>
      <c r="R690" s="29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85"/>
      <c r="L691" s="133"/>
      <c r="M691" s="135"/>
      <c r="N691" s="19"/>
      <c r="O691" s="131"/>
      <c r="P691" s="128"/>
      <c r="Q691" s="30"/>
      <c r="R691" s="29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85"/>
      <c r="L692" s="133"/>
      <c r="M692" s="135"/>
      <c r="N692" s="19"/>
      <c r="O692" s="131"/>
      <c r="P692" s="128"/>
      <c r="Q692" s="30"/>
      <c r="R692" s="29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85"/>
      <c r="L693" s="133"/>
      <c r="M693" s="135"/>
      <c r="N693" s="19"/>
      <c r="O693" s="131"/>
      <c r="P693" s="128"/>
      <c r="Q693" s="30"/>
      <c r="R693" s="29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85"/>
      <c r="L694" s="133"/>
      <c r="M694" s="135"/>
      <c r="N694" s="19"/>
      <c r="O694" s="131"/>
      <c r="P694" s="128"/>
      <c r="Q694" s="30"/>
      <c r="R694" s="29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85"/>
      <c r="L695" s="133"/>
      <c r="M695" s="135"/>
      <c r="N695" s="19"/>
      <c r="O695" s="131"/>
      <c r="P695" s="128"/>
      <c r="Q695" s="30"/>
      <c r="R695" s="29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85"/>
      <c r="L696" s="133"/>
      <c r="M696" s="135"/>
      <c r="N696" s="19"/>
      <c r="O696" s="131"/>
      <c r="P696" s="128"/>
      <c r="Q696" s="30"/>
      <c r="R696" s="29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85"/>
      <c r="L697" s="133"/>
      <c r="M697" s="135"/>
      <c r="N697" s="19"/>
      <c r="O697" s="131"/>
      <c r="P697" s="128"/>
      <c r="Q697" s="30"/>
      <c r="R697" s="29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85"/>
      <c r="L698" s="133"/>
      <c r="M698" s="135"/>
      <c r="N698" s="19"/>
      <c r="O698" s="131"/>
      <c r="P698" s="128"/>
      <c r="Q698" s="30"/>
      <c r="R698" s="29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85"/>
      <c r="L699" s="133"/>
      <c r="M699" s="135"/>
      <c r="N699" s="19"/>
      <c r="O699" s="131"/>
      <c r="P699" s="128"/>
      <c r="Q699" s="30"/>
      <c r="R699" s="29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85"/>
      <c r="L700" s="133"/>
      <c r="M700" s="135"/>
      <c r="N700" s="19"/>
      <c r="O700" s="131"/>
      <c r="P700" s="128"/>
      <c r="Q700" s="30"/>
      <c r="R700" s="29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85"/>
      <c r="L701" s="133"/>
      <c r="M701" s="135"/>
      <c r="N701" s="19"/>
      <c r="O701" s="131"/>
      <c r="P701" s="128"/>
      <c r="Q701" s="30"/>
      <c r="R701" s="29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85"/>
      <c r="L702" s="133"/>
      <c r="M702" s="135"/>
      <c r="N702" s="19"/>
      <c r="O702" s="131"/>
      <c r="P702" s="128"/>
      <c r="Q702" s="30"/>
      <c r="R702" s="29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85"/>
      <c r="L703" s="133"/>
      <c r="M703" s="135"/>
      <c r="N703" s="19"/>
      <c r="O703" s="131"/>
      <c r="P703" s="128"/>
      <c r="Q703" s="30"/>
      <c r="R703" s="29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85"/>
      <c r="L704" s="133"/>
      <c r="M704" s="135"/>
      <c r="N704" s="19"/>
      <c r="O704" s="131"/>
      <c r="P704" s="128"/>
      <c r="Q704" s="30"/>
      <c r="R704" s="29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85"/>
      <c r="L705" s="133"/>
      <c r="M705" s="135"/>
      <c r="N705" s="19"/>
      <c r="O705" s="131"/>
      <c r="P705" s="128"/>
      <c r="Q705" s="30"/>
      <c r="R705" s="29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85"/>
      <c r="L706" s="133"/>
      <c r="M706" s="135"/>
      <c r="N706" s="19"/>
      <c r="O706" s="131"/>
      <c r="P706" s="128"/>
      <c r="Q706" s="30"/>
      <c r="R706" s="29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85"/>
      <c r="L707" s="133"/>
      <c r="M707" s="135"/>
      <c r="N707" s="19"/>
      <c r="O707" s="131"/>
      <c r="P707" s="128"/>
      <c r="Q707" s="30"/>
      <c r="R707" s="29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85"/>
      <c r="L708" s="133"/>
      <c r="M708" s="135"/>
      <c r="N708" s="19"/>
      <c r="O708" s="131"/>
      <c r="P708" s="128"/>
      <c r="Q708" s="30"/>
      <c r="R708" s="29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85"/>
      <c r="L709" s="133"/>
      <c r="M709" s="135"/>
      <c r="N709" s="19"/>
      <c r="O709" s="131"/>
      <c r="P709" s="128"/>
      <c r="Q709" s="30"/>
      <c r="R709" s="29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85"/>
      <c r="L710" s="133"/>
      <c r="M710" s="135"/>
      <c r="N710" s="19"/>
      <c r="O710" s="131"/>
      <c r="P710" s="128"/>
      <c r="Q710" s="30"/>
      <c r="R710" s="29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85"/>
      <c r="L711" s="133"/>
      <c r="M711" s="135"/>
      <c r="N711" s="19"/>
      <c r="O711" s="131"/>
      <c r="P711" s="128"/>
      <c r="Q711" s="30"/>
      <c r="R711" s="29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85"/>
      <c r="L712" s="133"/>
      <c r="M712" s="135"/>
      <c r="N712" s="19"/>
      <c r="O712" s="131"/>
      <c r="P712" s="128"/>
      <c r="Q712" s="30"/>
      <c r="R712" s="29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85"/>
      <c r="L713" s="133"/>
      <c r="M713" s="135"/>
      <c r="N713" s="19"/>
      <c r="O713" s="131"/>
      <c r="P713" s="128"/>
      <c r="Q713" s="30"/>
      <c r="R713" s="29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85"/>
      <c r="L714" s="133"/>
      <c r="M714" s="135"/>
      <c r="N714" s="19"/>
      <c r="O714" s="131"/>
      <c r="P714" s="128"/>
      <c r="Q714" s="30"/>
      <c r="R714" s="29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85"/>
      <c r="L715" s="133"/>
      <c r="M715" s="135"/>
      <c r="N715" s="19"/>
      <c r="O715" s="131"/>
      <c r="P715" s="128"/>
      <c r="Q715" s="30"/>
      <c r="R715" s="29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85"/>
      <c r="L716" s="133"/>
      <c r="M716" s="135"/>
      <c r="N716" s="19"/>
      <c r="O716" s="131"/>
      <c r="P716" s="128"/>
      <c r="Q716" s="30"/>
      <c r="R716" s="29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85"/>
      <c r="L717" s="133"/>
      <c r="M717" s="135"/>
      <c r="N717" s="19"/>
      <c r="O717" s="131"/>
      <c r="P717" s="128"/>
      <c r="Q717" s="30"/>
      <c r="R717" s="29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85"/>
      <c r="L718" s="133"/>
      <c r="M718" s="135"/>
      <c r="N718" s="19"/>
      <c r="O718" s="131"/>
      <c r="P718" s="128"/>
      <c r="Q718" s="30"/>
      <c r="R718" s="29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85"/>
      <c r="L719" s="133"/>
      <c r="M719" s="135"/>
      <c r="N719" s="19"/>
      <c r="O719" s="131"/>
      <c r="P719" s="128"/>
      <c r="Q719" s="30"/>
      <c r="R719" s="29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85"/>
      <c r="L720" s="133"/>
      <c r="M720" s="135"/>
      <c r="N720" s="19"/>
      <c r="O720" s="131"/>
      <c r="P720" s="128"/>
      <c r="Q720" s="30"/>
      <c r="R720" s="29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85"/>
      <c r="L721" s="133"/>
      <c r="M721" s="135"/>
      <c r="N721" s="19"/>
      <c r="O721" s="131"/>
      <c r="P721" s="128"/>
      <c r="Q721" s="30"/>
      <c r="R721" s="29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85"/>
      <c r="L722" s="133"/>
      <c r="M722" s="135"/>
      <c r="N722" s="19"/>
      <c r="O722" s="131"/>
      <c r="P722" s="128"/>
      <c r="Q722" s="30"/>
      <c r="R722" s="29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85"/>
      <c r="L723" s="133"/>
      <c r="M723" s="135"/>
      <c r="N723" s="19"/>
      <c r="O723" s="131"/>
      <c r="P723" s="128"/>
      <c r="Q723" s="30"/>
      <c r="R723" s="29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85"/>
      <c r="L724" s="133"/>
      <c r="M724" s="135"/>
      <c r="N724" s="19"/>
      <c r="O724" s="131"/>
      <c r="P724" s="128"/>
      <c r="Q724" s="30"/>
      <c r="R724" s="29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85"/>
      <c r="L725" s="133"/>
      <c r="M725" s="135"/>
      <c r="N725" s="19"/>
      <c r="O725" s="131"/>
      <c r="P725" s="128"/>
      <c r="Q725" s="30"/>
      <c r="R725" s="29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85"/>
      <c r="L726" s="133"/>
      <c r="M726" s="135"/>
      <c r="N726" s="19"/>
      <c r="O726" s="131"/>
      <c r="P726" s="128"/>
      <c r="Q726" s="30"/>
      <c r="R726" s="29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85"/>
      <c r="L727" s="133"/>
      <c r="M727" s="135"/>
      <c r="N727" s="19"/>
      <c r="O727" s="131"/>
      <c r="P727" s="128"/>
      <c r="Q727" s="30"/>
      <c r="R727" s="29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85"/>
      <c r="L728" s="133"/>
      <c r="M728" s="135"/>
      <c r="N728" s="19"/>
      <c r="O728" s="131"/>
      <c r="P728" s="128"/>
      <c r="Q728" s="30"/>
      <c r="R728" s="29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85"/>
      <c r="L729" s="133"/>
      <c r="M729" s="135"/>
      <c r="N729" s="19"/>
      <c r="O729" s="131"/>
      <c r="P729" s="128"/>
      <c r="Q729" s="30"/>
      <c r="R729" s="29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85"/>
      <c r="L730" s="133"/>
      <c r="M730" s="135"/>
      <c r="N730" s="19"/>
      <c r="O730" s="131"/>
      <c r="P730" s="128"/>
      <c r="Q730" s="30"/>
      <c r="R730" s="29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85"/>
      <c r="L731" s="133"/>
      <c r="M731" s="135"/>
      <c r="N731" s="19"/>
      <c r="O731" s="131"/>
      <c r="P731" s="128"/>
      <c r="Q731" s="30"/>
      <c r="R731" s="29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85"/>
      <c r="L732" s="133"/>
      <c r="M732" s="135"/>
      <c r="N732" s="19"/>
      <c r="O732" s="131"/>
      <c r="P732" s="128"/>
      <c r="Q732" s="30"/>
      <c r="R732" s="29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85"/>
      <c r="L733" s="133"/>
      <c r="M733" s="135"/>
      <c r="N733" s="19"/>
      <c r="O733" s="131"/>
      <c r="P733" s="128"/>
      <c r="Q733" s="30"/>
      <c r="R733" s="29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85"/>
      <c r="L734" s="133"/>
      <c r="M734" s="135"/>
      <c r="N734" s="19"/>
      <c r="O734" s="131"/>
      <c r="P734" s="128"/>
      <c r="Q734" s="30"/>
      <c r="R734" s="29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85"/>
      <c r="L735" s="133"/>
      <c r="M735" s="135"/>
      <c r="N735" s="19"/>
      <c r="O735" s="131"/>
      <c r="P735" s="128"/>
      <c r="Q735" s="30"/>
      <c r="R735" s="29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85"/>
      <c r="L736" s="133"/>
      <c r="M736" s="135"/>
      <c r="N736" s="19"/>
      <c r="O736" s="131"/>
      <c r="P736" s="128"/>
      <c r="Q736" s="30"/>
      <c r="R736" s="29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85"/>
      <c r="L737" s="133"/>
      <c r="M737" s="135"/>
      <c r="N737" s="19"/>
      <c r="O737" s="131"/>
      <c r="P737" s="128"/>
      <c r="Q737" s="30"/>
      <c r="R737" s="29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85"/>
      <c r="L738" s="133"/>
      <c r="M738" s="135"/>
      <c r="N738" s="19"/>
      <c r="O738" s="131"/>
      <c r="P738" s="128"/>
      <c r="Q738" s="30"/>
      <c r="R738" s="29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85"/>
      <c r="L739" s="133"/>
      <c r="M739" s="135"/>
      <c r="N739" s="19"/>
      <c r="O739" s="131"/>
      <c r="P739" s="128"/>
      <c r="Q739" s="30"/>
      <c r="R739" s="29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85"/>
      <c r="L740" s="133"/>
      <c r="M740" s="135"/>
      <c r="N740" s="19"/>
      <c r="O740" s="131"/>
      <c r="P740" s="128"/>
      <c r="Q740" s="30"/>
      <c r="R740" s="29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85"/>
      <c r="L741" s="133"/>
      <c r="M741" s="135"/>
      <c r="N741" s="19"/>
      <c r="O741" s="131"/>
      <c r="P741" s="128"/>
      <c r="Q741" s="30"/>
      <c r="R741" s="29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85"/>
      <c r="L742" s="133"/>
      <c r="M742" s="135"/>
      <c r="N742" s="19"/>
      <c r="O742" s="131"/>
      <c r="P742" s="128"/>
      <c r="Q742" s="30"/>
      <c r="R742" s="29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85"/>
      <c r="L743" s="133"/>
      <c r="M743" s="135"/>
      <c r="N743" s="19"/>
      <c r="O743" s="131"/>
      <c r="P743" s="128"/>
      <c r="Q743" s="30"/>
      <c r="R743" s="29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85"/>
      <c r="L744" s="133"/>
      <c r="M744" s="135"/>
      <c r="N744" s="19"/>
      <c r="O744" s="131"/>
      <c r="P744" s="128"/>
      <c r="Q744" s="30"/>
      <c r="R744" s="29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85"/>
      <c r="L745" s="133"/>
      <c r="M745" s="135"/>
      <c r="N745" s="19"/>
      <c r="O745" s="131"/>
      <c r="P745" s="128"/>
      <c r="Q745" s="30"/>
      <c r="R745" s="29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85"/>
      <c r="L746" s="133"/>
      <c r="M746" s="135"/>
      <c r="N746" s="19"/>
      <c r="O746" s="131"/>
      <c r="P746" s="128"/>
      <c r="Q746" s="30"/>
      <c r="R746" s="29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85"/>
      <c r="L747" s="133"/>
      <c r="M747" s="135"/>
      <c r="N747" s="19"/>
      <c r="O747" s="131"/>
      <c r="P747" s="128"/>
      <c r="Q747" s="30"/>
      <c r="R747" s="29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85"/>
      <c r="L748" s="133"/>
      <c r="M748" s="135"/>
      <c r="N748" s="19"/>
      <c r="O748" s="131"/>
      <c r="P748" s="128"/>
      <c r="Q748" s="30"/>
      <c r="R748" s="29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85"/>
      <c r="L749" s="133"/>
      <c r="M749" s="135"/>
      <c r="N749" s="19"/>
      <c r="O749" s="131"/>
      <c r="P749" s="128"/>
      <c r="Q749" s="30"/>
      <c r="R749" s="29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85"/>
      <c r="L750" s="133"/>
      <c r="M750" s="135"/>
      <c r="N750" s="19"/>
      <c r="O750" s="131"/>
      <c r="P750" s="128"/>
      <c r="Q750" s="30"/>
      <c r="R750" s="29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85"/>
      <c r="L751" s="133"/>
      <c r="M751" s="135"/>
      <c r="N751" s="19"/>
      <c r="O751" s="131"/>
      <c r="P751" s="128"/>
      <c r="Q751" s="30"/>
      <c r="R751" s="29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85"/>
      <c r="L752" s="133"/>
      <c r="M752" s="135"/>
      <c r="N752" s="19"/>
      <c r="O752" s="131"/>
      <c r="P752" s="128"/>
      <c r="Q752" s="30"/>
      <c r="R752" s="29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85"/>
      <c r="L753" s="133"/>
      <c r="M753" s="135"/>
      <c r="N753" s="19"/>
      <c r="O753" s="131"/>
      <c r="P753" s="128"/>
      <c r="Q753" s="30"/>
      <c r="R753" s="29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85"/>
      <c r="L754" s="133"/>
      <c r="M754" s="135"/>
      <c r="N754" s="19"/>
      <c r="O754" s="131"/>
      <c r="P754" s="128"/>
      <c r="Q754" s="30"/>
      <c r="R754" s="29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85"/>
      <c r="L755" s="133"/>
      <c r="M755" s="135"/>
      <c r="N755" s="19"/>
      <c r="O755" s="131"/>
      <c r="P755" s="128"/>
      <c r="Q755" s="30"/>
      <c r="R755" s="29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85"/>
      <c r="L756" s="133"/>
      <c r="M756" s="135"/>
      <c r="N756" s="19"/>
      <c r="O756" s="131"/>
      <c r="P756" s="128"/>
      <c r="Q756" s="30"/>
      <c r="R756" s="29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85"/>
      <c r="L757" s="133"/>
      <c r="M757" s="135"/>
      <c r="N757" s="19"/>
      <c r="O757" s="131"/>
      <c r="P757" s="128"/>
      <c r="Q757" s="30"/>
      <c r="R757" s="29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85"/>
      <c r="L758" s="133"/>
      <c r="M758" s="135"/>
      <c r="N758" s="19"/>
      <c r="O758" s="131"/>
      <c r="P758" s="128"/>
      <c r="Q758" s="30"/>
      <c r="R758" s="29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85"/>
      <c r="L759" s="133"/>
      <c r="M759" s="135"/>
      <c r="N759" s="19"/>
      <c r="O759" s="131"/>
      <c r="P759" s="128"/>
      <c r="Q759" s="30"/>
      <c r="R759" s="29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85"/>
      <c r="L760" s="133"/>
      <c r="M760" s="135"/>
      <c r="N760" s="19"/>
      <c r="O760" s="131"/>
      <c r="P760" s="128"/>
      <c r="Q760" s="30"/>
      <c r="R760" s="29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85"/>
      <c r="L761" s="133"/>
      <c r="M761" s="135"/>
      <c r="N761" s="19"/>
      <c r="O761" s="131"/>
      <c r="P761" s="128"/>
      <c r="Q761" s="30"/>
      <c r="R761" s="29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85"/>
      <c r="L762" s="133"/>
      <c r="M762" s="135"/>
      <c r="N762" s="19"/>
      <c r="O762" s="131"/>
      <c r="P762" s="128"/>
      <c r="Q762" s="30"/>
      <c r="R762" s="29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85"/>
      <c r="L763" s="133"/>
      <c r="M763" s="135"/>
      <c r="N763" s="19"/>
      <c r="O763" s="131"/>
      <c r="P763" s="128"/>
      <c r="Q763" s="30"/>
      <c r="R763" s="29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85"/>
      <c r="L764" s="133"/>
      <c r="M764" s="135"/>
      <c r="N764" s="19"/>
      <c r="O764" s="131"/>
      <c r="P764" s="128"/>
      <c r="Q764" s="30"/>
      <c r="R764" s="29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85"/>
      <c r="L765" s="133"/>
      <c r="M765" s="135"/>
      <c r="N765" s="19"/>
      <c r="O765" s="131"/>
      <c r="P765" s="128"/>
      <c r="Q765" s="30"/>
      <c r="R765" s="29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85"/>
      <c r="L766" s="133"/>
      <c r="M766" s="135"/>
      <c r="N766" s="19"/>
      <c r="O766" s="131"/>
      <c r="P766" s="128"/>
      <c r="Q766" s="30"/>
      <c r="R766" s="29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85"/>
      <c r="L767" s="133"/>
      <c r="M767" s="135"/>
      <c r="N767" s="19"/>
      <c r="O767" s="131"/>
      <c r="P767" s="128"/>
      <c r="Q767" s="30"/>
      <c r="R767" s="29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85"/>
      <c r="L768" s="133"/>
      <c r="M768" s="135"/>
      <c r="N768" s="19"/>
      <c r="O768" s="131"/>
      <c r="P768" s="128"/>
      <c r="Q768" s="30"/>
      <c r="R768" s="29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85"/>
      <c r="L769" s="133"/>
      <c r="M769" s="135"/>
      <c r="N769" s="19"/>
      <c r="O769" s="131"/>
      <c r="P769" s="128"/>
      <c r="Q769" s="30"/>
      <c r="R769" s="29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85"/>
      <c r="L770" s="133"/>
      <c r="M770" s="135"/>
      <c r="N770" s="19"/>
      <c r="O770" s="131"/>
      <c r="P770" s="128"/>
      <c r="Q770" s="30"/>
      <c r="R770" s="29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85"/>
      <c r="L771" s="133"/>
      <c r="M771" s="135"/>
      <c r="N771" s="19"/>
      <c r="O771" s="131"/>
      <c r="P771" s="128"/>
      <c r="Q771" s="30"/>
      <c r="R771" s="29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85"/>
      <c r="L772" s="133"/>
      <c r="M772" s="135"/>
      <c r="N772" s="19"/>
      <c r="O772" s="131"/>
      <c r="P772" s="128"/>
      <c r="Q772" s="30"/>
      <c r="R772" s="29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85"/>
      <c r="L773" s="133"/>
      <c r="M773" s="135"/>
      <c r="N773" s="19"/>
      <c r="O773" s="131"/>
      <c r="P773" s="128"/>
      <c r="Q773" s="30"/>
      <c r="R773" s="29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85"/>
      <c r="L774" s="133"/>
      <c r="M774" s="135"/>
      <c r="N774" s="19"/>
      <c r="O774" s="131"/>
      <c r="P774" s="128"/>
      <c r="Q774" s="30"/>
      <c r="R774" s="29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85"/>
      <c r="L775" s="133"/>
      <c r="M775" s="135"/>
      <c r="N775" s="19"/>
      <c r="O775" s="131"/>
      <c r="P775" s="128"/>
      <c r="Q775" s="30"/>
      <c r="R775" s="29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85"/>
      <c r="L776" s="133"/>
      <c r="M776" s="135"/>
      <c r="N776" s="19"/>
      <c r="O776" s="131"/>
      <c r="P776" s="128"/>
      <c r="Q776" s="30"/>
      <c r="R776" s="29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85"/>
      <c r="L777" s="133"/>
      <c r="M777" s="135"/>
      <c r="N777" s="19"/>
      <c r="O777" s="131"/>
      <c r="P777" s="128"/>
      <c r="Q777" s="30"/>
      <c r="R777" s="29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85"/>
      <c r="L778" s="133"/>
      <c r="M778" s="135"/>
      <c r="N778" s="19"/>
      <c r="O778" s="131"/>
      <c r="P778" s="128"/>
      <c r="Q778" s="30"/>
      <c r="R778" s="29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85"/>
      <c r="L779" s="133"/>
      <c r="M779" s="135"/>
      <c r="N779" s="19"/>
      <c r="O779" s="131"/>
      <c r="P779" s="128"/>
      <c r="Q779" s="30"/>
      <c r="R779" s="29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85"/>
      <c r="L780" s="133"/>
      <c r="M780" s="135"/>
      <c r="N780" s="19"/>
      <c r="O780" s="131"/>
      <c r="P780" s="128"/>
      <c r="Q780" s="30"/>
      <c r="R780" s="29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85"/>
      <c r="L781" s="133"/>
      <c r="M781" s="135"/>
      <c r="N781" s="19"/>
      <c r="O781" s="131"/>
      <c r="P781" s="128"/>
      <c r="Q781" s="30"/>
      <c r="R781" s="29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85"/>
      <c r="L782" s="133"/>
      <c r="M782" s="135"/>
      <c r="N782" s="19"/>
      <c r="O782" s="131"/>
      <c r="P782" s="128"/>
      <c r="Q782" s="30"/>
      <c r="R782" s="29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85"/>
      <c r="L783" s="133"/>
      <c r="M783" s="135"/>
      <c r="N783" s="19"/>
      <c r="O783" s="131"/>
      <c r="P783" s="128"/>
      <c r="Q783" s="30"/>
      <c r="R783" s="29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85"/>
      <c r="L784" s="133"/>
      <c r="M784" s="135"/>
      <c r="N784" s="19"/>
      <c r="O784" s="131"/>
      <c r="P784" s="128"/>
      <c r="Q784" s="30"/>
      <c r="R784" s="29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85"/>
      <c r="L785" s="133"/>
      <c r="M785" s="135"/>
      <c r="N785" s="19"/>
      <c r="O785" s="131"/>
      <c r="P785" s="128"/>
      <c r="Q785" s="30"/>
      <c r="R785" s="29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85"/>
      <c r="L786" s="133"/>
      <c r="M786" s="135"/>
      <c r="N786" s="19"/>
      <c r="O786" s="131"/>
      <c r="P786" s="128"/>
      <c r="Q786" s="30"/>
      <c r="R786" s="29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85"/>
      <c r="L787" s="133"/>
      <c r="M787" s="135"/>
      <c r="N787" s="19"/>
      <c r="O787" s="131"/>
      <c r="P787" s="128"/>
      <c r="Q787" s="30"/>
      <c r="R787" s="29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85"/>
      <c r="L788" s="133"/>
      <c r="M788" s="135"/>
      <c r="N788" s="19"/>
      <c r="O788" s="131"/>
      <c r="P788" s="128"/>
      <c r="Q788" s="30"/>
      <c r="R788" s="29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85"/>
      <c r="L789" s="133"/>
      <c r="M789" s="135"/>
      <c r="N789" s="19"/>
      <c r="O789" s="131"/>
      <c r="P789" s="128"/>
      <c r="Q789" s="30"/>
      <c r="R789" s="29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85"/>
      <c r="L790" s="133"/>
      <c r="M790" s="135"/>
      <c r="N790" s="19"/>
      <c r="O790" s="131"/>
      <c r="P790" s="128"/>
      <c r="Q790" s="30"/>
      <c r="R790" s="29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85"/>
      <c r="L791" s="133"/>
      <c r="M791" s="135"/>
      <c r="N791" s="19"/>
      <c r="O791" s="131"/>
      <c r="P791" s="128"/>
      <c r="Q791" s="30"/>
      <c r="R791" s="29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85"/>
      <c r="L792" s="133"/>
      <c r="M792" s="135"/>
      <c r="N792" s="19"/>
      <c r="O792" s="131"/>
      <c r="P792" s="128"/>
      <c r="Q792" s="30"/>
      <c r="R792" s="29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85"/>
      <c r="L793" s="133"/>
      <c r="M793" s="135"/>
      <c r="N793" s="19"/>
      <c r="O793" s="131"/>
      <c r="P793" s="128"/>
      <c r="Q793" s="30"/>
      <c r="R793" s="29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85"/>
      <c r="L794" s="133"/>
      <c r="M794" s="135"/>
      <c r="N794" s="19"/>
      <c r="O794" s="131"/>
      <c r="P794" s="128"/>
      <c r="Q794" s="30"/>
      <c r="R794" s="29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85"/>
      <c r="L795" s="133"/>
      <c r="M795" s="135"/>
      <c r="N795" s="19"/>
      <c r="O795" s="131"/>
      <c r="P795" s="128"/>
      <c r="Q795" s="30"/>
      <c r="R795" s="29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85"/>
      <c r="L796" s="133"/>
      <c r="M796" s="135"/>
      <c r="N796" s="19"/>
      <c r="O796" s="131"/>
      <c r="P796" s="128"/>
      <c r="Q796" s="30"/>
      <c r="R796" s="29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85"/>
      <c r="L797" s="133"/>
      <c r="M797" s="135"/>
      <c r="N797" s="19"/>
      <c r="O797" s="131"/>
      <c r="P797" s="128"/>
      <c r="Q797" s="30"/>
      <c r="R797" s="29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85"/>
      <c r="L798" s="133"/>
      <c r="M798" s="135"/>
      <c r="N798" s="19"/>
      <c r="O798" s="131"/>
      <c r="P798" s="128"/>
      <c r="Q798" s="30"/>
      <c r="R798" s="29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85"/>
      <c r="L799" s="133"/>
      <c r="M799" s="135"/>
      <c r="N799" s="19"/>
      <c r="O799" s="131"/>
      <c r="P799" s="128"/>
      <c r="Q799" s="30"/>
      <c r="R799" s="29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85"/>
      <c r="L800" s="133"/>
      <c r="M800" s="135"/>
      <c r="N800" s="19"/>
      <c r="O800" s="131"/>
      <c r="P800" s="128"/>
      <c r="Q800" s="30"/>
      <c r="R800" s="29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85"/>
      <c r="L801" s="133"/>
      <c r="M801" s="135"/>
      <c r="N801" s="19"/>
      <c r="O801" s="131"/>
      <c r="P801" s="128"/>
      <c r="Q801" s="30"/>
      <c r="R801" s="29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85"/>
      <c r="L802" s="133"/>
      <c r="M802" s="135"/>
      <c r="N802" s="19"/>
      <c r="O802" s="131"/>
      <c r="P802" s="128"/>
      <c r="Q802" s="30"/>
      <c r="R802" s="29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85"/>
      <c r="L803" s="133"/>
      <c r="M803" s="135"/>
      <c r="N803" s="19"/>
      <c r="O803" s="131"/>
      <c r="P803" s="128"/>
      <c r="Q803" s="30"/>
      <c r="R803" s="29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85"/>
      <c r="L804" s="133"/>
      <c r="M804" s="135"/>
      <c r="N804" s="19"/>
      <c r="O804" s="131"/>
      <c r="P804" s="128"/>
      <c r="Q804" s="30"/>
      <c r="R804" s="29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85"/>
      <c r="L805" s="133"/>
      <c r="M805" s="135"/>
      <c r="N805" s="19"/>
      <c r="O805" s="131"/>
      <c r="P805" s="128"/>
      <c r="Q805" s="30"/>
      <c r="R805" s="29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85"/>
      <c r="L806" s="133"/>
      <c r="M806" s="135"/>
      <c r="N806" s="19"/>
      <c r="O806" s="131"/>
      <c r="P806" s="128"/>
      <c r="Q806" s="30"/>
      <c r="R806" s="29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85"/>
      <c r="L807" s="133"/>
      <c r="M807" s="135"/>
      <c r="N807" s="19"/>
      <c r="O807" s="131"/>
      <c r="P807" s="128"/>
      <c r="Q807" s="30"/>
      <c r="R807" s="29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85"/>
      <c r="L808" s="133"/>
      <c r="M808" s="135"/>
      <c r="N808" s="19"/>
      <c r="O808" s="131"/>
      <c r="P808" s="128"/>
      <c r="Q808" s="30"/>
      <c r="R808" s="29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85"/>
      <c r="L809" s="133"/>
      <c r="M809" s="135"/>
      <c r="N809" s="19"/>
      <c r="O809" s="131"/>
      <c r="P809" s="128"/>
      <c r="Q809" s="30"/>
      <c r="R809" s="29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85"/>
      <c r="L810" s="133"/>
      <c r="M810" s="135"/>
      <c r="N810" s="19"/>
      <c r="O810" s="131"/>
      <c r="P810" s="128"/>
      <c r="Q810" s="30"/>
      <c r="R810" s="29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85"/>
      <c r="L811" s="133"/>
      <c r="M811" s="135"/>
      <c r="N811" s="19"/>
      <c r="O811" s="131"/>
      <c r="P811" s="128"/>
      <c r="Q811" s="30"/>
      <c r="R811" s="29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85"/>
      <c r="L812" s="133"/>
      <c r="M812" s="135"/>
      <c r="N812" s="19"/>
      <c r="O812" s="131"/>
      <c r="P812" s="128"/>
      <c r="Q812" s="30"/>
      <c r="R812" s="29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85"/>
      <c r="L813" s="133"/>
      <c r="M813" s="135"/>
      <c r="N813" s="19"/>
      <c r="O813" s="131"/>
      <c r="P813" s="128"/>
      <c r="Q813" s="30"/>
      <c r="R813" s="29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85"/>
      <c r="L814" s="133"/>
      <c r="M814" s="135"/>
      <c r="N814" s="19"/>
      <c r="O814" s="131"/>
      <c r="P814" s="128"/>
      <c r="Q814" s="30"/>
      <c r="R814" s="29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85"/>
      <c r="L815" s="133"/>
      <c r="M815" s="135"/>
      <c r="N815" s="19"/>
      <c r="O815" s="131"/>
      <c r="P815" s="128"/>
      <c r="Q815" s="30"/>
      <c r="R815" s="29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85"/>
      <c r="L816" s="133"/>
      <c r="M816" s="135"/>
      <c r="N816" s="19"/>
      <c r="O816" s="131"/>
      <c r="P816" s="128"/>
      <c r="Q816" s="30"/>
      <c r="R816" s="29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85"/>
      <c r="L817" s="133"/>
      <c r="M817" s="135"/>
      <c r="N817" s="19"/>
      <c r="O817" s="131"/>
      <c r="P817" s="128"/>
      <c r="Q817" s="30"/>
      <c r="R817" s="29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85"/>
      <c r="L818" s="133"/>
      <c r="M818" s="135"/>
      <c r="N818" s="19"/>
      <c r="O818" s="131"/>
      <c r="P818" s="128"/>
      <c r="Q818" s="30"/>
      <c r="R818" s="29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85"/>
      <c r="L819" s="133"/>
      <c r="M819" s="135"/>
      <c r="N819" s="19"/>
      <c r="O819" s="131"/>
      <c r="P819" s="128"/>
      <c r="Q819" s="30"/>
      <c r="R819" s="29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85"/>
      <c r="L820" s="133"/>
      <c r="M820" s="135"/>
      <c r="N820" s="19"/>
      <c r="O820" s="131"/>
      <c r="P820" s="128"/>
      <c r="Q820" s="30"/>
      <c r="R820" s="29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85"/>
      <c r="L821" s="133"/>
      <c r="M821" s="135"/>
      <c r="N821" s="19"/>
      <c r="O821" s="131"/>
      <c r="P821" s="128"/>
      <c r="Q821" s="30"/>
      <c r="R821" s="29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85"/>
      <c r="L822" s="133"/>
      <c r="M822" s="135"/>
      <c r="N822" s="19"/>
      <c r="O822" s="131"/>
      <c r="P822" s="128"/>
      <c r="Q822" s="30"/>
      <c r="R822" s="29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85"/>
      <c r="L823" s="133"/>
      <c r="M823" s="135"/>
      <c r="N823" s="19"/>
      <c r="O823" s="131"/>
      <c r="P823" s="128"/>
      <c r="Q823" s="30"/>
      <c r="R823" s="29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85"/>
      <c r="L824" s="133"/>
      <c r="M824" s="135"/>
      <c r="N824" s="19"/>
      <c r="O824" s="131"/>
      <c r="P824" s="128"/>
      <c r="Q824" s="30"/>
      <c r="R824" s="29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85"/>
      <c r="L825" s="133"/>
      <c r="M825" s="135"/>
      <c r="N825" s="19"/>
      <c r="O825" s="131"/>
      <c r="P825" s="128"/>
      <c r="Q825" s="30"/>
      <c r="R825" s="29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85"/>
      <c r="L826" s="133"/>
      <c r="M826" s="135"/>
      <c r="N826" s="19"/>
      <c r="O826" s="131"/>
      <c r="P826" s="128"/>
      <c r="Q826" s="30"/>
      <c r="R826" s="29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85"/>
      <c r="L827" s="133"/>
      <c r="M827" s="135"/>
      <c r="N827" s="19"/>
      <c r="O827" s="131"/>
      <c r="P827" s="128"/>
      <c r="Q827" s="30"/>
      <c r="R827" s="29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85"/>
      <c r="L828" s="133"/>
      <c r="M828" s="135"/>
      <c r="N828" s="19"/>
      <c r="O828" s="131"/>
      <c r="P828" s="128"/>
      <c r="Q828" s="30"/>
      <c r="R828" s="29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85"/>
      <c r="L829" s="133"/>
      <c r="M829" s="135"/>
      <c r="N829" s="19"/>
      <c r="O829" s="131"/>
      <c r="P829" s="128"/>
      <c r="Q829" s="30"/>
      <c r="R829" s="29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85"/>
      <c r="L830" s="133"/>
      <c r="M830" s="135"/>
      <c r="N830" s="19"/>
      <c r="O830" s="131"/>
      <c r="P830" s="128"/>
      <c r="Q830" s="30"/>
      <c r="R830" s="29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85"/>
      <c r="L831" s="133"/>
      <c r="M831" s="135"/>
      <c r="N831" s="19"/>
      <c r="O831" s="131"/>
      <c r="P831" s="128"/>
      <c r="Q831" s="30"/>
      <c r="R831" s="29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85"/>
      <c r="L832" s="133"/>
      <c r="M832" s="135"/>
      <c r="N832" s="19"/>
      <c r="O832" s="131"/>
      <c r="P832" s="128"/>
      <c r="Q832" s="30"/>
      <c r="R832" s="29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85"/>
      <c r="L833" s="133"/>
      <c r="M833" s="135"/>
      <c r="N833" s="19"/>
      <c r="O833" s="131"/>
      <c r="P833" s="128"/>
      <c r="Q833" s="30"/>
      <c r="R833" s="29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85"/>
      <c r="L834" s="133"/>
      <c r="M834" s="135"/>
      <c r="N834" s="19"/>
      <c r="O834" s="131"/>
      <c r="P834" s="128"/>
      <c r="Q834" s="30"/>
      <c r="R834" s="29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85"/>
      <c r="L835" s="133"/>
      <c r="M835" s="135"/>
      <c r="N835" s="19"/>
      <c r="O835" s="131"/>
      <c r="P835" s="128"/>
      <c r="Q835" s="30"/>
      <c r="R835" s="29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85"/>
      <c r="L836" s="133"/>
      <c r="M836" s="135"/>
      <c r="N836" s="19"/>
      <c r="O836" s="131"/>
      <c r="P836" s="128"/>
      <c r="Q836" s="30"/>
      <c r="R836" s="29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85"/>
      <c r="L837" s="133"/>
      <c r="M837" s="135"/>
      <c r="N837" s="19"/>
      <c r="O837" s="131"/>
      <c r="P837" s="128"/>
      <c r="Q837" s="30"/>
      <c r="R837" s="29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85"/>
      <c r="L838" s="133"/>
      <c r="M838" s="135"/>
      <c r="N838" s="19"/>
      <c r="O838" s="131"/>
      <c r="P838" s="128"/>
      <c r="Q838" s="30"/>
      <c r="R838" s="29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85"/>
      <c r="L839" s="133"/>
      <c r="M839" s="135"/>
      <c r="N839" s="19"/>
      <c r="O839" s="131"/>
      <c r="P839" s="128"/>
      <c r="Q839" s="30"/>
      <c r="R839" s="29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85"/>
      <c r="L840" s="133"/>
      <c r="M840" s="135"/>
      <c r="N840" s="19"/>
      <c r="O840" s="131"/>
      <c r="P840" s="128"/>
      <c r="Q840" s="30"/>
      <c r="R840" s="29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85"/>
      <c r="L841" s="133"/>
      <c r="M841" s="135"/>
      <c r="N841" s="19"/>
      <c r="O841" s="131"/>
      <c r="P841" s="128"/>
      <c r="Q841" s="30"/>
      <c r="R841" s="29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85"/>
      <c r="L842" s="133"/>
      <c r="M842" s="135"/>
      <c r="N842" s="19"/>
      <c r="O842" s="131"/>
      <c r="P842" s="128"/>
      <c r="Q842" s="30"/>
      <c r="R842" s="29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85"/>
      <c r="L843" s="133"/>
      <c r="M843" s="135"/>
      <c r="N843" s="19"/>
      <c r="O843" s="131"/>
      <c r="P843" s="128"/>
      <c r="Q843" s="30"/>
      <c r="R843" s="29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85"/>
      <c r="L844" s="133"/>
      <c r="M844" s="135"/>
      <c r="N844" s="19"/>
      <c r="O844" s="131"/>
      <c r="P844" s="128"/>
      <c r="Q844" s="30"/>
      <c r="R844" s="29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85"/>
      <c r="L845" s="133"/>
      <c r="M845" s="135"/>
      <c r="N845" s="19"/>
      <c r="O845" s="131"/>
      <c r="P845" s="128"/>
      <c r="Q845" s="30"/>
      <c r="R845" s="29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85"/>
      <c r="L846" s="133"/>
      <c r="M846" s="135"/>
      <c r="N846" s="19"/>
      <c r="O846" s="131"/>
      <c r="P846" s="128"/>
      <c r="Q846" s="30"/>
      <c r="R846" s="29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85"/>
      <c r="L847" s="133"/>
      <c r="M847" s="135"/>
      <c r="N847" s="19"/>
      <c r="O847" s="131"/>
      <c r="P847" s="128"/>
      <c r="Q847" s="30"/>
      <c r="R847" s="29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85"/>
      <c r="L848" s="133"/>
      <c r="M848" s="135"/>
      <c r="N848" s="19"/>
      <c r="O848" s="131"/>
      <c r="P848" s="128"/>
      <c r="Q848" s="30"/>
      <c r="R848" s="29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85"/>
      <c r="L849" s="133"/>
      <c r="M849" s="135"/>
      <c r="N849" s="19"/>
      <c r="O849" s="131"/>
      <c r="P849" s="128"/>
      <c r="Q849" s="30"/>
      <c r="R849" s="29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85"/>
      <c r="L850" s="133"/>
      <c r="M850" s="135"/>
      <c r="N850" s="19"/>
      <c r="O850" s="131"/>
      <c r="P850" s="128"/>
      <c r="Q850" s="30"/>
      <c r="R850" s="29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85"/>
      <c r="L851" s="133"/>
      <c r="M851" s="135"/>
      <c r="N851" s="19"/>
      <c r="O851" s="131"/>
      <c r="P851" s="128"/>
      <c r="Q851" s="30"/>
      <c r="R851" s="29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85"/>
      <c r="L852" s="133"/>
      <c r="M852" s="135"/>
      <c r="N852" s="19"/>
      <c r="O852" s="131"/>
      <c r="P852" s="128"/>
      <c r="Q852" s="30"/>
      <c r="R852" s="29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85"/>
      <c r="L853" s="133"/>
      <c r="M853" s="135"/>
      <c r="N853" s="19"/>
      <c r="O853" s="131"/>
      <c r="P853" s="128"/>
      <c r="Q853" s="30"/>
      <c r="R853" s="29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85"/>
      <c r="L854" s="133"/>
      <c r="M854" s="135"/>
      <c r="N854" s="19"/>
      <c r="O854" s="131"/>
      <c r="P854" s="128"/>
      <c r="Q854" s="30"/>
      <c r="R854" s="29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85"/>
      <c r="L855" s="133"/>
      <c r="M855" s="135"/>
      <c r="N855" s="19"/>
      <c r="O855" s="131"/>
      <c r="P855" s="128"/>
      <c r="Q855" s="30"/>
      <c r="R855" s="29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85"/>
      <c r="L856" s="133"/>
      <c r="M856" s="135"/>
      <c r="N856" s="19"/>
      <c r="O856" s="131"/>
      <c r="P856" s="128"/>
      <c r="Q856" s="30"/>
      <c r="R856" s="29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85"/>
      <c r="L857" s="133"/>
      <c r="M857" s="135"/>
      <c r="N857" s="19"/>
      <c r="O857" s="131"/>
      <c r="P857" s="128"/>
      <c r="Q857" s="30"/>
      <c r="R857" s="29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85"/>
      <c r="L858" s="133"/>
      <c r="M858" s="135"/>
      <c r="N858" s="19"/>
      <c r="O858" s="131"/>
      <c r="P858" s="128"/>
      <c r="Q858" s="30"/>
      <c r="R858" s="29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85"/>
      <c r="L859" s="133"/>
      <c r="M859" s="135"/>
      <c r="N859" s="19"/>
      <c r="O859" s="131"/>
      <c r="P859" s="128"/>
      <c r="Q859" s="30"/>
      <c r="R859" s="29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85"/>
      <c r="L860" s="133"/>
      <c r="M860" s="135"/>
      <c r="N860" s="19"/>
      <c r="O860" s="131"/>
      <c r="P860" s="128"/>
      <c r="Q860" s="30"/>
      <c r="R860" s="29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85"/>
      <c r="L861" s="133"/>
      <c r="M861" s="135"/>
      <c r="N861" s="19"/>
      <c r="O861" s="131"/>
      <c r="P861" s="128"/>
      <c r="Q861" s="30"/>
      <c r="R861" s="29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85"/>
      <c r="L862" s="133"/>
      <c r="M862" s="135"/>
      <c r="N862" s="19"/>
      <c r="O862" s="131"/>
      <c r="P862" s="128"/>
      <c r="Q862" s="30"/>
      <c r="R862" s="29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85"/>
      <c r="L863" s="133"/>
      <c r="M863" s="135"/>
      <c r="N863" s="19"/>
      <c r="O863" s="131"/>
      <c r="P863" s="128"/>
      <c r="Q863" s="30"/>
      <c r="R863" s="29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85"/>
      <c r="L864" s="133"/>
      <c r="M864" s="135"/>
      <c r="N864" s="19"/>
      <c r="O864" s="131"/>
      <c r="P864" s="128"/>
      <c r="Q864" s="30"/>
      <c r="R864" s="29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85"/>
      <c r="L865" s="133"/>
      <c r="M865" s="135"/>
      <c r="N865" s="19"/>
      <c r="O865" s="131"/>
      <c r="P865" s="128"/>
      <c r="Q865" s="30"/>
      <c r="R865" s="29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85"/>
      <c r="L866" s="133"/>
      <c r="M866" s="135"/>
      <c r="N866" s="19"/>
      <c r="O866" s="131"/>
      <c r="P866" s="128"/>
      <c r="Q866" s="30"/>
      <c r="R866" s="29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85"/>
      <c r="L867" s="133"/>
      <c r="M867" s="135"/>
      <c r="N867" s="19"/>
      <c r="O867" s="131"/>
      <c r="P867" s="128"/>
      <c r="Q867" s="30"/>
      <c r="R867" s="29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85"/>
      <c r="L868" s="133"/>
      <c r="M868" s="135"/>
      <c r="N868" s="19"/>
      <c r="O868" s="131"/>
      <c r="P868" s="128"/>
      <c r="Q868" s="30"/>
      <c r="R868" s="29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85"/>
      <c r="L869" s="133"/>
      <c r="M869" s="135"/>
      <c r="N869" s="19"/>
      <c r="O869" s="131"/>
      <c r="P869" s="128"/>
      <c r="Q869" s="30"/>
      <c r="R869" s="29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85"/>
      <c r="L870" s="133"/>
      <c r="M870" s="135"/>
      <c r="N870" s="19"/>
      <c r="O870" s="131"/>
      <c r="P870" s="128"/>
      <c r="Q870" s="30"/>
      <c r="R870" s="29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85"/>
      <c r="L871" s="133"/>
      <c r="M871" s="135"/>
      <c r="N871" s="19"/>
      <c r="O871" s="131"/>
      <c r="P871" s="128"/>
      <c r="Q871" s="30"/>
      <c r="R871" s="29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85"/>
      <c r="L872" s="133"/>
      <c r="M872" s="135"/>
      <c r="N872" s="19"/>
      <c r="O872" s="131"/>
      <c r="P872" s="128"/>
      <c r="Q872" s="30"/>
      <c r="R872" s="29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85"/>
      <c r="L873" s="133"/>
      <c r="M873" s="135"/>
      <c r="N873" s="19"/>
      <c r="O873" s="131"/>
      <c r="P873" s="128"/>
      <c r="Q873" s="30"/>
      <c r="R873" s="29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85"/>
      <c r="L874" s="133"/>
      <c r="M874" s="135"/>
      <c r="N874" s="19"/>
      <c r="O874" s="131"/>
      <c r="P874" s="128"/>
      <c r="Q874" s="30"/>
      <c r="R874" s="29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85"/>
      <c r="L875" s="133"/>
      <c r="M875" s="135"/>
      <c r="N875" s="19"/>
      <c r="O875" s="131"/>
      <c r="P875" s="128"/>
      <c r="Q875" s="30"/>
      <c r="R875" s="29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85"/>
      <c r="L876" s="133"/>
      <c r="M876" s="135"/>
      <c r="N876" s="19"/>
      <c r="O876" s="131"/>
      <c r="P876" s="128"/>
      <c r="Q876" s="30"/>
      <c r="R876" s="29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85"/>
      <c r="L877" s="133"/>
      <c r="M877" s="135"/>
      <c r="N877" s="19"/>
      <c r="O877" s="131"/>
      <c r="P877" s="128"/>
      <c r="Q877" s="30"/>
      <c r="R877" s="29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85"/>
      <c r="L878" s="133"/>
      <c r="M878" s="135"/>
      <c r="N878" s="19"/>
      <c r="O878" s="131"/>
      <c r="P878" s="128"/>
      <c r="Q878" s="30"/>
      <c r="R878" s="29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85"/>
      <c r="L879" s="133"/>
      <c r="M879" s="135"/>
      <c r="N879" s="19"/>
      <c r="O879" s="131"/>
      <c r="P879" s="128"/>
      <c r="Q879" s="30"/>
      <c r="R879" s="29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85"/>
      <c r="L880" s="133"/>
      <c r="M880" s="135"/>
      <c r="N880" s="19"/>
      <c r="O880" s="131"/>
      <c r="P880" s="128"/>
      <c r="Q880" s="30"/>
      <c r="R880" s="29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85"/>
      <c r="L881" s="133"/>
      <c r="M881" s="135"/>
      <c r="N881" s="19"/>
      <c r="O881" s="131"/>
      <c r="P881" s="128"/>
      <c r="Q881" s="30"/>
      <c r="R881" s="29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85"/>
      <c r="L882" s="133"/>
      <c r="M882" s="135"/>
      <c r="N882" s="19"/>
      <c r="O882" s="131"/>
      <c r="P882" s="128"/>
      <c r="Q882" s="30"/>
      <c r="R882" s="29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85"/>
      <c r="L883" s="133"/>
      <c r="M883" s="135"/>
      <c r="N883" s="19"/>
      <c r="O883" s="131"/>
      <c r="P883" s="128"/>
      <c r="Q883" s="30"/>
      <c r="R883" s="29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85"/>
      <c r="L884" s="133"/>
      <c r="M884" s="135"/>
      <c r="N884" s="19"/>
      <c r="O884" s="131"/>
      <c r="P884" s="128"/>
      <c r="Q884" s="30"/>
      <c r="R884" s="29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85"/>
      <c r="L885" s="133"/>
      <c r="M885" s="135"/>
      <c r="N885" s="19"/>
      <c r="O885" s="131"/>
      <c r="P885" s="128"/>
      <c r="Q885" s="30"/>
      <c r="R885" s="29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85"/>
      <c r="L886" s="133"/>
      <c r="M886" s="135"/>
      <c r="N886" s="19"/>
      <c r="O886" s="131"/>
      <c r="P886" s="128"/>
      <c r="Q886" s="30"/>
      <c r="R886" s="29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85"/>
      <c r="L887" s="133"/>
      <c r="M887" s="135"/>
      <c r="N887" s="19"/>
      <c r="O887" s="131"/>
      <c r="P887" s="128"/>
      <c r="Q887" s="30"/>
      <c r="R887" s="29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85"/>
      <c r="L888" s="133"/>
      <c r="M888" s="135"/>
      <c r="N888" s="19"/>
      <c r="O888" s="131"/>
      <c r="P888" s="128"/>
      <c r="Q888" s="30"/>
      <c r="R888" s="29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85"/>
      <c r="L889" s="133"/>
      <c r="M889" s="135"/>
      <c r="N889" s="19"/>
      <c r="O889" s="131"/>
      <c r="P889" s="128"/>
      <c r="Q889" s="30"/>
      <c r="R889" s="29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85"/>
      <c r="L890" s="133"/>
      <c r="M890" s="135"/>
      <c r="N890" s="19"/>
      <c r="O890" s="131"/>
      <c r="P890" s="128"/>
      <c r="Q890" s="30"/>
      <c r="R890" s="29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85"/>
      <c r="L891" s="133"/>
      <c r="M891" s="135"/>
      <c r="N891" s="19"/>
      <c r="O891" s="131"/>
      <c r="P891" s="128"/>
      <c r="Q891" s="30"/>
      <c r="R891" s="29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85"/>
      <c r="L892" s="133"/>
      <c r="M892" s="135"/>
      <c r="N892" s="19"/>
      <c r="O892" s="131"/>
      <c r="P892" s="128"/>
      <c r="Q892" s="30"/>
      <c r="R892" s="29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85"/>
      <c r="L893" s="133"/>
      <c r="M893" s="135"/>
      <c r="N893" s="19"/>
      <c r="O893" s="131"/>
      <c r="P893" s="128"/>
      <c r="Q893" s="30"/>
      <c r="R893" s="29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85"/>
      <c r="L894" s="133"/>
      <c r="M894" s="135"/>
      <c r="N894" s="19"/>
      <c r="O894" s="131"/>
      <c r="P894" s="128"/>
      <c r="Q894" s="30"/>
      <c r="R894" s="29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85"/>
      <c r="L895" s="133"/>
      <c r="M895" s="135"/>
      <c r="N895" s="19"/>
      <c r="O895" s="131"/>
      <c r="P895" s="128"/>
      <c r="Q895" s="30"/>
      <c r="R895" s="29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85"/>
      <c r="L896" s="133"/>
      <c r="M896" s="135"/>
      <c r="N896" s="19"/>
      <c r="O896" s="131"/>
      <c r="P896" s="128"/>
      <c r="Q896" s="30"/>
      <c r="R896" s="29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85"/>
      <c r="L897" s="133"/>
      <c r="M897" s="135"/>
      <c r="N897" s="19"/>
      <c r="O897" s="131"/>
      <c r="P897" s="128"/>
      <c r="Q897" s="30"/>
      <c r="R897" s="29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85"/>
      <c r="L898" s="133"/>
      <c r="M898" s="135"/>
      <c r="N898" s="19"/>
      <c r="O898" s="131"/>
      <c r="P898" s="128"/>
      <c r="Q898" s="30"/>
      <c r="R898" s="29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85"/>
      <c r="L899" s="133"/>
      <c r="M899" s="135"/>
      <c r="N899" s="19"/>
      <c r="O899" s="131"/>
      <c r="P899" s="128"/>
      <c r="Q899" s="30"/>
      <c r="R899" s="29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85"/>
      <c r="L900" s="133"/>
      <c r="M900" s="135"/>
      <c r="N900" s="19"/>
      <c r="O900" s="131"/>
      <c r="P900" s="128"/>
      <c r="Q900" s="30"/>
      <c r="R900" s="29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85"/>
      <c r="L901" s="133"/>
      <c r="M901" s="135"/>
      <c r="N901" s="19"/>
      <c r="O901" s="131"/>
      <c r="P901" s="128"/>
      <c r="Q901" s="30"/>
      <c r="R901" s="29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85"/>
      <c r="L902" s="133"/>
      <c r="M902" s="135"/>
      <c r="N902" s="19"/>
      <c r="O902" s="131"/>
      <c r="P902" s="128"/>
      <c r="Q902" s="30"/>
      <c r="R902" s="29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85"/>
      <c r="L903" s="133"/>
      <c r="M903" s="135"/>
      <c r="N903" s="19"/>
      <c r="O903" s="131"/>
      <c r="P903" s="128"/>
      <c r="Q903" s="30"/>
      <c r="R903" s="29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85"/>
      <c r="L904" s="133"/>
      <c r="M904" s="135"/>
      <c r="N904" s="19"/>
      <c r="O904" s="131"/>
      <c r="P904" s="128"/>
      <c r="Q904" s="30"/>
      <c r="R904" s="29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85"/>
      <c r="L905" s="133"/>
      <c r="M905" s="135"/>
      <c r="N905" s="19"/>
      <c r="O905" s="131"/>
      <c r="P905" s="128"/>
      <c r="Q905" s="30"/>
      <c r="R905" s="29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85"/>
      <c r="L906" s="133"/>
      <c r="M906" s="135"/>
      <c r="N906" s="19"/>
      <c r="O906" s="131"/>
      <c r="P906" s="128"/>
      <c r="Q906" s="30"/>
      <c r="R906" s="29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85"/>
      <c r="L907" s="133"/>
      <c r="M907" s="135"/>
      <c r="N907" s="19"/>
      <c r="O907" s="131"/>
      <c r="P907" s="128"/>
      <c r="Q907" s="30"/>
      <c r="R907" s="29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85"/>
      <c r="L908" s="133"/>
      <c r="M908" s="135"/>
      <c r="N908" s="19"/>
      <c r="O908" s="131"/>
      <c r="P908" s="128"/>
      <c r="Q908" s="30"/>
      <c r="R908" s="29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85"/>
      <c r="L909" s="133"/>
      <c r="M909" s="135"/>
      <c r="N909" s="19"/>
      <c r="O909" s="131"/>
      <c r="P909" s="128"/>
      <c r="Q909" s="30"/>
      <c r="R909" s="29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85"/>
      <c r="L910" s="133"/>
      <c r="M910" s="135"/>
      <c r="N910" s="19"/>
      <c r="O910" s="131"/>
      <c r="P910" s="128"/>
      <c r="Q910" s="30"/>
      <c r="R910" s="29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85"/>
      <c r="L911" s="133"/>
      <c r="M911" s="135"/>
      <c r="N911" s="19"/>
      <c r="O911" s="131"/>
      <c r="P911" s="128"/>
      <c r="Q911" s="30"/>
      <c r="R911" s="29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85"/>
      <c r="L912" s="133"/>
      <c r="M912" s="135"/>
      <c r="N912" s="19"/>
      <c r="O912" s="131"/>
      <c r="P912" s="128"/>
      <c r="Q912" s="30"/>
      <c r="R912" s="29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85"/>
      <c r="L913" s="133"/>
      <c r="M913" s="135"/>
      <c r="N913" s="19"/>
      <c r="O913" s="131"/>
      <c r="P913" s="128"/>
      <c r="Q913" s="30"/>
      <c r="R913" s="29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85"/>
      <c r="L914" s="133"/>
      <c r="M914" s="135"/>
      <c r="N914" s="19"/>
      <c r="O914" s="131"/>
      <c r="P914" s="128"/>
      <c r="Q914" s="30"/>
      <c r="R914" s="29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85"/>
      <c r="L915" s="133"/>
      <c r="M915" s="135"/>
      <c r="N915" s="19"/>
      <c r="O915" s="131"/>
      <c r="P915" s="128"/>
      <c r="Q915" s="30"/>
      <c r="R915" s="29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85"/>
      <c r="L916" s="133"/>
      <c r="M916" s="135"/>
      <c r="N916" s="19"/>
      <c r="O916" s="131"/>
      <c r="P916" s="128"/>
      <c r="Q916" s="30"/>
      <c r="R916" s="29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85"/>
      <c r="L917" s="133"/>
      <c r="M917" s="135"/>
      <c r="N917" s="19"/>
      <c r="O917" s="131"/>
      <c r="P917" s="128"/>
      <c r="Q917" s="30"/>
      <c r="R917" s="29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85"/>
      <c r="L918" s="133"/>
      <c r="M918" s="135"/>
      <c r="N918" s="19"/>
      <c r="O918" s="131"/>
      <c r="P918" s="128"/>
      <c r="Q918" s="30"/>
      <c r="R918" s="29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85"/>
      <c r="L919" s="133"/>
      <c r="M919" s="135"/>
      <c r="N919" s="19"/>
      <c r="O919" s="131"/>
      <c r="P919" s="128"/>
      <c r="Q919" s="30"/>
      <c r="R919" s="29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85"/>
      <c r="L920" s="133"/>
      <c r="M920" s="135"/>
      <c r="N920" s="19"/>
      <c r="O920" s="131"/>
      <c r="P920" s="128"/>
      <c r="Q920" s="30"/>
      <c r="R920" s="29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85"/>
      <c r="L921" s="133"/>
      <c r="M921" s="135"/>
      <c r="N921" s="19"/>
      <c r="O921" s="131"/>
      <c r="P921" s="128"/>
      <c r="Q921" s="30"/>
      <c r="R921" s="29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85"/>
      <c r="L922" s="133"/>
      <c r="M922" s="135"/>
      <c r="N922" s="19"/>
      <c r="O922" s="131"/>
      <c r="P922" s="128"/>
      <c r="Q922" s="30"/>
      <c r="R922" s="29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85"/>
      <c r="L923" s="133"/>
      <c r="M923" s="135"/>
      <c r="N923" s="19"/>
      <c r="O923" s="131"/>
      <c r="P923" s="128"/>
      <c r="Q923" s="30"/>
      <c r="R923" s="29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85"/>
      <c r="L924" s="133"/>
      <c r="M924" s="135"/>
      <c r="N924" s="19"/>
      <c r="O924" s="131"/>
      <c r="P924" s="128"/>
      <c r="Q924" s="30"/>
      <c r="R924" s="29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85"/>
      <c r="L925" s="133"/>
      <c r="M925" s="135"/>
      <c r="N925" s="19"/>
      <c r="O925" s="131"/>
      <c r="P925" s="128"/>
      <c r="Q925" s="30"/>
      <c r="R925" s="29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85"/>
      <c r="L926" s="133"/>
      <c r="M926" s="135"/>
      <c r="N926" s="19"/>
      <c r="O926" s="131"/>
      <c r="P926" s="128"/>
      <c r="Q926" s="30"/>
      <c r="R926" s="29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85"/>
      <c r="L927" s="133"/>
      <c r="M927" s="135"/>
      <c r="N927" s="19"/>
      <c r="O927" s="131"/>
      <c r="P927" s="128"/>
      <c r="Q927" s="30"/>
      <c r="R927" s="29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85"/>
      <c r="L928" s="133"/>
      <c r="M928" s="135"/>
      <c r="N928" s="19"/>
      <c r="O928" s="131"/>
      <c r="P928" s="128"/>
      <c r="Q928" s="30"/>
      <c r="R928" s="29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85"/>
      <c r="L929" s="133"/>
      <c r="M929" s="135"/>
      <c r="N929" s="19"/>
      <c r="O929" s="131"/>
      <c r="P929" s="128"/>
      <c r="Q929" s="30"/>
      <c r="R929" s="29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85"/>
      <c r="L930" s="133"/>
      <c r="M930" s="135"/>
      <c r="N930" s="19"/>
      <c r="O930" s="131"/>
      <c r="P930" s="128"/>
      <c r="Q930" s="30"/>
      <c r="R930" s="29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85"/>
      <c r="L931" s="133"/>
      <c r="M931" s="135"/>
      <c r="N931" s="19"/>
      <c r="O931" s="131"/>
      <c r="P931" s="128"/>
      <c r="Q931" s="30"/>
      <c r="R931" s="29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85"/>
      <c r="L932" s="133"/>
      <c r="M932" s="135"/>
      <c r="N932" s="19"/>
      <c r="O932" s="131"/>
      <c r="P932" s="128"/>
      <c r="Q932" s="30"/>
      <c r="R932" s="29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85"/>
      <c r="L933" s="133"/>
      <c r="M933" s="135"/>
      <c r="N933" s="19"/>
      <c r="O933" s="131"/>
      <c r="P933" s="128"/>
      <c r="Q933" s="30"/>
      <c r="R933" s="29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85"/>
      <c r="L934" s="133"/>
      <c r="M934" s="135"/>
      <c r="N934" s="19"/>
      <c r="O934" s="131"/>
      <c r="P934" s="128"/>
      <c r="Q934" s="30"/>
      <c r="R934" s="29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85"/>
      <c r="L935" s="133"/>
      <c r="M935" s="135"/>
      <c r="N935" s="19"/>
      <c r="O935" s="131"/>
      <c r="P935" s="128"/>
      <c r="Q935" s="30"/>
      <c r="R935" s="29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85"/>
      <c r="L936" s="133"/>
      <c r="M936" s="135"/>
      <c r="N936" s="19"/>
      <c r="O936" s="131"/>
      <c r="P936" s="128"/>
      <c r="Q936" s="30"/>
      <c r="R936" s="29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85"/>
      <c r="L937" s="133"/>
      <c r="M937" s="135"/>
      <c r="N937" s="19"/>
      <c r="O937" s="131"/>
      <c r="P937" s="128"/>
      <c r="Q937" s="30"/>
      <c r="R937" s="29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85"/>
      <c r="L938" s="133"/>
      <c r="M938" s="135"/>
      <c r="N938" s="19"/>
      <c r="O938" s="131"/>
      <c r="P938" s="128"/>
      <c r="Q938" s="30"/>
      <c r="R938" s="29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85"/>
      <c r="L939" s="133"/>
      <c r="M939" s="135"/>
      <c r="N939" s="19"/>
      <c r="O939" s="131"/>
      <c r="P939" s="128"/>
      <c r="Q939" s="30"/>
      <c r="R939" s="29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85"/>
      <c r="L940" s="133"/>
      <c r="M940" s="135"/>
      <c r="N940" s="19"/>
      <c r="O940" s="131"/>
      <c r="P940" s="128"/>
      <c r="Q940" s="30"/>
      <c r="R940" s="29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85"/>
      <c r="L941" s="133"/>
      <c r="M941" s="135"/>
      <c r="N941" s="19"/>
      <c r="O941" s="131"/>
      <c r="P941" s="128"/>
      <c r="Q941" s="30"/>
      <c r="R941" s="29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85"/>
      <c r="L942" s="133"/>
      <c r="M942" s="135"/>
      <c r="N942" s="19"/>
      <c r="O942" s="131"/>
      <c r="P942" s="128"/>
      <c r="Q942" s="30"/>
      <c r="R942" s="29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85"/>
      <c r="L943" s="133"/>
      <c r="M943" s="135"/>
      <c r="N943" s="19"/>
      <c r="O943" s="131"/>
      <c r="P943" s="128"/>
      <c r="Q943" s="30"/>
      <c r="R943" s="29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85"/>
      <c r="L944" s="133"/>
      <c r="M944" s="135"/>
      <c r="N944" s="19"/>
      <c r="O944" s="131"/>
      <c r="P944" s="128"/>
      <c r="Q944" s="30"/>
      <c r="R944" s="29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85"/>
      <c r="L945" s="133"/>
      <c r="M945" s="135"/>
      <c r="N945" s="19"/>
      <c r="O945" s="131"/>
      <c r="P945" s="128"/>
      <c r="Q945" s="30"/>
      <c r="R945" s="29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85"/>
      <c r="L946" s="133"/>
      <c r="M946" s="135"/>
      <c r="N946" s="19"/>
      <c r="O946" s="131"/>
      <c r="P946" s="128"/>
      <c r="Q946" s="30"/>
      <c r="R946" s="29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85"/>
      <c r="L947" s="133"/>
      <c r="M947" s="135"/>
      <c r="N947" s="19"/>
      <c r="O947" s="131"/>
      <c r="P947" s="128"/>
      <c r="Q947" s="30"/>
      <c r="R947" s="29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85"/>
      <c r="L948" s="133"/>
      <c r="M948" s="135"/>
      <c r="N948" s="19"/>
      <c r="O948" s="131"/>
      <c r="P948" s="128"/>
      <c r="Q948" s="30"/>
      <c r="R948" s="29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85"/>
      <c r="L949" s="133"/>
      <c r="M949" s="135"/>
      <c r="N949" s="19"/>
      <c r="O949" s="131"/>
      <c r="P949" s="128"/>
      <c r="Q949" s="30"/>
      <c r="R949" s="29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85"/>
      <c r="L950" s="133"/>
      <c r="M950" s="135"/>
      <c r="N950" s="19"/>
      <c r="O950" s="131"/>
      <c r="P950" s="128"/>
      <c r="Q950" s="30"/>
      <c r="R950" s="29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85"/>
      <c r="L951" s="133"/>
      <c r="M951" s="135"/>
      <c r="N951" s="19"/>
      <c r="O951" s="131"/>
      <c r="P951" s="128"/>
      <c r="Q951" s="30"/>
      <c r="R951" s="29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85"/>
      <c r="L952" s="133"/>
      <c r="M952" s="135"/>
      <c r="N952" s="19"/>
      <c r="O952" s="131"/>
      <c r="P952" s="128"/>
      <c r="Q952" s="30"/>
      <c r="R952" s="29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85"/>
      <c r="L953" s="133"/>
      <c r="M953" s="135"/>
      <c r="N953" s="19"/>
      <c r="O953" s="131"/>
      <c r="P953" s="128"/>
      <c r="Q953" s="30"/>
      <c r="R953" s="29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85"/>
      <c r="L954" s="133"/>
      <c r="M954" s="135"/>
      <c r="N954" s="19"/>
      <c r="O954" s="131"/>
      <c r="P954" s="128"/>
      <c r="Q954" s="30"/>
      <c r="R954" s="29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85"/>
      <c r="L955" s="133"/>
      <c r="M955" s="135"/>
      <c r="N955" s="19"/>
      <c r="O955" s="131"/>
      <c r="P955" s="128"/>
      <c r="Q955" s="30"/>
      <c r="R955" s="29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85"/>
      <c r="L956" s="133"/>
      <c r="M956" s="135"/>
      <c r="N956" s="19"/>
      <c r="O956" s="131"/>
      <c r="P956" s="128"/>
      <c r="Q956" s="30"/>
      <c r="R956" s="29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85"/>
      <c r="L957" s="133"/>
      <c r="M957" s="135"/>
      <c r="N957" s="19"/>
      <c r="O957" s="131"/>
      <c r="P957" s="128"/>
      <c r="Q957" s="30"/>
      <c r="R957" s="29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85"/>
      <c r="L958" s="133"/>
      <c r="M958" s="135"/>
      <c r="N958" s="19"/>
      <c r="O958" s="131"/>
      <c r="P958" s="128"/>
      <c r="Q958" s="30"/>
      <c r="R958" s="29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85"/>
      <c r="L959" s="133"/>
      <c r="M959" s="135"/>
      <c r="N959" s="19"/>
      <c r="O959" s="131"/>
      <c r="P959" s="128"/>
      <c r="Q959" s="30"/>
      <c r="R959" s="29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85"/>
      <c r="L960" s="133"/>
      <c r="M960" s="135"/>
      <c r="N960" s="19"/>
      <c r="O960" s="131"/>
      <c r="P960" s="128"/>
      <c r="Q960" s="30"/>
      <c r="R960" s="29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85"/>
      <c r="L961" s="133"/>
      <c r="M961" s="135"/>
      <c r="N961" s="19"/>
      <c r="O961" s="131"/>
      <c r="P961" s="128"/>
      <c r="Q961" s="30"/>
      <c r="R961" s="29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85"/>
      <c r="L962" s="133"/>
      <c r="M962" s="135"/>
      <c r="N962" s="19"/>
      <c r="O962" s="131"/>
      <c r="P962" s="128"/>
      <c r="Q962" s="30"/>
      <c r="R962" s="29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85"/>
      <c r="L963" s="133"/>
      <c r="M963" s="135"/>
      <c r="N963" s="19"/>
      <c r="O963" s="131"/>
      <c r="P963" s="128"/>
      <c r="Q963" s="30"/>
      <c r="R963" s="29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85"/>
      <c r="L964" s="133"/>
      <c r="M964" s="135"/>
      <c r="N964" s="19"/>
      <c r="O964" s="131"/>
      <c r="P964" s="128"/>
      <c r="Q964" s="30"/>
      <c r="R964" s="29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85"/>
      <c r="L965" s="133"/>
      <c r="M965" s="135"/>
      <c r="N965" s="19"/>
      <c r="O965" s="131"/>
      <c r="P965" s="128"/>
      <c r="Q965" s="30"/>
      <c r="R965" s="29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85"/>
      <c r="L966" s="133"/>
      <c r="M966" s="135"/>
      <c r="N966" s="19"/>
      <c r="O966" s="131"/>
      <c r="P966" s="128"/>
      <c r="Q966" s="30"/>
      <c r="R966" s="29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85"/>
      <c r="L967" s="133"/>
      <c r="M967" s="135"/>
      <c r="N967" s="19"/>
      <c r="O967" s="131"/>
      <c r="P967" s="128"/>
      <c r="Q967" s="30"/>
      <c r="R967" s="29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85"/>
      <c r="L968" s="133"/>
      <c r="M968" s="135"/>
      <c r="N968" s="19"/>
      <c r="O968" s="131"/>
      <c r="P968" s="128"/>
      <c r="Q968" s="30"/>
      <c r="R968" s="29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85"/>
      <c r="L969" s="133"/>
      <c r="M969" s="135"/>
      <c r="N969" s="19"/>
      <c r="O969" s="131"/>
      <c r="P969" s="128"/>
      <c r="Q969" s="30"/>
      <c r="R969" s="29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85"/>
      <c r="L970" s="133"/>
      <c r="M970" s="135"/>
      <c r="N970" s="19"/>
      <c r="O970" s="131"/>
      <c r="P970" s="128"/>
      <c r="Q970" s="30"/>
      <c r="R970" s="29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85"/>
      <c r="L971" s="133"/>
      <c r="M971" s="135"/>
      <c r="N971" s="19"/>
      <c r="O971" s="131"/>
      <c r="P971" s="128"/>
      <c r="Q971" s="30"/>
      <c r="R971" s="29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85"/>
      <c r="L972" s="133"/>
      <c r="M972" s="135"/>
      <c r="N972" s="19"/>
      <c r="O972" s="131"/>
      <c r="P972" s="128"/>
      <c r="Q972" s="30"/>
      <c r="R972" s="29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85"/>
      <c r="L973" s="133"/>
      <c r="M973" s="135"/>
      <c r="N973" s="19"/>
      <c r="O973" s="131"/>
      <c r="P973" s="128"/>
      <c r="Q973" s="30"/>
      <c r="R973" s="29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85"/>
      <c r="L974" s="133"/>
      <c r="M974" s="135"/>
      <c r="N974" s="19"/>
      <c r="O974" s="131"/>
      <c r="P974" s="128"/>
      <c r="Q974" s="30"/>
      <c r="R974" s="29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85"/>
      <c r="L975" s="133"/>
      <c r="M975" s="135"/>
      <c r="N975" s="19"/>
      <c r="O975" s="131"/>
      <c r="P975" s="128"/>
      <c r="Q975" s="30"/>
      <c r="R975" s="29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85"/>
      <c r="L976" s="133"/>
      <c r="M976" s="135"/>
      <c r="N976" s="19"/>
      <c r="O976" s="131"/>
      <c r="P976" s="128"/>
      <c r="Q976" s="30"/>
      <c r="R976" s="29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85"/>
      <c r="L977" s="133"/>
      <c r="M977" s="135"/>
      <c r="N977" s="19"/>
      <c r="O977" s="131"/>
      <c r="P977" s="128"/>
      <c r="Q977" s="30"/>
      <c r="R977" s="29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85"/>
      <c r="L978" s="133"/>
      <c r="M978" s="135"/>
      <c r="N978" s="19"/>
      <c r="O978" s="131"/>
      <c r="P978" s="128"/>
      <c r="Q978" s="30"/>
      <c r="R978" s="29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85"/>
      <c r="L979" s="133"/>
      <c r="M979" s="135"/>
      <c r="N979" s="19"/>
      <c r="O979" s="131"/>
      <c r="P979" s="128"/>
      <c r="Q979" s="30"/>
      <c r="R979" s="29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85"/>
      <c r="L980" s="133"/>
      <c r="M980" s="135"/>
      <c r="N980" s="19"/>
      <c r="O980" s="131"/>
      <c r="P980" s="128"/>
      <c r="Q980" s="30"/>
      <c r="R980" s="29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85"/>
      <c r="L981" s="133"/>
      <c r="M981" s="135"/>
      <c r="N981" s="19"/>
      <c r="O981" s="131"/>
      <c r="P981" s="128"/>
      <c r="Q981" s="30"/>
      <c r="R981" s="29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85"/>
      <c r="L982" s="133"/>
      <c r="M982" s="135"/>
      <c r="N982" s="19"/>
      <c r="O982" s="131"/>
      <c r="P982" s="128"/>
      <c r="Q982" s="30"/>
      <c r="R982" s="29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85"/>
      <c r="L983" s="133"/>
      <c r="M983" s="135"/>
      <c r="N983" s="19"/>
      <c r="O983" s="131"/>
      <c r="P983" s="128"/>
      <c r="Q983" s="30"/>
      <c r="R983" s="29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85"/>
      <c r="L984" s="133"/>
      <c r="M984" s="135"/>
      <c r="N984" s="19"/>
      <c r="O984" s="131"/>
      <c r="P984" s="128"/>
      <c r="Q984" s="30"/>
      <c r="R984" s="29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85"/>
      <c r="L985" s="133"/>
      <c r="M985" s="135"/>
      <c r="N985" s="19"/>
      <c r="O985" s="131"/>
      <c r="P985" s="128"/>
      <c r="Q985" s="30"/>
      <c r="R985" s="29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85"/>
      <c r="L986" s="133"/>
      <c r="M986" s="135"/>
      <c r="N986" s="19"/>
      <c r="O986" s="131"/>
      <c r="P986" s="128"/>
      <c r="Q986" s="30"/>
      <c r="R986" s="29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85"/>
      <c r="L987" s="133"/>
      <c r="M987" s="135"/>
      <c r="N987" s="19"/>
      <c r="O987" s="131"/>
      <c r="P987" s="128"/>
      <c r="Q987" s="30"/>
      <c r="R987" s="29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85"/>
      <c r="L988" s="133"/>
      <c r="M988" s="135"/>
      <c r="N988" s="19"/>
      <c r="O988" s="131"/>
      <c r="P988" s="128"/>
      <c r="Q988" s="30"/>
      <c r="R988" s="29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85"/>
      <c r="L989" s="133"/>
      <c r="M989" s="135"/>
      <c r="N989" s="19"/>
      <c r="O989" s="131"/>
      <c r="P989" s="128"/>
      <c r="Q989" s="30"/>
      <c r="R989" s="29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85"/>
      <c r="L990" s="133"/>
      <c r="M990" s="135"/>
      <c r="N990" s="19"/>
      <c r="O990" s="131"/>
      <c r="P990" s="128"/>
      <c r="Q990" s="30"/>
      <c r="R990" s="29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85"/>
      <c r="L991" s="133"/>
      <c r="M991" s="135"/>
      <c r="N991" s="19"/>
      <c r="O991" s="131"/>
      <c r="P991" s="128"/>
      <c r="Q991" s="30"/>
      <c r="R991" s="29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85"/>
      <c r="L992" s="133"/>
      <c r="M992" s="135"/>
      <c r="N992" s="19"/>
      <c r="O992" s="131"/>
      <c r="P992" s="128"/>
      <c r="Q992" s="30"/>
      <c r="R992" s="29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85"/>
      <c r="L993" s="133"/>
      <c r="M993" s="135"/>
      <c r="N993" s="19"/>
      <c r="O993" s="131"/>
      <c r="P993" s="128"/>
      <c r="Q993" s="30"/>
      <c r="R993" s="29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85"/>
      <c r="L994" s="133"/>
      <c r="M994" s="135"/>
      <c r="N994" s="19"/>
      <c r="O994" s="131"/>
      <c r="P994" s="128"/>
      <c r="Q994" s="30"/>
      <c r="R994" s="29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85"/>
      <c r="L995" s="133"/>
      <c r="M995" s="135"/>
      <c r="N995" s="19"/>
      <c r="O995" s="131"/>
      <c r="P995" s="128"/>
      <c r="Q995" s="30"/>
      <c r="R995" s="29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85"/>
      <c r="L996" s="133"/>
      <c r="M996" s="135"/>
      <c r="N996" s="19"/>
      <c r="O996" s="131"/>
      <c r="P996" s="128"/>
      <c r="Q996" s="30"/>
      <c r="R996" s="29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85"/>
      <c r="L997" s="133"/>
      <c r="M997" s="135"/>
      <c r="N997" s="19"/>
      <c r="O997" s="131"/>
      <c r="P997" s="128"/>
      <c r="Q997" s="30"/>
      <c r="R997" s="29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85"/>
      <c r="L998" s="133"/>
      <c r="M998" s="135"/>
      <c r="N998" s="19"/>
      <c r="O998" s="131"/>
      <c r="P998" s="128"/>
      <c r="Q998" s="30"/>
      <c r="R998" s="29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85"/>
      <c r="L999" s="133"/>
      <c r="M999" s="135"/>
      <c r="N999" s="19"/>
      <c r="O999" s="131"/>
      <c r="P999" s="128"/>
      <c r="Q999" s="30"/>
      <c r="R999" s="29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85"/>
      <c r="L1000" s="133"/>
      <c r="M1000" s="135"/>
      <c r="N1000" s="19"/>
      <c r="O1000" s="131"/>
      <c r="P1000" s="128"/>
      <c r="Q1000" s="30"/>
      <c r="R1000" s="29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I8:J8 I10:L10 I18 I26:I27 J26 I34 I36 I44 I46 I54 I64 I72 I77 I80 I85 I88 I90">
    <cfRule type="expression" dxfId="3" priority="1">
      <formula>AND(ISODD(ROW()),ROW()&gt;ROW($G$6))</formula>
    </cfRule>
  </conditionalFormatting>
  <conditionalFormatting sqref="G2:P1000">
    <cfRule type="expression" dxfId="3" priority="2">
      <formula>AND(ISODD(ROW()),ROW()&gt;ROW($G$7))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1" width="13.13"/>
    <col customWidth="1" min="22" max="22" width="6.88"/>
    <col customWidth="1" min="23" max="23" width="10.63"/>
    <col customWidth="1" min="24" max="28" width="6.88"/>
  </cols>
  <sheetData>
    <row r="1" ht="48.75" customHeight="1">
      <c r="A1" s="9"/>
      <c r="B1" s="2"/>
      <c r="C1" s="3" t="s">
        <v>2556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2557</v>
      </c>
      <c r="D4" s="21"/>
      <c r="E4" s="20"/>
      <c r="F4" s="21"/>
      <c r="G4" s="23" t="s">
        <v>2558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109">
        <f>SUMIF(M:M,"小h广告费",N:N)</f>
        <v>5300</v>
      </c>
      <c r="T4" s="26" t="s">
        <v>2468</v>
      </c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109">
        <f>SUMIF(M:M,"飞书广告费",N:N)</f>
        <v>28025</v>
      </c>
      <c r="T5" s="26" t="s">
        <v>2502</v>
      </c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109">
        <f>SUMIF(M:M,"fb广告费充值",N:N)</f>
        <v>12109.9</v>
      </c>
      <c r="T6" s="26" t="s">
        <v>2296</v>
      </c>
      <c r="U6" s="40">
        <f>S6+'7月备用金充值详情'!S11</f>
        <v>42201.92</v>
      </c>
      <c r="V6" s="40">
        <f>U6+'8月收支财务报表'!S12</f>
        <v>50049.62</v>
      </c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817</v>
      </c>
      <c r="D7" s="54" t="s">
        <v>16</v>
      </c>
      <c r="E7" s="29"/>
      <c r="F7" s="30"/>
      <c r="G7" s="55">
        <v>1.0</v>
      </c>
      <c r="H7" s="241">
        <v>45473.0</v>
      </c>
      <c r="I7" s="57" t="s">
        <v>818</v>
      </c>
      <c r="J7" s="58">
        <f>'6月收支财务报表'!C13</f>
        <v>4097.988</v>
      </c>
      <c r="K7" s="59"/>
      <c r="L7" s="60"/>
      <c r="M7" s="61"/>
      <c r="N7" s="62"/>
      <c r="O7" s="63"/>
      <c r="P7" s="205"/>
      <c r="Q7" s="41"/>
      <c r="R7" s="39"/>
      <c r="S7" s="109">
        <f>SUMIF(M:M,"谷歌广告费",N:N)</f>
        <v>10125</v>
      </c>
      <c r="T7" s="26" t="s">
        <v>2559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45473.0</v>
      </c>
      <c r="I8" s="68" t="s">
        <v>2560</v>
      </c>
      <c r="J8" s="69">
        <v>100000.0</v>
      </c>
      <c r="K8" s="70"/>
      <c r="L8" s="71">
        <v>0.6701388888888888</v>
      </c>
      <c r="M8" s="72" t="s">
        <v>1829</v>
      </c>
      <c r="N8" s="90">
        <v>40000.39</v>
      </c>
      <c r="O8" s="74" t="s">
        <v>2109</v>
      </c>
      <c r="P8" s="75">
        <v>0.7194444444444444</v>
      </c>
      <c r="Q8" s="41"/>
      <c r="R8" s="39"/>
      <c r="S8" s="109">
        <f>SUMIF(M:M,"账单户广告费",N:N)</f>
        <v>529010.57</v>
      </c>
      <c r="T8" s="26" t="s">
        <v>1829</v>
      </c>
      <c r="U8" s="40">
        <f>S8+'7月备用金充值详情'!S6</f>
        <v>548211.05</v>
      </c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937397.988</v>
      </c>
      <c r="D9" s="30"/>
      <c r="E9" s="29"/>
      <c r="F9" s="30"/>
      <c r="G9" s="66">
        <v>3.0</v>
      </c>
      <c r="H9" s="153">
        <v>45473.0</v>
      </c>
      <c r="I9" s="68"/>
      <c r="J9" s="69"/>
      <c r="K9" s="70"/>
      <c r="L9" s="88"/>
      <c r="M9" s="72" t="s">
        <v>20</v>
      </c>
      <c r="N9" s="90">
        <v>1450.0</v>
      </c>
      <c r="O9" s="74" t="s">
        <v>2561</v>
      </c>
      <c r="P9" s="75">
        <v>0.7263888888888889</v>
      </c>
      <c r="Q9" s="41"/>
      <c r="R9" s="39"/>
      <c r="S9" s="109">
        <f>SUMIF(M:M,"欧洲广告费",N:N)</f>
        <v>44910</v>
      </c>
      <c r="T9" s="26" t="s">
        <v>2534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45473.0</v>
      </c>
      <c r="I10" s="68" t="s">
        <v>2562</v>
      </c>
      <c r="J10" s="69">
        <v>100.0</v>
      </c>
      <c r="K10" s="85"/>
      <c r="L10" s="86"/>
      <c r="M10" s="72"/>
      <c r="N10" s="90"/>
      <c r="O10" s="74"/>
      <c r="P10" s="75"/>
      <c r="Q10" s="41"/>
      <c r="R10" s="39"/>
      <c r="S10" s="109">
        <f>SUMIF(M:M,"启航广告费",N:N)</f>
        <v>5675</v>
      </c>
      <c r="T10" s="26" t="s">
        <v>827</v>
      </c>
      <c r="U10" s="40">
        <f>S10+'7月备用金充值详情'!S7</f>
        <v>13252.79</v>
      </c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913004.6655</v>
      </c>
      <c r="D11" s="30"/>
      <c r="E11" s="29"/>
      <c r="F11" s="30"/>
      <c r="G11" s="66">
        <v>5.0</v>
      </c>
      <c r="H11" s="153">
        <v>45473.0</v>
      </c>
      <c r="I11" s="68" t="s">
        <v>2562</v>
      </c>
      <c r="J11" s="69">
        <v>19900.0</v>
      </c>
      <c r="K11" s="87"/>
      <c r="L11" s="71">
        <v>0.8361111111111111</v>
      </c>
      <c r="M11" s="72" t="s">
        <v>2563</v>
      </c>
      <c r="N11" s="90">
        <v>10000.0</v>
      </c>
      <c r="O11" s="74" t="s">
        <v>2564</v>
      </c>
      <c r="P11" s="75">
        <v>0.9013888888888889</v>
      </c>
      <c r="Q11" s="41"/>
      <c r="R11" s="39"/>
      <c r="S11" s="109">
        <f>SUMIF(M:M,"代投广告费",N:N)</f>
        <v>64999</v>
      </c>
      <c r="T11" s="26" t="s">
        <v>2563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45473.0</v>
      </c>
      <c r="I12" s="68"/>
      <c r="J12" s="69"/>
      <c r="K12" s="87"/>
      <c r="L12" s="71"/>
      <c r="M12" s="72" t="s">
        <v>1829</v>
      </c>
      <c r="N12" s="90">
        <v>40000.39</v>
      </c>
      <c r="O12" s="74" t="s">
        <v>2109</v>
      </c>
      <c r="P12" s="75">
        <v>0.9159722222222222</v>
      </c>
      <c r="Q12" s="41"/>
      <c r="R12" s="39"/>
      <c r="S12" s="109">
        <f>SUMIF(M:M,"远程佣金",N:N)</f>
        <v>4489.48</v>
      </c>
      <c r="T12" s="26" t="s">
        <v>2393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24393.32249</v>
      </c>
      <c r="D13" s="30"/>
      <c r="E13" s="29"/>
      <c r="F13" s="30"/>
      <c r="G13" s="66">
        <v>7.0</v>
      </c>
      <c r="H13" s="153">
        <v>45474.0</v>
      </c>
      <c r="I13" s="68"/>
      <c r="J13" s="69"/>
      <c r="K13" s="87"/>
      <c r="L13" s="71"/>
      <c r="M13" s="72" t="s">
        <v>1829</v>
      </c>
      <c r="N13" s="90">
        <v>30000.5</v>
      </c>
      <c r="O13" s="74" t="s">
        <v>2109</v>
      </c>
      <c r="P13" s="75">
        <v>0.5243055555555556</v>
      </c>
      <c r="Q13" s="41"/>
      <c r="R13" s="39"/>
      <c r="S13" s="248">
        <f>SUMIF(M:M,"广告配套",N:N)</f>
        <v>14507.71551</v>
      </c>
      <c r="T13" s="26" t="s">
        <v>20</v>
      </c>
      <c r="U13" s="252">
        <f>S13+'7月备用金充值详情'!S10+2374.6</f>
        <v>24050.59551</v>
      </c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45474.0</v>
      </c>
      <c r="I14" s="68" t="s">
        <v>2560</v>
      </c>
      <c r="J14" s="69">
        <v>100000.0</v>
      </c>
      <c r="K14" s="85"/>
      <c r="L14" s="71">
        <v>0.5965277777777778</v>
      </c>
      <c r="M14" s="72" t="s">
        <v>1968</v>
      </c>
      <c r="N14" s="90">
        <v>30000.0</v>
      </c>
      <c r="O14" s="74" t="s">
        <v>1841</v>
      </c>
      <c r="P14" s="75">
        <v>0.60625</v>
      </c>
      <c r="Q14" s="41"/>
      <c r="R14" s="39"/>
      <c r="S14" s="248">
        <f>SUMIF(M:M,"备用金",N:N)</f>
        <v>56500</v>
      </c>
      <c r="T14" s="26" t="s">
        <v>2421</v>
      </c>
      <c r="U14" s="321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45475.0</v>
      </c>
      <c r="I15" s="68"/>
      <c r="J15" s="69"/>
      <c r="K15" s="87"/>
      <c r="L15" s="71"/>
      <c r="M15" s="72" t="s">
        <v>1829</v>
      </c>
      <c r="N15" s="90">
        <v>40000.21</v>
      </c>
      <c r="O15" s="74" t="s">
        <v>2109</v>
      </c>
      <c r="P15" s="75">
        <v>0.39444444444444443</v>
      </c>
      <c r="Q15" s="41"/>
      <c r="R15" s="39"/>
      <c r="S15" s="190">
        <f>SUMIF(I:I,"印度9期（20000）",J:J)+'8月收支财务报表'!J16</f>
        <v>413429</v>
      </c>
      <c r="T15" s="26" t="s">
        <v>2560</v>
      </c>
      <c r="U15" s="76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45475.0</v>
      </c>
      <c r="I16" s="154"/>
      <c r="J16" s="17"/>
      <c r="K16" s="92"/>
      <c r="L16" s="173"/>
      <c r="M16" s="72" t="s">
        <v>1829</v>
      </c>
      <c r="N16" s="90">
        <v>25000.61</v>
      </c>
      <c r="O16" s="74" t="s">
        <v>2109</v>
      </c>
      <c r="P16" s="75">
        <v>0.8375</v>
      </c>
      <c r="Q16" s="41"/>
      <c r="R16" s="39"/>
      <c r="S16" s="190">
        <f>SUMIF(I:I,"澳大利亚粉小牛",J:J)-N59</f>
        <v>2647</v>
      </c>
      <c r="T16" s="26" t="s">
        <v>2562</v>
      </c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45476.0</v>
      </c>
      <c r="I17" s="154"/>
      <c r="J17" s="17"/>
      <c r="K17" s="92"/>
      <c r="L17" s="173"/>
      <c r="M17" s="72" t="s">
        <v>1829</v>
      </c>
      <c r="N17" s="90">
        <v>7500.88</v>
      </c>
      <c r="O17" s="74" t="s">
        <v>2109</v>
      </c>
      <c r="P17" s="75">
        <v>0.48194444444444445</v>
      </c>
      <c r="Q17" s="41"/>
      <c r="R17" s="39"/>
      <c r="S17" s="109">
        <f>SUMIF(I:I,"美国股票粉'：1成成",J:J)</f>
        <v>104000</v>
      </c>
      <c r="T17" s="26" t="s">
        <v>2565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45476.0</v>
      </c>
      <c r="I18" s="68" t="s">
        <v>2560</v>
      </c>
      <c r="J18" s="69">
        <v>100000.0</v>
      </c>
      <c r="K18" s="92"/>
      <c r="L18" s="71">
        <v>0.6020833333333333</v>
      </c>
      <c r="M18" s="72" t="s">
        <v>1829</v>
      </c>
      <c r="N18" s="90">
        <v>35000.92</v>
      </c>
      <c r="O18" s="74" t="s">
        <v>2109</v>
      </c>
      <c r="P18" s="75">
        <v>0.6048611111111111</v>
      </c>
      <c r="Q18" s="41"/>
      <c r="R18" s="39"/>
      <c r="S18" s="109">
        <f>SUMIF(I:I,"美国股票粉（2）菲菲",J:J)</f>
        <v>217000</v>
      </c>
      <c r="T18" s="26" t="s">
        <v>2566</v>
      </c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45476.0</v>
      </c>
      <c r="I19" s="154"/>
      <c r="J19" s="17"/>
      <c r="K19" s="93"/>
      <c r="L19" s="155"/>
      <c r="M19" s="72" t="s">
        <v>1968</v>
      </c>
      <c r="N19" s="90">
        <v>30000.0</v>
      </c>
      <c r="O19" s="74" t="s">
        <v>1841</v>
      </c>
      <c r="P19" s="75">
        <v>0.68125</v>
      </c>
      <c r="Q19" s="41"/>
      <c r="R19" s="39"/>
      <c r="S19" s="109">
        <f>SUMIF(I:I,"印度11期'（20000）",J:J)</f>
        <v>209300</v>
      </c>
      <c r="T19" s="26" t="s">
        <v>2411</v>
      </c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45476.0</v>
      </c>
      <c r="I20" s="154"/>
      <c r="J20" s="17"/>
      <c r="K20" s="93"/>
      <c r="L20" s="155"/>
      <c r="M20" s="72" t="s">
        <v>1829</v>
      </c>
      <c r="N20" s="90">
        <v>25000.95</v>
      </c>
      <c r="O20" s="74" t="s">
        <v>2109</v>
      </c>
      <c r="P20" s="75">
        <v>0.9298611111111111</v>
      </c>
      <c r="Q20" s="41"/>
      <c r="R20" s="39"/>
      <c r="S20" s="109">
        <f>SUMIF(I:I,"美盘打粉对接群（钱总群）",J:J)</f>
        <v>8000</v>
      </c>
      <c r="T20" s="26" t="s">
        <v>2567</v>
      </c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937397.988</v>
      </c>
      <c r="D21" s="30"/>
      <c r="E21" s="29"/>
      <c r="F21" s="30"/>
      <c r="G21" s="66">
        <v>15.0</v>
      </c>
      <c r="H21" s="153">
        <v>45477.0</v>
      </c>
      <c r="I21" s="154"/>
      <c r="J21" s="17"/>
      <c r="K21" s="93"/>
      <c r="L21" s="155"/>
      <c r="M21" s="72" t="s">
        <v>2393</v>
      </c>
      <c r="N21" s="90">
        <v>3034.22</v>
      </c>
      <c r="O21" s="74" t="s">
        <v>2568</v>
      </c>
      <c r="P21" s="75">
        <v>0.4618055555555556</v>
      </c>
      <c r="Q21" s="41"/>
      <c r="R21" s="39"/>
      <c r="S21" s="109">
        <f>SUMIF(I:I,"印度期权测试（土耳其）啊斗",J:J)</f>
        <v>5000</v>
      </c>
      <c r="T21" s="26" t="s">
        <v>2569</v>
      </c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45477.0</v>
      </c>
      <c r="I22" s="68"/>
      <c r="J22" s="17"/>
      <c r="K22" s="93"/>
      <c r="L22" s="155"/>
      <c r="M22" s="72" t="s">
        <v>20</v>
      </c>
      <c r="N22" s="90">
        <v>1236.0</v>
      </c>
      <c r="O22" s="74" t="s">
        <v>2109</v>
      </c>
      <c r="P22" s="75">
        <v>0.4625</v>
      </c>
      <c r="Q22" s="41"/>
      <c r="R22" s="39"/>
      <c r="S22" s="40"/>
      <c r="T22" s="76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913004.6655</v>
      </c>
      <c r="D23" s="30"/>
      <c r="E23" s="29"/>
      <c r="F23" s="30"/>
      <c r="G23" s="66">
        <v>17.0</v>
      </c>
      <c r="H23" s="153">
        <v>45477.0</v>
      </c>
      <c r="I23" s="68" t="s">
        <v>2560</v>
      </c>
      <c r="J23" s="69">
        <v>50000.0</v>
      </c>
      <c r="K23" s="87"/>
      <c r="L23" s="71">
        <v>0.5993055555555555</v>
      </c>
      <c r="M23" s="72"/>
      <c r="N23" s="90"/>
      <c r="O23" s="74"/>
      <c r="P23" s="75"/>
      <c r="Q23" s="41"/>
      <c r="R23" s="39"/>
      <c r="S23" s="40"/>
      <c r="T23" s="7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45477.0</v>
      </c>
      <c r="I24" s="68" t="s">
        <v>2570</v>
      </c>
      <c r="J24" s="69">
        <v>10.0</v>
      </c>
      <c r="K24" s="85"/>
      <c r="L24" s="71">
        <v>0.6034722222222222</v>
      </c>
      <c r="M24" s="72"/>
      <c r="N24" s="90"/>
      <c r="O24" s="74"/>
      <c r="P24" s="75"/>
      <c r="Q24" s="41"/>
      <c r="R24" s="39"/>
      <c r="S24" s="40"/>
      <c r="T24" s="40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24393.32249</v>
      </c>
      <c r="D25" s="30"/>
      <c r="E25" s="29"/>
      <c r="F25" s="30"/>
      <c r="G25" s="66">
        <v>19.0</v>
      </c>
      <c r="H25" s="153">
        <v>45477.0</v>
      </c>
      <c r="I25" s="68" t="s">
        <v>2570</v>
      </c>
      <c r="J25" s="69">
        <v>3990.0</v>
      </c>
      <c r="K25" s="70"/>
      <c r="L25" s="71">
        <v>0.6055555555555555</v>
      </c>
      <c r="M25" s="72" t="s">
        <v>1829</v>
      </c>
      <c r="N25" s="90">
        <v>35000.77</v>
      </c>
      <c r="O25" s="74" t="s">
        <v>2109</v>
      </c>
      <c r="P25" s="75">
        <v>0.6069444444444444</v>
      </c>
      <c r="Q25" s="41"/>
      <c r="R25" s="39"/>
      <c r="S25" s="40"/>
      <c r="T25" s="40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45479.0</v>
      </c>
      <c r="I26" s="68" t="s">
        <v>2571</v>
      </c>
      <c r="J26" s="69">
        <v>7000.0</v>
      </c>
      <c r="K26" s="70"/>
      <c r="L26" s="71">
        <v>0.5395833333333333</v>
      </c>
      <c r="M26" s="72"/>
      <c r="N26" s="90"/>
      <c r="O26" s="74"/>
      <c r="P26" s="94"/>
      <c r="Q26" s="41"/>
      <c r="R26" s="39"/>
      <c r="S26" s="40"/>
      <c r="T26" s="40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45480.0</v>
      </c>
      <c r="I27" s="68"/>
      <c r="J27" s="69"/>
      <c r="K27" s="70"/>
      <c r="L27" s="71"/>
      <c r="M27" s="72" t="s">
        <v>20</v>
      </c>
      <c r="N27" s="90">
        <v>1247.0</v>
      </c>
      <c r="O27" s="74" t="s">
        <v>2109</v>
      </c>
      <c r="P27" s="75">
        <v>0.6555555555555556</v>
      </c>
      <c r="Q27" s="41"/>
      <c r="R27" s="39"/>
      <c r="S27" s="40"/>
      <c r="T27" s="40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45480.0</v>
      </c>
      <c r="I28" s="68" t="s">
        <v>2411</v>
      </c>
      <c r="J28" s="69">
        <v>100000.0</v>
      </c>
      <c r="K28" s="85"/>
      <c r="L28" s="71">
        <v>0.7104166666666667</v>
      </c>
      <c r="M28" s="72"/>
      <c r="N28" s="90"/>
      <c r="O28" s="74"/>
      <c r="P28" s="75"/>
      <c r="Q28" s="41"/>
      <c r="R28" s="39"/>
      <c r="S28" s="40"/>
      <c r="T28" s="40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45480.0</v>
      </c>
      <c r="I29" s="68" t="s">
        <v>2570</v>
      </c>
      <c r="J29" s="69">
        <v>10.0</v>
      </c>
      <c r="K29" s="70"/>
      <c r="L29" s="71">
        <v>0.7743055555555556</v>
      </c>
      <c r="M29" s="72"/>
      <c r="N29" s="90"/>
      <c r="O29" s="74"/>
      <c r="P29" s="75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45480.0</v>
      </c>
      <c r="I30" s="68" t="s">
        <v>2570</v>
      </c>
      <c r="J30" s="69">
        <v>14990.0</v>
      </c>
      <c r="K30" s="85"/>
      <c r="L30" s="71">
        <v>0.7777777777777778</v>
      </c>
      <c r="M30" s="72" t="s">
        <v>1968</v>
      </c>
      <c r="N30" s="90">
        <v>30000.0</v>
      </c>
      <c r="O30" s="74" t="s">
        <v>1841</v>
      </c>
      <c r="P30" s="75">
        <v>0.8395833333333333</v>
      </c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45480.0</v>
      </c>
      <c r="I31" s="68"/>
      <c r="J31" s="69"/>
      <c r="K31" s="70"/>
      <c r="L31" s="88"/>
      <c r="M31" s="72" t="s">
        <v>1829</v>
      </c>
      <c r="N31" s="90">
        <v>40000.87</v>
      </c>
      <c r="O31" s="74" t="s">
        <v>2109</v>
      </c>
      <c r="P31" s="75">
        <v>0.8486111111111111</v>
      </c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45481.0</v>
      </c>
      <c r="I32" s="84"/>
      <c r="J32" s="17"/>
      <c r="K32" s="85"/>
      <c r="L32" s="86"/>
      <c r="M32" s="72" t="s">
        <v>1829</v>
      </c>
      <c r="N32" s="90">
        <v>40000.11</v>
      </c>
      <c r="O32" s="74" t="s">
        <v>2109</v>
      </c>
      <c r="P32" s="75">
        <v>0.7993055555555556</v>
      </c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45482.0</v>
      </c>
      <c r="I33" s="154"/>
      <c r="J33" s="69"/>
      <c r="K33" s="70"/>
      <c r="L33" s="71"/>
      <c r="M33" s="72" t="s">
        <v>20</v>
      </c>
      <c r="N33" s="90">
        <v>1247.0</v>
      </c>
      <c r="O33" s="74" t="s">
        <v>2109</v>
      </c>
      <c r="P33" s="75">
        <v>0.40069444444444446</v>
      </c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45482.0</v>
      </c>
      <c r="I34" s="154"/>
      <c r="J34" s="69"/>
      <c r="K34" s="87"/>
      <c r="L34" s="71"/>
      <c r="M34" s="72" t="s">
        <v>20</v>
      </c>
      <c r="N34" s="90">
        <v>51.5</v>
      </c>
      <c r="O34" s="74" t="s">
        <v>2572</v>
      </c>
      <c r="P34" s="75">
        <v>0.7833333333333333</v>
      </c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45483.0</v>
      </c>
      <c r="I35" s="68" t="s">
        <v>2571</v>
      </c>
      <c r="J35" s="69">
        <v>20000.0</v>
      </c>
      <c r="K35" s="85"/>
      <c r="L35" s="71">
        <v>0.8</v>
      </c>
      <c r="M35" s="72"/>
      <c r="N35" s="90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45483.0</v>
      </c>
      <c r="I36" s="68" t="s">
        <v>2567</v>
      </c>
      <c r="J36" s="69">
        <v>1600.0</v>
      </c>
      <c r="K36" s="70" t="s">
        <v>2573</v>
      </c>
      <c r="L36" s="71">
        <v>0.9423611111111111</v>
      </c>
      <c r="M36" s="72"/>
      <c r="N36" s="90"/>
      <c r="O36" s="74"/>
      <c r="P36" s="75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45483.0</v>
      </c>
      <c r="I37" s="68" t="s">
        <v>2567</v>
      </c>
      <c r="J37" s="69">
        <v>1600.0</v>
      </c>
      <c r="K37" s="70" t="s">
        <v>2574</v>
      </c>
      <c r="L37" s="71">
        <v>0.94375</v>
      </c>
      <c r="M37" s="72"/>
      <c r="N37" s="90"/>
      <c r="O37" s="74"/>
      <c r="P37" s="75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45483.0</v>
      </c>
      <c r="I38" s="68" t="s">
        <v>2567</v>
      </c>
      <c r="J38" s="69">
        <v>3200.0</v>
      </c>
      <c r="K38" s="70" t="s">
        <v>2575</v>
      </c>
      <c r="L38" s="71">
        <v>0.9472222222222222</v>
      </c>
      <c r="M38" s="72"/>
      <c r="N38" s="90"/>
      <c r="O38" s="74"/>
      <c r="P38" s="75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45483.0</v>
      </c>
      <c r="I39" s="68" t="s">
        <v>2567</v>
      </c>
      <c r="J39" s="69">
        <v>1600.0</v>
      </c>
      <c r="K39" s="70" t="s">
        <v>2576</v>
      </c>
      <c r="L39" s="71">
        <v>0.9576388888888889</v>
      </c>
      <c r="M39" s="72" t="s">
        <v>2563</v>
      </c>
      <c r="N39" s="90">
        <v>4000.0</v>
      </c>
      <c r="O39" s="74" t="s">
        <v>2564</v>
      </c>
      <c r="P39" s="75">
        <v>0.98125</v>
      </c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45484.0</v>
      </c>
      <c r="I40" s="68"/>
      <c r="J40" s="69"/>
      <c r="K40" s="70"/>
      <c r="L40" s="88"/>
      <c r="M40" s="72" t="s">
        <v>2506</v>
      </c>
      <c r="N40" s="90">
        <v>3210.0</v>
      </c>
      <c r="O40" s="74" t="s">
        <v>2577</v>
      </c>
      <c r="P40" s="75">
        <v>0.02361111111111111</v>
      </c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45484.0</v>
      </c>
      <c r="I41" s="68"/>
      <c r="J41" s="69"/>
      <c r="K41" s="70"/>
      <c r="L41" s="88"/>
      <c r="M41" s="72" t="s">
        <v>20</v>
      </c>
      <c r="N41" s="90">
        <v>1240.0</v>
      </c>
      <c r="O41" s="74" t="s">
        <v>2109</v>
      </c>
      <c r="P41" s="75">
        <v>0.48194444444444445</v>
      </c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45484.0</v>
      </c>
      <c r="I42" s="68"/>
      <c r="J42" s="69"/>
      <c r="K42" s="70"/>
      <c r="L42" s="88"/>
      <c r="M42" s="72" t="s">
        <v>20</v>
      </c>
      <c r="N42" s="90">
        <v>238.215508</v>
      </c>
      <c r="O42" s="74" t="s">
        <v>2578</v>
      </c>
      <c r="P42" s="75">
        <v>0.9159722222222222</v>
      </c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45484.0</v>
      </c>
      <c r="I43" s="68"/>
      <c r="J43" s="69"/>
      <c r="K43" s="87"/>
      <c r="L43" s="71"/>
      <c r="M43" s="72" t="s">
        <v>20</v>
      </c>
      <c r="N43" s="90">
        <v>60.0</v>
      </c>
      <c r="O43" s="74" t="s">
        <v>453</v>
      </c>
      <c r="P43" s="75">
        <v>0.9166666666666666</v>
      </c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45485.0</v>
      </c>
      <c r="I44" s="84"/>
      <c r="J44" s="17"/>
      <c r="K44" s="85"/>
      <c r="L44" s="86"/>
      <c r="M44" s="72" t="s">
        <v>2563</v>
      </c>
      <c r="N44" s="90">
        <v>8000.0</v>
      </c>
      <c r="O44" s="74" t="s">
        <v>2564</v>
      </c>
      <c r="P44" s="75">
        <v>0.6361111111111111</v>
      </c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45485.0</v>
      </c>
      <c r="I45" s="68" t="s">
        <v>2570</v>
      </c>
      <c r="J45" s="69">
        <v>10.0</v>
      </c>
      <c r="K45" s="85"/>
      <c r="L45" s="71">
        <v>0.8527777777777777</v>
      </c>
      <c r="M45" s="72"/>
      <c r="N45" s="90"/>
      <c r="O45" s="74"/>
      <c r="P45" s="75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45485.0</v>
      </c>
      <c r="I46" s="68" t="s">
        <v>2570</v>
      </c>
      <c r="J46" s="69">
        <v>19990.0</v>
      </c>
      <c r="K46" s="85"/>
      <c r="L46" s="71">
        <v>0.8604166666666667</v>
      </c>
      <c r="M46" s="72" t="s">
        <v>1829</v>
      </c>
      <c r="N46" s="90">
        <v>25000.72</v>
      </c>
      <c r="O46" s="74" t="s">
        <v>2109</v>
      </c>
      <c r="P46" s="75">
        <v>0.8979166666666667</v>
      </c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45486.0</v>
      </c>
      <c r="I47" s="68"/>
      <c r="J47" s="69"/>
      <c r="K47" s="70"/>
      <c r="L47" s="71"/>
      <c r="M47" s="72" t="s">
        <v>2563</v>
      </c>
      <c r="N47" s="90">
        <v>10000.0</v>
      </c>
      <c r="O47" s="74" t="s">
        <v>2564</v>
      </c>
      <c r="P47" s="75">
        <v>0.8618055555555556</v>
      </c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45486.0</v>
      </c>
      <c r="I48" s="68"/>
      <c r="J48" s="69"/>
      <c r="K48" s="87"/>
      <c r="L48" s="71"/>
      <c r="M48" s="72" t="s">
        <v>1829</v>
      </c>
      <c r="N48" s="90">
        <v>20000.25</v>
      </c>
      <c r="O48" s="74" t="s">
        <v>2109</v>
      </c>
      <c r="P48" s="75">
        <v>0.8631944444444445</v>
      </c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45487.0</v>
      </c>
      <c r="I49" s="68"/>
      <c r="J49" s="69"/>
      <c r="K49" s="85"/>
      <c r="L49" s="71"/>
      <c r="M49" s="72" t="s">
        <v>2421</v>
      </c>
      <c r="N49" s="90">
        <v>5000.0</v>
      </c>
      <c r="O49" s="74" t="s">
        <v>2421</v>
      </c>
      <c r="P49" s="75">
        <v>0.59375</v>
      </c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45487.0</v>
      </c>
      <c r="I50" s="68" t="s">
        <v>2571</v>
      </c>
      <c r="J50" s="69">
        <v>40000.0</v>
      </c>
      <c r="K50" s="85"/>
      <c r="L50" s="71">
        <v>0.8291666666666667</v>
      </c>
      <c r="M50" s="72" t="s">
        <v>20</v>
      </c>
      <c r="N50" s="90">
        <v>137.0</v>
      </c>
      <c r="O50" s="74" t="s">
        <v>453</v>
      </c>
      <c r="P50" s="75">
        <v>0.85</v>
      </c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45488.0</v>
      </c>
      <c r="I51" s="68"/>
      <c r="J51" s="69"/>
      <c r="K51" s="87"/>
      <c r="L51" s="71"/>
      <c r="M51" s="72" t="s">
        <v>2563</v>
      </c>
      <c r="N51" s="90">
        <v>5000.0</v>
      </c>
      <c r="O51" s="74" t="s">
        <v>2564</v>
      </c>
      <c r="P51" s="75">
        <v>0.014583333333333334</v>
      </c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45488.0</v>
      </c>
      <c r="I52" s="68"/>
      <c r="J52" s="69"/>
      <c r="K52" s="87"/>
      <c r="L52" s="71"/>
      <c r="M52" s="72" t="s">
        <v>2559</v>
      </c>
      <c r="N52" s="90">
        <v>300.0</v>
      </c>
      <c r="O52" s="74" t="s">
        <v>2579</v>
      </c>
      <c r="P52" s="75">
        <v>0.7083333333333334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45488.0</v>
      </c>
      <c r="I53" s="68"/>
      <c r="J53" s="69"/>
      <c r="K53" s="70"/>
      <c r="L53" s="88"/>
      <c r="M53" s="72" t="s">
        <v>1829</v>
      </c>
      <c r="N53" s="90">
        <v>25000.14</v>
      </c>
      <c r="O53" s="74" t="s">
        <v>2109</v>
      </c>
      <c r="P53" s="75">
        <v>0.7340277777777777</v>
      </c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45488.0</v>
      </c>
      <c r="I54" s="84"/>
      <c r="J54" s="17"/>
      <c r="K54" s="85"/>
      <c r="L54" s="86"/>
      <c r="M54" s="72" t="s">
        <v>2563</v>
      </c>
      <c r="N54" s="90">
        <v>5000.0</v>
      </c>
      <c r="O54" s="74" t="s">
        <v>2564</v>
      </c>
      <c r="P54" s="75">
        <v>0.9</v>
      </c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45489.0</v>
      </c>
      <c r="I55" s="68" t="s">
        <v>2569</v>
      </c>
      <c r="J55" s="69">
        <v>5000.0</v>
      </c>
      <c r="K55" s="87"/>
      <c r="L55" s="71">
        <v>0.7743055555555556</v>
      </c>
      <c r="M55" s="72" t="s">
        <v>2563</v>
      </c>
      <c r="N55" s="90">
        <v>10000.0</v>
      </c>
      <c r="O55" s="74" t="s">
        <v>2564</v>
      </c>
      <c r="P55" s="75">
        <v>0.8444444444444444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45489.0</v>
      </c>
      <c r="I56" s="68" t="s">
        <v>2571</v>
      </c>
      <c r="J56" s="69">
        <v>50000.0</v>
      </c>
      <c r="K56" s="87"/>
      <c r="L56" s="71">
        <v>0.8993055555555556</v>
      </c>
      <c r="M56" s="72"/>
      <c r="N56" s="90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45489.0</v>
      </c>
      <c r="I57" s="68"/>
      <c r="J57" s="69"/>
      <c r="K57" s="70"/>
      <c r="L57" s="71"/>
      <c r="M57" s="72" t="s">
        <v>1829</v>
      </c>
      <c r="N57" s="90">
        <v>30000.15</v>
      </c>
      <c r="O57" s="74" t="s">
        <v>2109</v>
      </c>
      <c r="P57" s="75">
        <v>0.4125</v>
      </c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45490.0</v>
      </c>
      <c r="I58" s="68" t="s">
        <v>2320</v>
      </c>
      <c r="J58" s="69">
        <v>20000.0</v>
      </c>
      <c r="K58" s="87"/>
      <c r="L58" s="71">
        <v>0.9944444444444445</v>
      </c>
      <c r="M58" s="147"/>
      <c r="N58" s="90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45491.0</v>
      </c>
      <c r="I59" s="68"/>
      <c r="J59" s="69"/>
      <c r="K59" s="85"/>
      <c r="L59" s="71"/>
      <c r="M59" s="72" t="s">
        <v>2562</v>
      </c>
      <c r="N59" s="90">
        <v>17353.0</v>
      </c>
      <c r="O59" s="74" t="s">
        <v>155</v>
      </c>
      <c r="P59" s="75">
        <v>0.007638888888888889</v>
      </c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45491.0</v>
      </c>
      <c r="I60" s="68"/>
      <c r="J60" s="69"/>
      <c r="K60" s="85"/>
      <c r="L60" s="71"/>
      <c r="M60" s="72" t="s">
        <v>2506</v>
      </c>
      <c r="N60" s="90">
        <v>1000.0</v>
      </c>
      <c r="O60" s="74">
        <v>400.0</v>
      </c>
      <c r="P60" s="75">
        <v>0.6118055555555556</v>
      </c>
      <c r="Q60" s="41"/>
      <c r="R60" s="39"/>
      <c r="S60" s="40"/>
      <c r="T60" s="76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45491.0</v>
      </c>
      <c r="I61" s="68"/>
      <c r="J61" s="69"/>
      <c r="K61" s="85"/>
      <c r="L61" s="71"/>
      <c r="M61" s="72" t="s">
        <v>20</v>
      </c>
      <c r="N61" s="90">
        <v>1232.0</v>
      </c>
      <c r="O61" s="74" t="s">
        <v>2109</v>
      </c>
      <c r="P61" s="75">
        <v>0.6833333333333333</v>
      </c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45491.0</v>
      </c>
      <c r="I62" s="68"/>
      <c r="J62" s="69"/>
      <c r="K62" s="87"/>
      <c r="L62" s="71"/>
      <c r="M62" s="72" t="s">
        <v>2393</v>
      </c>
      <c r="N62" s="90">
        <v>1455.26</v>
      </c>
      <c r="O62" s="74" t="s">
        <v>2580</v>
      </c>
      <c r="P62" s="75">
        <v>0.7645833333333333</v>
      </c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45491.0</v>
      </c>
      <c r="I63" s="68" t="s">
        <v>2411</v>
      </c>
      <c r="J63" s="69">
        <v>10.0</v>
      </c>
      <c r="K63" s="87"/>
      <c r="L63" s="71">
        <v>0.9138888888888889</v>
      </c>
      <c r="M63" s="72"/>
      <c r="N63" s="90"/>
      <c r="O63" s="74"/>
      <c r="P63" s="75"/>
      <c r="Q63" s="41"/>
      <c r="R63" s="39"/>
      <c r="S63" s="76" t="s">
        <v>2581</v>
      </c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45491.0</v>
      </c>
      <c r="I64" s="68" t="s">
        <v>2411</v>
      </c>
      <c r="J64" s="69">
        <v>9290.0</v>
      </c>
      <c r="K64" s="87"/>
      <c r="L64" s="71">
        <v>0.9166666666666666</v>
      </c>
      <c r="M64" s="72" t="s">
        <v>1829</v>
      </c>
      <c r="N64" s="90">
        <v>26000.18</v>
      </c>
      <c r="O64" s="74" t="s">
        <v>2109</v>
      </c>
      <c r="P64" s="75">
        <v>0.91875</v>
      </c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45491.0</v>
      </c>
      <c r="I65" s="68" t="s">
        <v>2570</v>
      </c>
      <c r="J65" s="69">
        <v>10.0</v>
      </c>
      <c r="K65" s="70"/>
      <c r="L65" s="71">
        <v>0.9701388888888889</v>
      </c>
      <c r="M65" s="72" t="s">
        <v>2563</v>
      </c>
      <c r="N65" s="90">
        <v>6743.0</v>
      </c>
      <c r="O65" s="74" t="s">
        <v>2564</v>
      </c>
      <c r="P65" s="75">
        <v>0.9784722222222222</v>
      </c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45491.0</v>
      </c>
      <c r="I66" s="68" t="s">
        <v>2570</v>
      </c>
      <c r="J66" s="69">
        <v>14990.0</v>
      </c>
      <c r="K66" s="70"/>
      <c r="L66" s="71">
        <v>0.9854166666666667</v>
      </c>
      <c r="M66" s="147"/>
      <c r="N66" s="90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45492.0</v>
      </c>
      <c r="I67" s="68"/>
      <c r="J67" s="69"/>
      <c r="K67" s="87"/>
      <c r="L67" s="71"/>
      <c r="M67" s="72" t="s">
        <v>2559</v>
      </c>
      <c r="N67" s="90">
        <v>10.0</v>
      </c>
      <c r="O67" s="74" t="s">
        <v>2582</v>
      </c>
      <c r="P67" s="75">
        <v>0.5013888888888889</v>
      </c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45492.0</v>
      </c>
      <c r="I68" s="84"/>
      <c r="J68" s="17"/>
      <c r="K68" s="85"/>
      <c r="L68" s="86"/>
      <c r="M68" s="72" t="s">
        <v>2559</v>
      </c>
      <c r="N68" s="90">
        <v>4990.0</v>
      </c>
      <c r="O68" s="74" t="s">
        <v>2582</v>
      </c>
      <c r="P68" s="75">
        <v>0.5076388888888889</v>
      </c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45492.0</v>
      </c>
      <c r="I69" s="68"/>
      <c r="J69" s="69"/>
      <c r="K69" s="85"/>
      <c r="L69" s="71"/>
      <c r="M69" s="72" t="s">
        <v>20</v>
      </c>
      <c r="N69" s="90">
        <v>1247.0</v>
      </c>
      <c r="O69" s="74" t="s">
        <v>2109</v>
      </c>
      <c r="P69" s="75">
        <v>0.6270833333333333</v>
      </c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45492.0</v>
      </c>
      <c r="I70" s="68"/>
      <c r="J70" s="69"/>
      <c r="K70" s="70"/>
      <c r="L70" s="71"/>
      <c r="M70" s="72" t="s">
        <v>2559</v>
      </c>
      <c r="N70" s="90">
        <v>3700.0</v>
      </c>
      <c r="O70" s="74" t="s">
        <v>2582</v>
      </c>
      <c r="P70" s="75">
        <v>0.6319444444444444</v>
      </c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45492.0</v>
      </c>
      <c r="I71" s="68"/>
      <c r="J71" s="69"/>
      <c r="K71" s="87"/>
      <c r="L71" s="71"/>
      <c r="M71" s="72" t="s">
        <v>20</v>
      </c>
      <c r="N71" s="90">
        <v>675.0</v>
      </c>
      <c r="O71" s="74" t="s">
        <v>1265</v>
      </c>
      <c r="P71" s="75">
        <v>0.7444444444444445</v>
      </c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45492.0</v>
      </c>
      <c r="I72" s="68"/>
      <c r="J72" s="69"/>
      <c r="K72" s="85"/>
      <c r="L72" s="71"/>
      <c r="M72" s="72" t="s">
        <v>2296</v>
      </c>
      <c r="N72" s="90">
        <v>10.0</v>
      </c>
      <c r="O72" s="74" t="s">
        <v>469</v>
      </c>
      <c r="P72" s="75">
        <v>0.8145833333333333</v>
      </c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45492.0</v>
      </c>
      <c r="I73" s="68"/>
      <c r="J73" s="69"/>
      <c r="K73" s="93"/>
      <c r="L73" s="71"/>
      <c r="M73" s="72" t="s">
        <v>2296</v>
      </c>
      <c r="N73" s="90">
        <v>3262.4</v>
      </c>
      <c r="O73" s="74" t="s">
        <v>469</v>
      </c>
      <c r="P73" s="75">
        <v>0.8215277777777777</v>
      </c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45492.0</v>
      </c>
      <c r="I74" s="68" t="s">
        <v>2411</v>
      </c>
      <c r="J74" s="69">
        <v>50000.0</v>
      </c>
      <c r="K74" s="93"/>
      <c r="L74" s="71">
        <v>0.8618055555555556</v>
      </c>
      <c r="M74" s="72" t="s">
        <v>2506</v>
      </c>
      <c r="N74" s="90">
        <v>5000.0</v>
      </c>
      <c r="O74" s="74" t="s">
        <v>2534</v>
      </c>
      <c r="P74" s="75">
        <v>0.8645833333333334</v>
      </c>
      <c r="Q74" s="41"/>
      <c r="R74" s="39"/>
      <c r="S74" s="40"/>
      <c r="T74" s="76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45493.0</v>
      </c>
      <c r="I75" s="154"/>
      <c r="J75" s="69"/>
      <c r="K75" s="87"/>
      <c r="L75" s="71"/>
      <c r="M75" s="72" t="s">
        <v>2506</v>
      </c>
      <c r="N75" s="90">
        <v>5100.0</v>
      </c>
      <c r="O75" s="74" t="s">
        <v>2534</v>
      </c>
      <c r="P75" s="75">
        <v>0.45</v>
      </c>
      <c r="Q75" s="41"/>
      <c r="R75" s="39"/>
      <c r="S75" s="76"/>
      <c r="T75" s="76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45493.0</v>
      </c>
      <c r="I76" s="68"/>
      <c r="J76" s="69"/>
      <c r="K76" s="85"/>
      <c r="L76" s="71"/>
      <c r="M76" s="72" t="s">
        <v>2506</v>
      </c>
      <c r="N76" s="90">
        <v>10200.0</v>
      </c>
      <c r="O76" s="74" t="s">
        <v>2534</v>
      </c>
      <c r="P76" s="75">
        <v>0.90625</v>
      </c>
      <c r="Q76" s="41"/>
      <c r="R76" s="39"/>
      <c r="S76" s="76"/>
      <c r="T76" s="76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45493.0</v>
      </c>
      <c r="I77" s="68"/>
      <c r="J77" s="69"/>
      <c r="K77" s="87"/>
      <c r="L77" s="71"/>
      <c r="M77" s="72" t="s">
        <v>20</v>
      </c>
      <c r="N77" s="90">
        <v>200.0</v>
      </c>
      <c r="O77" s="74" t="s">
        <v>211</v>
      </c>
      <c r="P77" s="75">
        <v>0.6319444444444444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45493.0</v>
      </c>
      <c r="I78" s="68"/>
      <c r="J78" s="69"/>
      <c r="K78" s="87"/>
      <c r="L78" s="71"/>
      <c r="M78" s="72" t="s">
        <v>20</v>
      </c>
      <c r="N78" s="90">
        <v>1247.0</v>
      </c>
      <c r="O78" s="74" t="s">
        <v>2109</v>
      </c>
      <c r="P78" s="75">
        <v>0.8451388888888889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45493.0</v>
      </c>
      <c r="I79" s="68" t="s">
        <v>2571</v>
      </c>
      <c r="J79" s="69">
        <v>10.0</v>
      </c>
      <c r="K79" s="70"/>
      <c r="L79" s="71">
        <v>0.9131944444444444</v>
      </c>
      <c r="M79" s="147"/>
      <c r="N79" s="90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45493.0</v>
      </c>
      <c r="I80" s="68" t="s">
        <v>2571</v>
      </c>
      <c r="J80" s="69">
        <v>49990.0</v>
      </c>
      <c r="K80" s="92"/>
      <c r="L80" s="71">
        <v>0.9229166666666667</v>
      </c>
      <c r="M80" s="72"/>
      <c r="N80" s="90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45494.0</v>
      </c>
      <c r="I81" s="68"/>
      <c r="J81" s="69"/>
      <c r="K81" s="87"/>
      <c r="L81" s="71"/>
      <c r="M81" s="72" t="s">
        <v>1829</v>
      </c>
      <c r="N81" s="90">
        <v>10000.06</v>
      </c>
      <c r="O81" s="74" t="s">
        <v>2109</v>
      </c>
      <c r="P81" s="75">
        <v>0.9395833333333333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45495.0</v>
      </c>
      <c r="I82" s="68"/>
      <c r="J82" s="69"/>
      <c r="K82" s="87"/>
      <c r="L82" s="71"/>
      <c r="M82" s="72" t="s">
        <v>2506</v>
      </c>
      <c r="N82" s="90">
        <v>20400.0</v>
      </c>
      <c r="O82" s="74" t="s">
        <v>2534</v>
      </c>
      <c r="P82" s="75">
        <v>0.3701388888888889</v>
      </c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45495.0</v>
      </c>
      <c r="I83" s="68"/>
      <c r="J83" s="69"/>
      <c r="K83" s="87"/>
      <c r="L83" s="71"/>
      <c r="M83" s="147" t="s">
        <v>2502</v>
      </c>
      <c r="N83" s="19">
        <v>10.0</v>
      </c>
      <c r="O83" s="126" t="s">
        <v>2583</v>
      </c>
      <c r="P83" s="172">
        <v>0.46805555555555556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45495.0</v>
      </c>
      <c r="I84" s="68"/>
      <c r="J84" s="69"/>
      <c r="K84" s="70"/>
      <c r="L84" s="88"/>
      <c r="M84" s="147" t="s">
        <v>2502</v>
      </c>
      <c r="N84" s="19">
        <v>15015.0</v>
      </c>
      <c r="O84" s="126" t="s">
        <v>2583</v>
      </c>
      <c r="P84" s="172">
        <v>0.4701388888888889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45495.0</v>
      </c>
      <c r="I85" s="68"/>
      <c r="J85" s="69"/>
      <c r="K85" s="70"/>
      <c r="L85" s="71"/>
      <c r="M85" s="72" t="s">
        <v>2468</v>
      </c>
      <c r="N85" s="90">
        <v>5300.0</v>
      </c>
      <c r="O85" s="74" t="s">
        <v>2584</v>
      </c>
      <c r="P85" s="75">
        <v>0.6354166666666666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45495.0</v>
      </c>
      <c r="I86" s="68"/>
      <c r="J86" s="69"/>
      <c r="K86" s="85"/>
      <c r="L86" s="71"/>
      <c r="M86" s="72" t="s">
        <v>2559</v>
      </c>
      <c r="N86" s="90">
        <v>1125.0</v>
      </c>
      <c r="O86" s="74" t="s">
        <v>2585</v>
      </c>
      <c r="P86" s="75">
        <v>0.6868055555555556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45495.0</v>
      </c>
      <c r="I87" s="68"/>
      <c r="J87" s="69"/>
      <c r="K87" s="85"/>
      <c r="L87" s="71"/>
      <c r="M87" s="72" t="s">
        <v>2421</v>
      </c>
      <c r="N87" s="90">
        <v>6000.0</v>
      </c>
      <c r="O87" s="74" t="s">
        <v>2421</v>
      </c>
      <c r="P87" s="75">
        <v>0.7840277777777778</v>
      </c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45495.0</v>
      </c>
      <c r="I88" s="68"/>
      <c r="J88" s="69"/>
      <c r="K88" s="85"/>
      <c r="L88" s="71"/>
      <c r="M88" s="72" t="s">
        <v>2421</v>
      </c>
      <c r="N88" s="90">
        <v>500.0</v>
      </c>
      <c r="O88" s="74" t="s">
        <v>2421</v>
      </c>
      <c r="P88" s="75">
        <v>0.7847222222222222</v>
      </c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45495.0</v>
      </c>
      <c r="I89" s="68"/>
      <c r="J89" s="69"/>
      <c r="K89" s="70"/>
      <c r="L89" s="88"/>
      <c r="M89" s="72" t="s">
        <v>1829</v>
      </c>
      <c r="N89" s="90">
        <v>5000.54</v>
      </c>
      <c r="O89" s="74" t="s">
        <v>2109</v>
      </c>
      <c r="P89" s="75">
        <v>0.83125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45496.0</v>
      </c>
      <c r="I90" s="84"/>
      <c r="J90" s="17"/>
      <c r="K90" s="85"/>
      <c r="L90" s="86"/>
      <c r="M90" s="72" t="s">
        <v>1829</v>
      </c>
      <c r="N90" s="90">
        <v>5000.47</v>
      </c>
      <c r="O90" s="74" t="s">
        <v>2109</v>
      </c>
      <c r="P90" s="75">
        <v>0.8527777777777777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45496.0</v>
      </c>
      <c r="I91" s="68"/>
      <c r="J91" s="69"/>
      <c r="K91" s="87"/>
      <c r="L91" s="71"/>
      <c r="M91" s="72" t="s">
        <v>20</v>
      </c>
      <c r="N91" s="90">
        <v>3000.0</v>
      </c>
      <c r="O91" s="74" t="s">
        <v>2421</v>
      </c>
      <c r="P91" s="75">
        <v>0.8673611111111111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45496.0</v>
      </c>
      <c r="I92" s="68" t="s">
        <v>2570</v>
      </c>
      <c r="J92" s="69">
        <v>10.0</v>
      </c>
      <c r="K92" s="85"/>
      <c r="L92" s="71">
        <v>0.8993055555555556</v>
      </c>
      <c r="M92" s="72"/>
      <c r="N92" s="90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45496.0</v>
      </c>
      <c r="I93" s="68" t="s">
        <v>2570</v>
      </c>
      <c r="J93" s="69">
        <v>9990.0</v>
      </c>
      <c r="K93" s="70"/>
      <c r="L93" s="71">
        <v>0.9381944444444444</v>
      </c>
      <c r="M93" s="72" t="s">
        <v>1829</v>
      </c>
      <c r="N93" s="90">
        <v>5500.94</v>
      </c>
      <c r="O93" s="74" t="s">
        <v>2109</v>
      </c>
      <c r="P93" s="75">
        <v>0.9465277777777777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45497.0</v>
      </c>
      <c r="I94" s="68" t="s">
        <v>2411</v>
      </c>
      <c r="J94" s="69">
        <v>50000.0</v>
      </c>
      <c r="K94" s="70"/>
      <c r="L94" s="71">
        <v>0.5451388888888888</v>
      </c>
      <c r="M94" s="147"/>
      <c r="N94" s="90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45497.0</v>
      </c>
      <c r="I95" s="68" t="s">
        <v>2571</v>
      </c>
      <c r="J95" s="69">
        <v>50000.0</v>
      </c>
      <c r="K95" s="87"/>
      <c r="L95" s="71">
        <v>0.5472222222222223</v>
      </c>
      <c r="M95" s="72" t="s">
        <v>1829</v>
      </c>
      <c r="N95" s="90">
        <v>10000.24</v>
      </c>
      <c r="O95" s="74" t="s">
        <v>2109</v>
      </c>
      <c r="P95" s="75">
        <v>0.5631944444444444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45497.0</v>
      </c>
      <c r="I96" s="68"/>
      <c r="J96" s="69"/>
      <c r="K96" s="87"/>
      <c r="L96" s="71"/>
      <c r="M96" s="72" t="s">
        <v>1968</v>
      </c>
      <c r="N96" s="90">
        <v>30000.0</v>
      </c>
      <c r="O96" s="74" t="s">
        <v>1841</v>
      </c>
      <c r="P96" s="75">
        <v>0.8048611111111111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45497.0</v>
      </c>
      <c r="I97" s="84"/>
      <c r="J97" s="17"/>
      <c r="K97" s="85"/>
      <c r="L97" s="86"/>
      <c r="M97" s="72" t="s">
        <v>1829</v>
      </c>
      <c r="N97" s="90">
        <v>10000.28</v>
      </c>
      <c r="O97" s="74" t="s">
        <v>2109</v>
      </c>
      <c r="P97" s="75">
        <v>0.9291666666666667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45498.0</v>
      </c>
      <c r="I98" s="84"/>
      <c r="J98" s="17"/>
      <c r="K98" s="85"/>
      <c r="L98" s="86"/>
      <c r="M98" s="147" t="s">
        <v>2502</v>
      </c>
      <c r="N98" s="90">
        <v>13000.0</v>
      </c>
      <c r="O98" s="126" t="s">
        <v>2583</v>
      </c>
      <c r="P98" s="75">
        <v>0.46597222222222223</v>
      </c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45498.0</v>
      </c>
      <c r="I99" s="154"/>
      <c r="J99" s="17"/>
      <c r="K99" s="92"/>
      <c r="L99" s="173"/>
      <c r="M99" s="72" t="s">
        <v>2296</v>
      </c>
      <c r="N99" s="90">
        <v>1262.5</v>
      </c>
      <c r="O99" s="74" t="s">
        <v>469</v>
      </c>
      <c r="P99" s="75">
        <v>0.5083333333333333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45498.0</v>
      </c>
      <c r="I100" s="84"/>
      <c r="J100" s="17"/>
      <c r="K100" s="85"/>
      <c r="L100" s="86"/>
      <c r="M100" s="72" t="s">
        <v>2421</v>
      </c>
      <c r="N100" s="90">
        <v>10000.0</v>
      </c>
      <c r="O100" s="74" t="s">
        <v>2421</v>
      </c>
      <c r="P100" s="75">
        <v>0.5090277777777777</v>
      </c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45498.0</v>
      </c>
      <c r="I101" s="68" t="s">
        <v>2570</v>
      </c>
      <c r="J101" s="69">
        <v>10.0</v>
      </c>
      <c r="K101" s="87"/>
      <c r="L101" s="71">
        <v>0.9513888888888888</v>
      </c>
      <c r="M101" s="147"/>
      <c r="N101" s="90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45498.0</v>
      </c>
      <c r="I102" s="68" t="s">
        <v>2570</v>
      </c>
      <c r="J102" s="69">
        <v>14990.0</v>
      </c>
      <c r="K102" s="87"/>
      <c r="L102" s="71">
        <v>0.9611111111111111</v>
      </c>
      <c r="M102" s="72"/>
      <c r="N102" s="90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45499.0</v>
      </c>
      <c r="I103" s="68"/>
      <c r="J103" s="69"/>
      <c r="K103" s="87"/>
      <c r="L103" s="71"/>
      <c r="M103" s="72" t="s">
        <v>2421</v>
      </c>
      <c r="N103" s="90">
        <v>20000.0</v>
      </c>
      <c r="O103" s="74" t="s">
        <v>2421</v>
      </c>
      <c r="P103" s="75">
        <v>0.3236111111111111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45499.0</v>
      </c>
      <c r="I104" s="84"/>
      <c r="J104" s="17"/>
      <c r="K104" s="93"/>
      <c r="L104" s="155"/>
      <c r="M104" s="72" t="s">
        <v>2563</v>
      </c>
      <c r="N104" s="90">
        <v>3740.0</v>
      </c>
      <c r="O104" s="74" t="s">
        <v>2564</v>
      </c>
      <c r="P104" s="75">
        <v>0.6944444444444444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45499.0</v>
      </c>
      <c r="I105" s="68" t="s">
        <v>2570</v>
      </c>
      <c r="J105" s="69">
        <v>10.0</v>
      </c>
      <c r="K105" s="87"/>
      <c r="L105" s="71">
        <v>0.9333333333333333</v>
      </c>
      <c r="M105" s="72"/>
      <c r="N105" s="90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45499.0</v>
      </c>
      <c r="I106" s="68" t="s">
        <v>2570</v>
      </c>
      <c r="J106" s="69">
        <v>14990.0</v>
      </c>
      <c r="K106" s="93"/>
      <c r="L106" s="71">
        <v>0.9423611111111111</v>
      </c>
      <c r="M106" s="72" t="s">
        <v>2421</v>
      </c>
      <c r="N106" s="90">
        <v>15000.0</v>
      </c>
      <c r="O106" s="74" t="s">
        <v>2421</v>
      </c>
      <c r="P106" s="75">
        <v>0.6555555555555556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45502.0</v>
      </c>
      <c r="I107" s="68" t="s">
        <v>2570</v>
      </c>
      <c r="J107" s="69">
        <v>10.0</v>
      </c>
      <c r="K107" s="93"/>
      <c r="L107" s="71">
        <v>0.7798611111111111</v>
      </c>
      <c r="M107" s="147"/>
      <c r="N107" s="90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45502.0</v>
      </c>
      <c r="I108" s="68" t="s">
        <v>2570</v>
      </c>
      <c r="J108" s="69">
        <v>9990.0</v>
      </c>
      <c r="K108" s="85"/>
      <c r="L108" s="71">
        <v>0.7868055555555555</v>
      </c>
      <c r="M108" s="72" t="s">
        <v>2296</v>
      </c>
      <c r="N108" s="90">
        <v>7575.0</v>
      </c>
      <c r="O108" s="74" t="s">
        <v>469</v>
      </c>
      <c r="P108" s="75">
        <v>0.9229166666666667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45503.0</v>
      </c>
      <c r="I109" s="68"/>
      <c r="J109" s="69"/>
      <c r="K109" s="70"/>
      <c r="L109" s="71"/>
      <c r="M109" s="72" t="s">
        <v>827</v>
      </c>
      <c r="N109" s="90">
        <v>2525.0</v>
      </c>
      <c r="O109" s="74" t="s">
        <v>43</v>
      </c>
      <c r="P109" s="75">
        <v>0.8479166666666667</v>
      </c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45504.0</v>
      </c>
      <c r="I110" s="68"/>
      <c r="J110" s="69"/>
      <c r="K110" s="70"/>
      <c r="L110" s="71"/>
      <c r="M110" s="72" t="s">
        <v>827</v>
      </c>
      <c r="N110" s="90">
        <v>3150.0</v>
      </c>
      <c r="O110" s="74" t="s">
        <v>43</v>
      </c>
      <c r="P110" s="75">
        <v>0.4222222222222222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45504.0</v>
      </c>
      <c r="I111" s="154"/>
      <c r="J111" s="17"/>
      <c r="K111" s="92"/>
      <c r="L111" s="173"/>
      <c r="M111" s="72" t="s">
        <v>2563</v>
      </c>
      <c r="N111" s="90">
        <v>2516.0</v>
      </c>
      <c r="O111" s="74" t="s">
        <v>2564</v>
      </c>
      <c r="P111" s="75">
        <v>0.4979166666666667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17"/>
      <c r="K112" s="85"/>
      <c r="L112" s="86"/>
      <c r="M112" s="147"/>
      <c r="N112" s="19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68"/>
      <c r="J113" s="17"/>
      <c r="K113" s="70"/>
      <c r="L113" s="155"/>
      <c r="M113" s="147"/>
      <c r="N113" s="19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17"/>
      <c r="K114" s="93"/>
      <c r="L114" s="155"/>
      <c r="M114" s="147"/>
      <c r="N114" s="19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17"/>
      <c r="K115" s="85"/>
      <c r="L115" s="86"/>
      <c r="M115" s="147"/>
      <c r="N115" s="19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17"/>
      <c r="K116" s="92"/>
      <c r="L116" s="155"/>
      <c r="M116" s="147"/>
      <c r="N116" s="19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17"/>
      <c r="K117" s="85"/>
      <c r="L117" s="155"/>
      <c r="M117" s="147"/>
      <c r="N117" s="19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17"/>
      <c r="K118" s="93"/>
      <c r="L118" s="155"/>
      <c r="M118" s="147"/>
      <c r="N118" s="19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17"/>
      <c r="K119" s="93"/>
      <c r="L119" s="155"/>
      <c r="M119" s="147"/>
      <c r="N119" s="19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69"/>
      <c r="K120" s="87"/>
      <c r="L120" s="71"/>
      <c r="M120" s="147"/>
      <c r="N120" s="90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17"/>
      <c r="K121" s="70"/>
      <c r="L121" s="88"/>
      <c r="M121" s="72"/>
      <c r="N121" s="90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69"/>
      <c r="K122" s="70"/>
      <c r="L122" s="88"/>
      <c r="M122" s="147"/>
      <c r="N122" s="90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69"/>
      <c r="K123" s="70"/>
      <c r="L123" s="71"/>
      <c r="M123" s="72"/>
      <c r="N123" s="90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69"/>
      <c r="K124" s="70"/>
      <c r="L124" s="88"/>
      <c r="M124" s="72"/>
      <c r="N124" s="90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17"/>
      <c r="K125" s="85"/>
      <c r="L125" s="86"/>
      <c r="M125" s="72"/>
      <c r="N125" s="90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17"/>
      <c r="K126" s="85"/>
      <c r="L126" s="86"/>
      <c r="M126" s="72"/>
      <c r="N126" s="90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69"/>
      <c r="K127" s="87"/>
      <c r="L127" s="88"/>
      <c r="M127" s="72"/>
      <c r="N127" s="90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69"/>
      <c r="K128" s="70"/>
      <c r="L128" s="71"/>
      <c r="M128" s="147"/>
      <c r="N128" s="90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69"/>
      <c r="K129" s="70"/>
      <c r="L129" s="71"/>
      <c r="M129" s="147"/>
      <c r="N129" s="90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17"/>
      <c r="K130" s="85"/>
      <c r="L130" s="86"/>
      <c r="M130" s="72"/>
      <c r="N130" s="90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69"/>
      <c r="K131" s="87"/>
      <c r="L131" s="71"/>
      <c r="M131" s="72"/>
      <c r="N131" s="90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17"/>
      <c r="K132" s="85"/>
      <c r="L132" s="86"/>
      <c r="M132" s="72"/>
      <c r="N132" s="90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69"/>
      <c r="K133" s="70"/>
      <c r="L133" s="88"/>
      <c r="M133" s="72"/>
      <c r="N133" s="90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69"/>
      <c r="K134" s="70"/>
      <c r="L134" s="88"/>
      <c r="M134" s="72"/>
      <c r="N134" s="90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69"/>
      <c r="K135" s="85"/>
      <c r="L135" s="71"/>
      <c r="M135" s="72"/>
      <c r="N135" s="90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69"/>
      <c r="K136" s="70"/>
      <c r="L136" s="71"/>
      <c r="M136" s="72"/>
      <c r="N136" s="90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17"/>
      <c r="K137" s="85"/>
      <c r="L137" s="86"/>
      <c r="M137" s="72"/>
      <c r="N137" s="90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69"/>
      <c r="K138" s="70"/>
      <c r="L138" s="71"/>
      <c r="M138" s="72"/>
      <c r="N138" s="90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69"/>
      <c r="K139" s="70"/>
      <c r="L139" s="71"/>
      <c r="M139" s="147"/>
      <c r="N139" s="90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69"/>
      <c r="K140" s="70"/>
      <c r="L140" s="88"/>
      <c r="M140" s="72"/>
      <c r="N140" s="90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17"/>
      <c r="K141" s="85"/>
      <c r="L141" s="86"/>
      <c r="M141" s="147"/>
      <c r="N141" s="90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69"/>
      <c r="K142" s="85"/>
      <c r="L142" s="71"/>
      <c r="M142" s="72"/>
      <c r="N142" s="90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69"/>
      <c r="K143" s="85"/>
      <c r="L143" s="71"/>
      <c r="M143" s="147"/>
      <c r="N143" s="90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69"/>
      <c r="K144" s="85"/>
      <c r="L144" s="71"/>
      <c r="M144" s="72"/>
      <c r="N144" s="90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69"/>
      <c r="K145" s="87"/>
      <c r="L145" s="71"/>
      <c r="M145" s="72"/>
      <c r="N145" s="90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69"/>
      <c r="K146" s="87"/>
      <c r="L146" s="71"/>
      <c r="M146" s="147"/>
      <c r="N146" s="90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17"/>
      <c r="K147" s="85"/>
      <c r="L147" s="86"/>
      <c r="M147" s="72"/>
      <c r="N147" s="90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17"/>
      <c r="K148" s="85"/>
      <c r="L148" s="86"/>
      <c r="M148" s="72"/>
      <c r="N148" s="90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17"/>
      <c r="K149" s="85"/>
      <c r="L149" s="86"/>
      <c r="M149" s="147"/>
      <c r="N149" s="90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17"/>
      <c r="K150" s="85"/>
      <c r="L150" s="86"/>
      <c r="M150" s="72"/>
      <c r="N150" s="90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69"/>
      <c r="K151" s="70"/>
      <c r="L151" s="88"/>
      <c r="M151" s="147"/>
      <c r="N151" s="90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69"/>
      <c r="K152" s="87"/>
      <c r="L152" s="71"/>
      <c r="M152" s="72"/>
      <c r="N152" s="90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69"/>
      <c r="K153" s="85"/>
      <c r="L153" s="71"/>
      <c r="M153" s="72"/>
      <c r="N153" s="90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17"/>
      <c r="K154" s="85"/>
      <c r="L154" s="86"/>
      <c r="M154" s="147"/>
      <c r="N154" s="19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69"/>
      <c r="K155" s="85"/>
      <c r="L155" s="71"/>
      <c r="M155" s="72"/>
      <c r="N155" s="90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17"/>
      <c r="K156" s="85"/>
      <c r="L156" s="86"/>
      <c r="M156" s="147"/>
      <c r="N156" s="90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69"/>
      <c r="K157" s="87"/>
      <c r="L157" s="71"/>
      <c r="M157" s="72"/>
      <c r="N157" s="90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69"/>
      <c r="K158" s="87"/>
      <c r="L158" s="71"/>
      <c r="M158" s="72"/>
      <c r="N158" s="90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69"/>
      <c r="K159" s="85"/>
      <c r="L159" s="71"/>
      <c r="M159" s="147"/>
      <c r="N159" s="90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17"/>
      <c r="K160" s="93"/>
      <c r="L160" s="155"/>
      <c r="M160" s="72"/>
      <c r="N160" s="90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17"/>
      <c r="K161" s="93"/>
      <c r="L161" s="155"/>
      <c r="M161" s="72"/>
      <c r="N161" s="90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69"/>
      <c r="K162" s="87"/>
      <c r="L162" s="71"/>
      <c r="M162" s="147"/>
      <c r="N162" s="90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69"/>
      <c r="K163" s="87"/>
      <c r="L163" s="71"/>
      <c r="M163" s="72"/>
      <c r="N163" s="90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69"/>
      <c r="K165" s="87"/>
      <c r="L165" s="71"/>
      <c r="M165" s="147"/>
      <c r="N165" s="90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69"/>
      <c r="K166" s="87"/>
      <c r="L166" s="71"/>
      <c r="M166" s="147"/>
      <c r="N166" s="90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17"/>
      <c r="K167" s="85"/>
      <c r="L167" s="86"/>
      <c r="M167" s="72"/>
      <c r="N167" s="90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17"/>
      <c r="K168" s="85"/>
      <c r="L168" s="86"/>
      <c r="M168" s="72"/>
      <c r="N168" s="90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17"/>
      <c r="K169" s="85"/>
      <c r="L169" s="86"/>
      <c r="M169" s="72"/>
      <c r="N169" s="90"/>
      <c r="O169" s="74"/>
      <c r="P169" s="75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17"/>
      <c r="K170" s="85"/>
      <c r="L170" s="86"/>
      <c r="M170" s="72"/>
      <c r="N170" s="90"/>
      <c r="O170" s="74"/>
      <c r="P170" s="75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17"/>
      <c r="K171" s="85"/>
      <c r="L171" s="86"/>
      <c r="M171" s="147"/>
      <c r="N171" s="90"/>
      <c r="O171" s="126"/>
      <c r="P171" s="75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69"/>
      <c r="K172" s="87"/>
      <c r="L172" s="71"/>
      <c r="M172" s="72"/>
      <c r="N172" s="90"/>
      <c r="O172" s="74"/>
      <c r="P172" s="75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154"/>
      <c r="J173" s="17"/>
      <c r="K173" s="87"/>
      <c r="L173" s="71"/>
      <c r="M173" s="72"/>
      <c r="N173" s="90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84"/>
      <c r="J174" s="69"/>
      <c r="K174" s="87"/>
      <c r="L174" s="71"/>
      <c r="M174" s="147"/>
      <c r="N174" s="90"/>
      <c r="O174" s="126"/>
      <c r="P174" s="75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68"/>
      <c r="J175" s="69"/>
      <c r="K175" s="85"/>
      <c r="L175" s="71"/>
      <c r="M175" s="72"/>
      <c r="N175" s="90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69"/>
      <c r="K176" s="70"/>
      <c r="L176" s="71"/>
      <c r="M176" s="72"/>
      <c r="N176" s="90"/>
      <c r="O176" s="74"/>
      <c r="P176" s="75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17"/>
      <c r="K177" s="85"/>
      <c r="L177" s="86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69"/>
      <c r="K178" s="87"/>
      <c r="L178" s="71"/>
      <c r="M178" s="72"/>
      <c r="N178" s="90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69"/>
      <c r="K179" s="87"/>
      <c r="L179" s="71"/>
      <c r="M179" s="72"/>
      <c r="N179" s="90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17"/>
      <c r="K180" s="85"/>
      <c r="L180" s="86"/>
      <c r="M180" s="72"/>
      <c r="N180" s="90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autoFilter ref="$A$1:$AB$1000"/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1" t="s">
        <v>0</v>
      </c>
      <c r="B1" s="2"/>
      <c r="C1" s="3" t="s">
        <v>2556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257"/>
      <c r="K2" s="11"/>
      <c r="L2" s="11"/>
      <c r="M2" s="13"/>
      <c r="N2" s="258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259"/>
      <c r="K3" s="16"/>
      <c r="L3" s="16"/>
      <c r="M3" s="18"/>
      <c r="N3" s="260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2586</v>
      </c>
      <c r="D4" s="21"/>
      <c r="E4" s="20"/>
      <c r="F4" s="21"/>
      <c r="G4" s="23" t="s">
        <v>2587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6"/>
      <c r="T5" s="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261" t="s">
        <v>2233</v>
      </c>
      <c r="K6" s="47" t="s">
        <v>12</v>
      </c>
      <c r="L6" s="48" t="s">
        <v>13</v>
      </c>
      <c r="M6" s="49" t="s">
        <v>10</v>
      </c>
      <c r="N6" s="262" t="s">
        <v>2233</v>
      </c>
      <c r="O6" s="51" t="s">
        <v>12</v>
      </c>
      <c r="P6" s="51" t="s">
        <v>13</v>
      </c>
      <c r="Q6" s="30"/>
      <c r="R6" s="39"/>
      <c r="S6" s="6"/>
      <c r="T6" s="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817</v>
      </c>
      <c r="D7" s="54" t="s">
        <v>16</v>
      </c>
      <c r="E7" s="29"/>
      <c r="F7" s="30"/>
      <c r="G7" s="55">
        <v>1.0</v>
      </c>
      <c r="H7" s="241">
        <v>45469.0</v>
      </c>
      <c r="I7" s="57" t="s">
        <v>2588</v>
      </c>
      <c r="J7" s="263">
        <v>5000.0</v>
      </c>
      <c r="K7" s="59"/>
      <c r="L7" s="60" t="s">
        <v>2589</v>
      </c>
      <c r="M7" s="61"/>
      <c r="N7" s="264"/>
      <c r="O7" s="63"/>
      <c r="P7" s="205"/>
      <c r="Q7" s="41"/>
      <c r="R7" s="39"/>
      <c r="S7" s="6"/>
      <c r="T7" s="27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45470.0</v>
      </c>
      <c r="I8" s="68"/>
      <c r="J8" s="265"/>
      <c r="K8" s="70"/>
      <c r="L8" s="88"/>
      <c r="M8" s="72" t="s">
        <v>20</v>
      </c>
      <c r="N8" s="266">
        <v>1836.0</v>
      </c>
      <c r="O8" s="72" t="s">
        <v>2109</v>
      </c>
      <c r="P8" s="75">
        <v>0.5854166666666667</v>
      </c>
      <c r="Q8" s="41"/>
      <c r="R8" s="39"/>
      <c r="S8" s="27"/>
      <c r="T8" s="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36690</v>
      </c>
      <c r="D9" s="30"/>
      <c r="E9" s="29"/>
      <c r="F9" s="30"/>
      <c r="G9" s="66">
        <v>3.0</v>
      </c>
      <c r="H9" s="153">
        <v>45473.0</v>
      </c>
      <c r="I9" s="68"/>
      <c r="J9" s="265"/>
      <c r="K9" s="70"/>
      <c r="L9" s="88"/>
      <c r="M9" s="72" t="s">
        <v>20</v>
      </c>
      <c r="N9" s="266">
        <v>1569.0</v>
      </c>
      <c r="O9" s="72" t="s">
        <v>2109</v>
      </c>
      <c r="P9" s="75">
        <v>0.6590277777777778</v>
      </c>
      <c r="Q9" s="41"/>
      <c r="R9" s="39"/>
      <c r="S9" s="6"/>
      <c r="T9" s="6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45473.0</v>
      </c>
      <c r="I10" s="68" t="s">
        <v>2588</v>
      </c>
      <c r="J10" s="265">
        <v>10000.0</v>
      </c>
      <c r="K10" s="85"/>
      <c r="L10" s="88" t="s">
        <v>2590</v>
      </c>
      <c r="M10" s="72"/>
      <c r="N10" s="266"/>
      <c r="O10" s="72"/>
      <c r="P10" s="75"/>
      <c r="Q10" s="41"/>
      <c r="R10" s="39"/>
      <c r="S10" s="27"/>
      <c r="T10" s="27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26956.62</v>
      </c>
      <c r="D11" s="30"/>
      <c r="E11" s="29"/>
      <c r="F11" s="30"/>
      <c r="G11" s="66">
        <v>5.0</v>
      </c>
      <c r="H11" s="153">
        <v>45477.0</v>
      </c>
      <c r="I11" s="68"/>
      <c r="J11" s="265"/>
      <c r="K11" s="87"/>
      <c r="L11" s="71"/>
      <c r="M11" s="72" t="s">
        <v>20</v>
      </c>
      <c r="N11" s="266">
        <v>1036.0</v>
      </c>
      <c r="O11" s="72" t="s">
        <v>2109</v>
      </c>
      <c r="P11" s="75">
        <v>0.5090277777777777</v>
      </c>
      <c r="Q11" s="41"/>
      <c r="R11" s="39"/>
      <c r="S11" s="6"/>
      <c r="T11" s="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45480.0</v>
      </c>
      <c r="I12" s="68"/>
      <c r="J12" s="265"/>
      <c r="K12" s="87"/>
      <c r="L12" s="71"/>
      <c r="M12" s="72" t="s">
        <v>20</v>
      </c>
      <c r="N12" s="266">
        <v>963.0</v>
      </c>
      <c r="O12" s="72" t="s">
        <v>2109</v>
      </c>
      <c r="P12" s="75">
        <v>0.6993055555555555</v>
      </c>
      <c r="Q12" s="41"/>
      <c r="R12" s="39"/>
      <c r="S12" s="6"/>
      <c r="T12" s="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9733.38</v>
      </c>
      <c r="D13" s="30"/>
      <c r="E13" s="29"/>
      <c r="F13" s="30"/>
      <c r="G13" s="66">
        <v>7.0</v>
      </c>
      <c r="H13" s="153">
        <v>45482.0</v>
      </c>
      <c r="I13" s="68"/>
      <c r="J13" s="265"/>
      <c r="K13" s="87"/>
      <c r="L13" s="71"/>
      <c r="M13" s="72" t="s">
        <v>20</v>
      </c>
      <c r="N13" s="266">
        <v>963.0</v>
      </c>
      <c r="O13" s="72" t="s">
        <v>2109</v>
      </c>
      <c r="P13" s="94" t="s">
        <v>586</v>
      </c>
      <c r="Q13" s="41"/>
      <c r="R13" s="39"/>
      <c r="S13" s="27"/>
      <c r="T13" s="27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45484.0</v>
      </c>
      <c r="I14" s="84"/>
      <c r="J14" s="259"/>
      <c r="K14" s="85"/>
      <c r="L14" s="86"/>
      <c r="M14" s="72" t="s">
        <v>20</v>
      </c>
      <c r="N14" s="266">
        <v>965.0</v>
      </c>
      <c r="O14" s="72" t="s">
        <v>2109</v>
      </c>
      <c r="P14" s="94" t="s">
        <v>2505</v>
      </c>
      <c r="Q14" s="41"/>
      <c r="R14" s="39"/>
      <c r="S14" s="6"/>
      <c r="T14" s="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45484.0</v>
      </c>
      <c r="I15" s="68"/>
      <c r="J15" s="265"/>
      <c r="K15" s="87"/>
      <c r="L15" s="71"/>
      <c r="M15" s="72" t="s">
        <v>20</v>
      </c>
      <c r="N15" s="266">
        <v>350.0</v>
      </c>
      <c r="O15" s="74" t="s">
        <v>2572</v>
      </c>
      <c r="P15" s="94" t="s">
        <v>2591</v>
      </c>
      <c r="Q15" s="41"/>
      <c r="R15" s="39"/>
      <c r="S15" s="6"/>
      <c r="T15" s="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45485.0</v>
      </c>
      <c r="I16" s="154"/>
      <c r="J16" s="259"/>
      <c r="K16" s="92"/>
      <c r="L16" s="173"/>
      <c r="M16" s="72" t="s">
        <v>20</v>
      </c>
      <c r="N16" s="266">
        <v>350.0</v>
      </c>
      <c r="O16" s="74" t="s">
        <v>2572</v>
      </c>
      <c r="P16" s="94" t="s">
        <v>2313</v>
      </c>
      <c r="Q16" s="41"/>
      <c r="R16" s="39"/>
      <c r="S16" s="27"/>
      <c r="T16" s="27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45486.0</v>
      </c>
      <c r="I17" s="154"/>
      <c r="J17" s="259"/>
      <c r="K17" s="92"/>
      <c r="L17" s="173"/>
      <c r="M17" s="72" t="s">
        <v>20</v>
      </c>
      <c r="N17" s="266">
        <v>350.0</v>
      </c>
      <c r="O17" s="74" t="s">
        <v>2572</v>
      </c>
      <c r="P17" s="94" t="s">
        <v>740</v>
      </c>
      <c r="Q17" s="41"/>
      <c r="R17" s="39"/>
      <c r="S17" s="6"/>
      <c r="T17" s="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45487.0</v>
      </c>
      <c r="I18" s="154"/>
      <c r="J18" s="259"/>
      <c r="K18" s="92"/>
      <c r="L18" s="173"/>
      <c r="M18" s="72" t="s">
        <v>20</v>
      </c>
      <c r="N18" s="266">
        <v>965.0</v>
      </c>
      <c r="O18" s="72" t="s">
        <v>2109</v>
      </c>
      <c r="P18" s="94" t="s">
        <v>2592</v>
      </c>
      <c r="Q18" s="41"/>
      <c r="R18" s="39"/>
      <c r="S18" s="6"/>
      <c r="T18" s="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45488.0</v>
      </c>
      <c r="I19" s="154"/>
      <c r="J19" s="259"/>
      <c r="K19" s="93"/>
      <c r="L19" s="155"/>
      <c r="M19" s="72" t="s">
        <v>20</v>
      </c>
      <c r="N19" s="266">
        <v>350.0</v>
      </c>
      <c r="O19" s="74" t="s">
        <v>2572</v>
      </c>
      <c r="P19" s="94" t="s">
        <v>1589</v>
      </c>
      <c r="Q19" s="41"/>
      <c r="R19" s="39"/>
      <c r="S19" s="27"/>
      <c r="T19" s="27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45489.0</v>
      </c>
      <c r="I20" s="154"/>
      <c r="J20" s="259"/>
      <c r="K20" s="93"/>
      <c r="L20" s="155"/>
      <c r="M20" s="72" t="s">
        <v>20</v>
      </c>
      <c r="N20" s="266">
        <v>963.0</v>
      </c>
      <c r="O20" s="72" t="s">
        <v>2109</v>
      </c>
      <c r="P20" s="94" t="s">
        <v>2593</v>
      </c>
      <c r="Q20" s="41"/>
      <c r="R20" s="39"/>
      <c r="S20" s="6"/>
      <c r="T20" s="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36690</v>
      </c>
      <c r="D21" s="30"/>
      <c r="E21" s="29"/>
      <c r="F21" s="30"/>
      <c r="G21" s="66">
        <v>15.0</v>
      </c>
      <c r="H21" s="153">
        <v>45491.0</v>
      </c>
      <c r="I21" s="154"/>
      <c r="J21" s="259"/>
      <c r="K21" s="93"/>
      <c r="L21" s="155"/>
      <c r="M21" s="72" t="s">
        <v>20</v>
      </c>
      <c r="N21" s="266">
        <v>965.0</v>
      </c>
      <c r="O21" s="72" t="s">
        <v>2109</v>
      </c>
      <c r="P21" s="94" t="s">
        <v>2594</v>
      </c>
      <c r="Q21" s="41"/>
      <c r="R21" s="39"/>
      <c r="S21" s="6"/>
      <c r="T21" s="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45494.0</v>
      </c>
      <c r="I22" s="68"/>
      <c r="J22" s="259"/>
      <c r="K22" s="93"/>
      <c r="L22" s="155"/>
      <c r="M22" s="72" t="s">
        <v>20</v>
      </c>
      <c r="N22" s="266">
        <v>965.0</v>
      </c>
      <c r="O22" s="72" t="s">
        <v>2109</v>
      </c>
      <c r="P22" s="94" t="s">
        <v>2595</v>
      </c>
      <c r="Q22" s="41"/>
      <c r="R22" s="39"/>
      <c r="S22" s="27"/>
      <c r="T22" s="27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26956.62</v>
      </c>
      <c r="D23" s="30"/>
      <c r="E23" s="29"/>
      <c r="F23" s="30"/>
      <c r="G23" s="66">
        <v>17.0</v>
      </c>
      <c r="H23" s="153">
        <v>45495.0</v>
      </c>
      <c r="I23" s="68"/>
      <c r="J23" s="265"/>
      <c r="K23" s="87"/>
      <c r="L23" s="71"/>
      <c r="M23" s="72" t="s">
        <v>20</v>
      </c>
      <c r="N23" s="266">
        <v>734.0</v>
      </c>
      <c r="O23" s="74" t="s">
        <v>2596</v>
      </c>
      <c r="P23" s="94" t="s">
        <v>2597</v>
      </c>
      <c r="Q23" s="41"/>
      <c r="R23" s="39"/>
      <c r="S23" s="6"/>
      <c r="T23" s="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45495.0</v>
      </c>
      <c r="I24" s="68"/>
      <c r="J24" s="265"/>
      <c r="K24" s="85"/>
      <c r="L24" s="86"/>
      <c r="M24" s="72" t="s">
        <v>20</v>
      </c>
      <c r="N24" s="266">
        <v>59.61</v>
      </c>
      <c r="O24" s="74" t="s">
        <v>2598</v>
      </c>
      <c r="P24" s="94" t="s">
        <v>2318</v>
      </c>
      <c r="Q24" s="41"/>
      <c r="R24" s="39"/>
      <c r="S24" s="6"/>
      <c r="T24" s="6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9733.38</v>
      </c>
      <c r="D25" s="30"/>
      <c r="E25" s="29"/>
      <c r="F25" s="30"/>
      <c r="G25" s="66">
        <v>19.0</v>
      </c>
      <c r="H25" s="153">
        <v>45496.0</v>
      </c>
      <c r="I25" s="68"/>
      <c r="J25" s="265"/>
      <c r="K25" s="70"/>
      <c r="L25" s="88"/>
      <c r="M25" s="72" t="s">
        <v>20</v>
      </c>
      <c r="N25" s="266">
        <v>350.0</v>
      </c>
      <c r="O25" s="74" t="s">
        <v>2572</v>
      </c>
      <c r="P25" s="94" t="s">
        <v>1625</v>
      </c>
      <c r="Q25" s="41"/>
      <c r="R25" s="39"/>
      <c r="S25" s="27"/>
      <c r="T25" s="27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45496.0</v>
      </c>
      <c r="I26" s="68" t="s">
        <v>2588</v>
      </c>
      <c r="J26" s="265">
        <v>21690.0</v>
      </c>
      <c r="K26" s="70"/>
      <c r="L26" s="88" t="s">
        <v>2599</v>
      </c>
      <c r="M26" s="72" t="s">
        <v>2600</v>
      </c>
      <c r="N26" s="266">
        <v>1000.0</v>
      </c>
      <c r="O26" s="74"/>
      <c r="P26" s="94" t="s">
        <v>66</v>
      </c>
      <c r="Q26" s="41"/>
      <c r="R26" s="39"/>
      <c r="S26" s="6"/>
      <c r="T26" s="6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45497.0</v>
      </c>
      <c r="I27" s="68"/>
      <c r="J27" s="265"/>
      <c r="K27" s="70"/>
      <c r="L27" s="71"/>
      <c r="M27" s="72" t="s">
        <v>20</v>
      </c>
      <c r="N27" s="266">
        <v>350.0</v>
      </c>
      <c r="O27" s="74" t="s">
        <v>2572</v>
      </c>
      <c r="P27" s="94" t="s">
        <v>2219</v>
      </c>
      <c r="Q27" s="41"/>
      <c r="R27" s="39"/>
      <c r="S27" s="6"/>
      <c r="T27" s="6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45500.0</v>
      </c>
      <c r="I28" s="68"/>
      <c r="J28" s="265"/>
      <c r="K28" s="85"/>
      <c r="L28" s="86"/>
      <c r="M28" s="72" t="s">
        <v>20</v>
      </c>
      <c r="N28" s="266">
        <v>200.0</v>
      </c>
      <c r="O28" s="74" t="s">
        <v>2513</v>
      </c>
      <c r="P28" s="94" t="s">
        <v>331</v>
      </c>
      <c r="Q28" s="41"/>
      <c r="R28" s="39"/>
      <c r="S28" s="27"/>
      <c r="T28" s="27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45500.0</v>
      </c>
      <c r="I29" s="68"/>
      <c r="J29" s="265"/>
      <c r="K29" s="70"/>
      <c r="L29" s="71"/>
      <c r="M29" s="72" t="s">
        <v>20</v>
      </c>
      <c r="N29" s="266">
        <v>350.0</v>
      </c>
      <c r="O29" s="74" t="s">
        <v>2572</v>
      </c>
      <c r="P29" s="94" t="s">
        <v>2136</v>
      </c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45501.0</v>
      </c>
      <c r="I30" s="68"/>
      <c r="J30" s="265"/>
      <c r="K30" s="85"/>
      <c r="L30" s="86"/>
      <c r="M30" s="72" t="s">
        <v>20</v>
      </c>
      <c r="N30" s="266">
        <v>200.0</v>
      </c>
      <c r="O30" s="74" t="s">
        <v>2513</v>
      </c>
      <c r="P30" s="94" t="s">
        <v>2330</v>
      </c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45502.0</v>
      </c>
      <c r="I31" s="68"/>
      <c r="J31" s="265"/>
      <c r="K31" s="70"/>
      <c r="L31" s="88"/>
      <c r="M31" s="72" t="s">
        <v>20</v>
      </c>
      <c r="N31" s="266">
        <v>200.0</v>
      </c>
      <c r="O31" s="74" t="s">
        <v>2513</v>
      </c>
      <c r="P31" s="94" t="s">
        <v>2601</v>
      </c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45503.0</v>
      </c>
      <c r="I32" s="84"/>
      <c r="J32" s="259"/>
      <c r="K32" s="85"/>
      <c r="L32" s="86"/>
      <c r="M32" s="72" t="s">
        <v>20</v>
      </c>
      <c r="N32" s="266">
        <v>400.0</v>
      </c>
      <c r="O32" s="74" t="s">
        <v>2513</v>
      </c>
      <c r="P32" s="94" t="s">
        <v>2333</v>
      </c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45503.0</v>
      </c>
      <c r="I33" s="154"/>
      <c r="J33" s="265"/>
      <c r="K33" s="70"/>
      <c r="L33" s="71"/>
      <c r="M33" s="72" t="s">
        <v>20</v>
      </c>
      <c r="N33" s="266">
        <v>200.0</v>
      </c>
      <c r="O33" s="74" t="s">
        <v>2513</v>
      </c>
      <c r="P33" s="94" t="s">
        <v>431</v>
      </c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45503.0</v>
      </c>
      <c r="I34" s="154"/>
      <c r="J34" s="265"/>
      <c r="K34" s="87"/>
      <c r="L34" s="71"/>
      <c r="M34" s="72" t="s">
        <v>20</v>
      </c>
      <c r="N34" s="266">
        <v>200.0</v>
      </c>
      <c r="O34" s="74" t="s">
        <v>2513</v>
      </c>
      <c r="P34" s="94" t="s">
        <v>2602</v>
      </c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45503.0</v>
      </c>
      <c r="I35" s="68"/>
      <c r="J35" s="265"/>
      <c r="K35" s="85"/>
      <c r="L35" s="71"/>
      <c r="M35" s="72" t="s">
        <v>20</v>
      </c>
      <c r="N35" s="266">
        <v>700.0</v>
      </c>
      <c r="O35" s="74" t="s">
        <v>2572</v>
      </c>
      <c r="P35" s="94" t="s">
        <v>2603</v>
      </c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45504.0</v>
      </c>
      <c r="I36" s="84"/>
      <c r="J36" s="259"/>
      <c r="K36" s="85"/>
      <c r="L36" s="86"/>
      <c r="M36" s="72" t="s">
        <v>20</v>
      </c>
      <c r="N36" s="266">
        <v>200.0</v>
      </c>
      <c r="O36" s="74" t="s">
        <v>2513</v>
      </c>
      <c r="P36" s="94" t="s">
        <v>2604</v>
      </c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45506.0</v>
      </c>
      <c r="I37" s="68"/>
      <c r="J37" s="265"/>
      <c r="K37" s="85"/>
      <c r="L37" s="86"/>
      <c r="M37" s="72" t="s">
        <v>20</v>
      </c>
      <c r="N37" s="266">
        <v>200.0</v>
      </c>
      <c r="O37" s="74" t="s">
        <v>2513</v>
      </c>
      <c r="P37" s="94" t="s">
        <v>958</v>
      </c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45507.0</v>
      </c>
      <c r="I38" s="68"/>
      <c r="J38" s="265"/>
      <c r="K38" s="85"/>
      <c r="L38" s="86"/>
      <c r="M38" s="72" t="s">
        <v>20</v>
      </c>
      <c r="N38" s="266">
        <v>326.0</v>
      </c>
      <c r="O38" s="72" t="s">
        <v>2109</v>
      </c>
      <c r="P38" s="94" t="s">
        <v>454</v>
      </c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45507.0</v>
      </c>
      <c r="I39" s="68"/>
      <c r="J39" s="265"/>
      <c r="K39" s="70"/>
      <c r="L39" s="88"/>
      <c r="M39" s="72" t="s">
        <v>20</v>
      </c>
      <c r="N39" s="266">
        <v>200.0</v>
      </c>
      <c r="O39" s="74" t="s">
        <v>2513</v>
      </c>
      <c r="P39" s="94" t="s">
        <v>2605</v>
      </c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45508.0</v>
      </c>
      <c r="I40" s="68"/>
      <c r="J40" s="265"/>
      <c r="K40" s="70"/>
      <c r="L40" s="88"/>
      <c r="M40" s="72" t="s">
        <v>20</v>
      </c>
      <c r="N40" s="266">
        <v>200.0</v>
      </c>
      <c r="O40" s="74" t="s">
        <v>2513</v>
      </c>
      <c r="P40" s="75">
        <v>0.8034722222222223</v>
      </c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45508.0</v>
      </c>
      <c r="I41" s="68"/>
      <c r="J41" s="265"/>
      <c r="K41" s="70"/>
      <c r="L41" s="88"/>
      <c r="M41" s="72" t="s">
        <v>20</v>
      </c>
      <c r="N41" s="266">
        <v>637.0</v>
      </c>
      <c r="O41" s="72" t="s">
        <v>2109</v>
      </c>
      <c r="P41" s="94" t="s">
        <v>2606</v>
      </c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45509.0</v>
      </c>
      <c r="I42" s="68"/>
      <c r="J42" s="265"/>
      <c r="K42" s="70"/>
      <c r="L42" s="88"/>
      <c r="M42" s="72" t="s">
        <v>20</v>
      </c>
      <c r="N42" s="266">
        <v>3000.0</v>
      </c>
      <c r="O42" s="74" t="s">
        <v>2607</v>
      </c>
      <c r="P42" s="74" t="s">
        <v>2608</v>
      </c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45509.0</v>
      </c>
      <c r="I43" s="68"/>
      <c r="J43" s="265"/>
      <c r="K43" s="87"/>
      <c r="L43" s="71"/>
      <c r="M43" s="72" t="s">
        <v>20</v>
      </c>
      <c r="N43" s="266">
        <v>200.0</v>
      </c>
      <c r="O43" s="74" t="s">
        <v>2513</v>
      </c>
      <c r="P43" s="74" t="s">
        <v>302</v>
      </c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45513.0</v>
      </c>
      <c r="I44" s="84"/>
      <c r="J44" s="259"/>
      <c r="K44" s="85"/>
      <c r="L44" s="86"/>
      <c r="M44" s="72" t="s">
        <v>20</v>
      </c>
      <c r="N44" s="266">
        <v>200.0</v>
      </c>
      <c r="O44" s="74" t="s">
        <v>2513</v>
      </c>
      <c r="P44" s="94" t="s">
        <v>2609</v>
      </c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45513.0</v>
      </c>
      <c r="I45" s="68"/>
      <c r="J45" s="265"/>
      <c r="K45" s="85"/>
      <c r="L45" s="86"/>
      <c r="M45" s="72" t="s">
        <v>20</v>
      </c>
      <c r="N45" s="266">
        <v>35.0</v>
      </c>
      <c r="O45" s="74" t="s">
        <v>2500</v>
      </c>
      <c r="P45" s="94" t="s">
        <v>2610</v>
      </c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45517.0</v>
      </c>
      <c r="I46" s="84"/>
      <c r="J46" s="259"/>
      <c r="K46" s="85"/>
      <c r="L46" s="86"/>
      <c r="M46" s="72" t="s">
        <v>20</v>
      </c>
      <c r="N46" s="266">
        <v>175.0</v>
      </c>
      <c r="O46" s="74" t="s">
        <v>2500</v>
      </c>
      <c r="P46" s="94" t="s">
        <v>331</v>
      </c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45525.0</v>
      </c>
      <c r="I47" s="68"/>
      <c r="J47" s="265"/>
      <c r="K47" s="70"/>
      <c r="L47" s="71"/>
      <c r="M47" s="72" t="s">
        <v>20</v>
      </c>
      <c r="N47" s="266">
        <v>200.0</v>
      </c>
      <c r="O47" s="74" t="s">
        <v>2513</v>
      </c>
      <c r="P47" s="94" t="s">
        <v>2611</v>
      </c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45525.0</v>
      </c>
      <c r="I48" s="68"/>
      <c r="J48" s="265"/>
      <c r="K48" s="87"/>
      <c r="L48" s="71"/>
      <c r="M48" s="72" t="s">
        <v>20</v>
      </c>
      <c r="N48" s="266">
        <v>1.12</v>
      </c>
      <c r="O48" s="74" t="s">
        <v>2612</v>
      </c>
      <c r="P48" s="94" t="s">
        <v>2540</v>
      </c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45527.0</v>
      </c>
      <c r="I49" s="68"/>
      <c r="J49" s="265"/>
      <c r="K49" s="85"/>
      <c r="L49" s="71"/>
      <c r="M49" s="72" t="s">
        <v>20</v>
      </c>
      <c r="N49" s="266">
        <v>200.0</v>
      </c>
      <c r="O49" s="74" t="s">
        <v>2513</v>
      </c>
      <c r="P49" s="94" t="s">
        <v>2613</v>
      </c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45530.0</v>
      </c>
      <c r="I50" s="68"/>
      <c r="J50" s="265"/>
      <c r="K50" s="85"/>
      <c r="L50" s="71"/>
      <c r="M50" s="72" t="s">
        <v>20</v>
      </c>
      <c r="N50" s="266">
        <v>1.02</v>
      </c>
      <c r="O50" s="74" t="s">
        <v>2256</v>
      </c>
      <c r="P50" s="75">
        <v>0.60625</v>
      </c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45530.0</v>
      </c>
      <c r="I51" s="68"/>
      <c r="J51" s="265"/>
      <c r="K51" s="87"/>
      <c r="L51" s="71"/>
      <c r="M51" s="72" t="s">
        <v>20</v>
      </c>
      <c r="N51" s="266">
        <v>200.0</v>
      </c>
      <c r="O51" s="74" t="s">
        <v>21</v>
      </c>
      <c r="P51" s="75">
        <v>0.6826388888888889</v>
      </c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45530.0</v>
      </c>
      <c r="I52" s="68"/>
      <c r="J52" s="265"/>
      <c r="K52" s="87"/>
      <c r="L52" s="71"/>
      <c r="M52" s="72" t="s">
        <v>2600</v>
      </c>
      <c r="N52" s="266">
        <v>2000.0</v>
      </c>
      <c r="O52" s="74"/>
      <c r="P52" s="75">
        <v>0.8166666666666667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45533.0</v>
      </c>
      <c r="I53" s="68"/>
      <c r="J53" s="265"/>
      <c r="K53" s="70"/>
      <c r="L53" s="88"/>
      <c r="M53" s="72" t="s">
        <v>20</v>
      </c>
      <c r="N53" s="266">
        <v>236.0</v>
      </c>
      <c r="O53" s="74" t="s">
        <v>2614</v>
      </c>
      <c r="P53" s="75">
        <v>0.8326388888888889</v>
      </c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45534.0</v>
      </c>
      <c r="I54" s="84"/>
      <c r="J54" s="259"/>
      <c r="K54" s="85"/>
      <c r="L54" s="86"/>
      <c r="M54" s="72" t="s">
        <v>20</v>
      </c>
      <c r="N54" s="266">
        <v>1011.87</v>
      </c>
      <c r="O54" s="74" t="s">
        <v>2615</v>
      </c>
      <c r="P54" s="75">
        <v>0.8909722222222223</v>
      </c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45534.0</v>
      </c>
      <c r="I55" s="68"/>
      <c r="J55" s="265"/>
      <c r="K55" s="87"/>
      <c r="L55" s="71"/>
      <c r="M55" s="72" t="s">
        <v>20</v>
      </c>
      <c r="N55" s="266">
        <v>200.0</v>
      </c>
      <c r="O55" s="74" t="s">
        <v>21</v>
      </c>
      <c r="P55" s="75">
        <v>0.8958333333333334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265"/>
      <c r="K56" s="87"/>
      <c r="L56" s="71"/>
      <c r="M56" s="72"/>
      <c r="N56" s="266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265"/>
      <c r="K57" s="70"/>
      <c r="L57" s="71"/>
      <c r="M57" s="72"/>
      <c r="N57" s="266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265"/>
      <c r="K58" s="87"/>
      <c r="L58" s="71"/>
      <c r="M58" s="147"/>
      <c r="N58" s="266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265"/>
      <c r="K59" s="85"/>
      <c r="L59" s="71"/>
      <c r="M59" s="72"/>
      <c r="N59" s="266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265"/>
      <c r="K60" s="85"/>
      <c r="L60" s="71"/>
      <c r="M60" s="72"/>
      <c r="N60" s="266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265"/>
      <c r="K61" s="85"/>
      <c r="L61" s="71"/>
      <c r="M61" s="72"/>
      <c r="N61" s="266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265"/>
      <c r="K62" s="87"/>
      <c r="L62" s="71"/>
      <c r="M62" s="147"/>
      <c r="N62" s="266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265"/>
      <c r="K63" s="87"/>
      <c r="L63" s="71"/>
      <c r="M63" s="72"/>
      <c r="N63" s="266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265"/>
      <c r="K64" s="87"/>
      <c r="L64" s="71"/>
      <c r="M64" s="72"/>
      <c r="N64" s="266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265"/>
      <c r="K65" s="70"/>
      <c r="L65" s="88"/>
      <c r="M65" s="72"/>
      <c r="N65" s="266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265"/>
      <c r="K66" s="70"/>
      <c r="L66" s="88"/>
      <c r="M66" s="147"/>
      <c r="N66" s="266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265"/>
      <c r="K67" s="87"/>
      <c r="L67" s="71"/>
      <c r="M67" s="147"/>
      <c r="N67" s="266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259"/>
      <c r="K68" s="85"/>
      <c r="L68" s="86"/>
      <c r="M68" s="147"/>
      <c r="N68" s="266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265"/>
      <c r="K69" s="85"/>
      <c r="L69" s="71"/>
      <c r="M69" s="72"/>
      <c r="N69" s="266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265"/>
      <c r="K70" s="70"/>
      <c r="L70" s="71"/>
      <c r="M70" s="72"/>
      <c r="N70" s="266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265"/>
      <c r="K71" s="87"/>
      <c r="L71" s="71"/>
      <c r="M71" s="72"/>
      <c r="N71" s="266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265"/>
      <c r="K72" s="85"/>
      <c r="L72" s="71"/>
      <c r="M72" s="147"/>
      <c r="N72" s="266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265"/>
      <c r="K73" s="93"/>
      <c r="L73" s="71"/>
      <c r="M73" s="72"/>
      <c r="N73" s="266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265"/>
      <c r="K74" s="87"/>
      <c r="L74" s="71"/>
      <c r="M74" s="72"/>
      <c r="N74" s="266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265"/>
      <c r="K75" s="87"/>
      <c r="L75" s="71"/>
      <c r="M75" s="72"/>
      <c r="N75" s="266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265"/>
      <c r="K76" s="85"/>
      <c r="L76" s="71"/>
      <c r="M76" s="72"/>
      <c r="N76" s="266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265"/>
      <c r="K77" s="87"/>
      <c r="L77" s="71"/>
      <c r="M77" s="147"/>
      <c r="N77" s="266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265"/>
      <c r="K78" s="87"/>
      <c r="L78" s="71"/>
      <c r="M78" s="72"/>
      <c r="N78" s="266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265"/>
      <c r="K79" s="70"/>
      <c r="L79" s="71"/>
      <c r="M79" s="147"/>
      <c r="N79" s="266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259"/>
      <c r="K80" s="92"/>
      <c r="L80" s="173"/>
      <c r="M80" s="72"/>
      <c r="N80" s="266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265"/>
      <c r="K81" s="87"/>
      <c r="L81" s="71"/>
      <c r="M81" s="72"/>
      <c r="N81" s="266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265"/>
      <c r="K82" s="87"/>
      <c r="L82" s="71"/>
      <c r="M82" s="147"/>
      <c r="N82" s="266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265"/>
      <c r="K83" s="87"/>
      <c r="L83" s="71"/>
      <c r="M83" s="72"/>
      <c r="N83" s="266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265"/>
      <c r="K84" s="70"/>
      <c r="L84" s="88"/>
      <c r="M84" s="72"/>
      <c r="N84" s="266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265"/>
      <c r="K85" s="70"/>
      <c r="L85" s="71"/>
      <c r="M85" s="147"/>
      <c r="N85" s="266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265"/>
      <c r="K86" s="85"/>
      <c r="L86" s="71"/>
      <c r="M86" s="147"/>
      <c r="N86" s="266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265"/>
      <c r="K87" s="85"/>
      <c r="L87" s="71"/>
      <c r="M87" s="72"/>
      <c r="N87" s="266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265"/>
      <c r="K88" s="85"/>
      <c r="L88" s="71"/>
      <c r="M88" s="147"/>
      <c r="N88" s="266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265"/>
      <c r="K89" s="70"/>
      <c r="L89" s="88"/>
      <c r="M89" s="147"/>
      <c r="N89" s="266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259"/>
      <c r="K90" s="85"/>
      <c r="L90" s="86"/>
      <c r="M90" s="72"/>
      <c r="N90" s="266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265"/>
      <c r="K91" s="87"/>
      <c r="L91" s="71"/>
      <c r="M91" s="72"/>
      <c r="N91" s="266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259"/>
      <c r="K92" s="85"/>
      <c r="L92" s="86"/>
      <c r="M92" s="72"/>
      <c r="N92" s="266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265"/>
      <c r="K93" s="70"/>
      <c r="L93" s="88"/>
      <c r="M93" s="147"/>
      <c r="N93" s="266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265"/>
      <c r="K94" s="70"/>
      <c r="L94" s="71"/>
      <c r="M94" s="147"/>
      <c r="N94" s="266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265"/>
      <c r="K95" s="87"/>
      <c r="L95" s="71"/>
      <c r="M95" s="147"/>
      <c r="N95" s="266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265"/>
      <c r="K96" s="87"/>
      <c r="L96" s="71"/>
      <c r="M96" s="72"/>
      <c r="N96" s="266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259"/>
      <c r="K97" s="85"/>
      <c r="L97" s="86"/>
      <c r="M97" s="72"/>
      <c r="N97" s="266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259"/>
      <c r="K98" s="85"/>
      <c r="L98" s="86"/>
      <c r="M98" s="147"/>
      <c r="N98" s="266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259"/>
      <c r="K99" s="92"/>
      <c r="L99" s="173"/>
      <c r="M99" s="72"/>
      <c r="N99" s="266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259"/>
      <c r="K100" s="85"/>
      <c r="L100" s="86"/>
      <c r="M100" s="72"/>
      <c r="N100" s="266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259"/>
      <c r="K101" s="87"/>
      <c r="L101" s="71"/>
      <c r="M101" s="147"/>
      <c r="N101" s="266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265"/>
      <c r="K102" s="87"/>
      <c r="L102" s="71"/>
      <c r="M102" s="72"/>
      <c r="N102" s="266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265"/>
      <c r="K103" s="87"/>
      <c r="L103" s="71"/>
      <c r="M103" s="147"/>
      <c r="N103" s="266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259"/>
      <c r="K104" s="93"/>
      <c r="L104" s="155"/>
      <c r="M104" s="72"/>
      <c r="N104" s="266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265"/>
      <c r="K105" s="87"/>
      <c r="L105" s="71"/>
      <c r="M105" s="72"/>
      <c r="N105" s="266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259"/>
      <c r="K106" s="93"/>
      <c r="L106" s="155"/>
      <c r="M106" s="72"/>
      <c r="N106" s="266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259"/>
      <c r="K107" s="93"/>
      <c r="L107" s="155"/>
      <c r="M107" s="147"/>
      <c r="N107" s="266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259"/>
      <c r="K108" s="85"/>
      <c r="L108" s="86"/>
      <c r="M108" s="72"/>
      <c r="N108" s="266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265"/>
      <c r="K109" s="70"/>
      <c r="L109" s="71"/>
      <c r="M109" s="72"/>
      <c r="N109" s="266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265"/>
      <c r="K110" s="70"/>
      <c r="L110" s="71"/>
      <c r="M110" s="72"/>
      <c r="N110" s="266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259"/>
      <c r="K111" s="92"/>
      <c r="L111" s="173"/>
      <c r="M111" s="147"/>
      <c r="N111" s="260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259"/>
      <c r="K112" s="85"/>
      <c r="L112" s="86"/>
      <c r="M112" s="147"/>
      <c r="N112" s="260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154"/>
      <c r="J113" s="259"/>
      <c r="K113" s="93"/>
      <c r="L113" s="155"/>
      <c r="M113" s="147"/>
      <c r="N113" s="260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259"/>
      <c r="K114" s="93"/>
      <c r="L114" s="155"/>
      <c r="M114" s="147"/>
      <c r="N114" s="260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259"/>
      <c r="K115" s="85"/>
      <c r="L115" s="86"/>
      <c r="M115" s="147"/>
      <c r="N115" s="260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259"/>
      <c r="K116" s="92"/>
      <c r="L116" s="155"/>
      <c r="M116" s="147"/>
      <c r="N116" s="260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259"/>
      <c r="K117" s="85"/>
      <c r="L117" s="155"/>
      <c r="M117" s="147"/>
      <c r="N117" s="260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259"/>
      <c r="K118" s="93"/>
      <c r="L118" s="155"/>
      <c r="M118" s="147"/>
      <c r="N118" s="260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259"/>
      <c r="K119" s="93"/>
      <c r="L119" s="155"/>
      <c r="M119" s="147"/>
      <c r="N119" s="260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265"/>
      <c r="K120" s="87"/>
      <c r="L120" s="71"/>
      <c r="M120" s="147"/>
      <c r="N120" s="266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259"/>
      <c r="K121" s="70"/>
      <c r="L121" s="88"/>
      <c r="M121" s="72"/>
      <c r="N121" s="266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265"/>
      <c r="K122" s="70"/>
      <c r="L122" s="88"/>
      <c r="M122" s="147"/>
      <c r="N122" s="266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265"/>
      <c r="K123" s="70"/>
      <c r="L123" s="71"/>
      <c r="M123" s="72"/>
      <c r="N123" s="266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265"/>
      <c r="K124" s="70"/>
      <c r="L124" s="88"/>
      <c r="M124" s="72"/>
      <c r="N124" s="266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259"/>
      <c r="K125" s="85"/>
      <c r="L125" s="86"/>
      <c r="M125" s="72"/>
      <c r="N125" s="266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259"/>
      <c r="K126" s="85"/>
      <c r="L126" s="86"/>
      <c r="M126" s="72"/>
      <c r="N126" s="266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265"/>
      <c r="K127" s="87"/>
      <c r="L127" s="88"/>
      <c r="M127" s="72"/>
      <c r="N127" s="266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265"/>
      <c r="K128" s="70"/>
      <c r="L128" s="71"/>
      <c r="M128" s="147"/>
      <c r="N128" s="266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265"/>
      <c r="K129" s="70"/>
      <c r="L129" s="71"/>
      <c r="M129" s="147"/>
      <c r="N129" s="266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259"/>
      <c r="K130" s="85"/>
      <c r="L130" s="86"/>
      <c r="M130" s="72"/>
      <c r="N130" s="266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265"/>
      <c r="K131" s="87"/>
      <c r="L131" s="71"/>
      <c r="M131" s="72"/>
      <c r="N131" s="266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259"/>
      <c r="K132" s="85"/>
      <c r="L132" s="86"/>
      <c r="M132" s="72"/>
      <c r="N132" s="266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265"/>
      <c r="K133" s="70"/>
      <c r="L133" s="88"/>
      <c r="M133" s="72"/>
      <c r="N133" s="266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265"/>
      <c r="K134" s="70"/>
      <c r="L134" s="88"/>
      <c r="M134" s="72"/>
      <c r="N134" s="266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265"/>
      <c r="K135" s="85"/>
      <c r="L135" s="71"/>
      <c r="M135" s="72"/>
      <c r="N135" s="266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265"/>
      <c r="K136" s="70"/>
      <c r="L136" s="71"/>
      <c r="M136" s="72"/>
      <c r="N136" s="266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259"/>
      <c r="K137" s="85"/>
      <c r="L137" s="86"/>
      <c r="M137" s="72"/>
      <c r="N137" s="266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265"/>
      <c r="K138" s="70"/>
      <c r="L138" s="71"/>
      <c r="M138" s="72"/>
      <c r="N138" s="266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265"/>
      <c r="K139" s="70"/>
      <c r="L139" s="71"/>
      <c r="M139" s="147"/>
      <c r="N139" s="266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265"/>
      <c r="K140" s="70"/>
      <c r="L140" s="88"/>
      <c r="M140" s="72"/>
      <c r="N140" s="266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259"/>
      <c r="K141" s="85"/>
      <c r="L141" s="86"/>
      <c r="M141" s="147"/>
      <c r="N141" s="266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265"/>
      <c r="K142" s="85"/>
      <c r="L142" s="71"/>
      <c r="M142" s="72"/>
      <c r="N142" s="266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265"/>
      <c r="K143" s="85"/>
      <c r="L143" s="71"/>
      <c r="M143" s="147"/>
      <c r="N143" s="266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265"/>
      <c r="K144" s="85"/>
      <c r="L144" s="71"/>
      <c r="M144" s="72"/>
      <c r="N144" s="266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265"/>
      <c r="K145" s="87"/>
      <c r="L145" s="71"/>
      <c r="M145" s="72"/>
      <c r="N145" s="266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265"/>
      <c r="K146" s="87"/>
      <c r="L146" s="71"/>
      <c r="M146" s="147"/>
      <c r="N146" s="266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259"/>
      <c r="K147" s="85"/>
      <c r="L147" s="86"/>
      <c r="M147" s="72"/>
      <c r="N147" s="266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259"/>
      <c r="K148" s="85"/>
      <c r="L148" s="86"/>
      <c r="M148" s="72"/>
      <c r="N148" s="266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259"/>
      <c r="K149" s="85"/>
      <c r="L149" s="86"/>
      <c r="M149" s="147"/>
      <c r="N149" s="266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259"/>
      <c r="K150" s="85"/>
      <c r="L150" s="86"/>
      <c r="M150" s="72"/>
      <c r="N150" s="266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265"/>
      <c r="K151" s="70"/>
      <c r="L151" s="88"/>
      <c r="M151" s="147"/>
      <c r="N151" s="266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265"/>
      <c r="K152" s="87"/>
      <c r="L152" s="71"/>
      <c r="M152" s="72"/>
      <c r="N152" s="266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265"/>
      <c r="K153" s="85"/>
      <c r="L153" s="71"/>
      <c r="M153" s="72"/>
      <c r="N153" s="266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259"/>
      <c r="K154" s="85"/>
      <c r="L154" s="86"/>
      <c r="M154" s="147"/>
      <c r="N154" s="260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265"/>
      <c r="K155" s="85"/>
      <c r="L155" s="71"/>
      <c r="M155" s="72"/>
      <c r="N155" s="266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259"/>
      <c r="K156" s="85"/>
      <c r="L156" s="86"/>
      <c r="M156" s="147"/>
      <c r="N156" s="266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265"/>
      <c r="K157" s="87"/>
      <c r="L157" s="71"/>
      <c r="M157" s="72"/>
      <c r="N157" s="266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265"/>
      <c r="K158" s="87"/>
      <c r="L158" s="71"/>
      <c r="M158" s="72"/>
      <c r="N158" s="266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265"/>
      <c r="K159" s="85"/>
      <c r="L159" s="71"/>
      <c r="M159" s="147"/>
      <c r="N159" s="266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259"/>
      <c r="K160" s="93"/>
      <c r="L160" s="155"/>
      <c r="M160" s="72"/>
      <c r="N160" s="266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259"/>
      <c r="K161" s="93"/>
      <c r="L161" s="155"/>
      <c r="M161" s="72"/>
      <c r="N161" s="266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265"/>
      <c r="K162" s="87"/>
      <c r="L162" s="71"/>
      <c r="M162" s="147"/>
      <c r="N162" s="266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265"/>
      <c r="K163" s="87"/>
      <c r="L163" s="71"/>
      <c r="M163" s="72"/>
      <c r="N163" s="266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265"/>
      <c r="K164" s="87"/>
      <c r="L164" s="71"/>
      <c r="M164" s="72"/>
      <c r="N164" s="266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265"/>
      <c r="K165" s="87"/>
      <c r="L165" s="71"/>
      <c r="M165" s="147"/>
      <c r="N165" s="266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265"/>
      <c r="K166" s="87"/>
      <c r="L166" s="71"/>
      <c r="M166" s="147"/>
      <c r="N166" s="266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259"/>
      <c r="K167" s="85"/>
      <c r="L167" s="86"/>
      <c r="M167" s="72"/>
      <c r="N167" s="266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259"/>
      <c r="K168" s="85"/>
      <c r="L168" s="86"/>
      <c r="M168" s="72"/>
      <c r="N168" s="266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259"/>
      <c r="K169" s="85"/>
      <c r="L169" s="86"/>
      <c r="M169" s="72"/>
      <c r="N169" s="266"/>
      <c r="O169" s="74"/>
      <c r="P169" s="94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259"/>
      <c r="K170" s="85"/>
      <c r="L170" s="86"/>
      <c r="M170" s="72"/>
      <c r="N170" s="266"/>
      <c r="O170" s="74"/>
      <c r="P170" s="94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259"/>
      <c r="K171" s="85"/>
      <c r="L171" s="86"/>
      <c r="M171" s="72"/>
      <c r="N171" s="266"/>
      <c r="O171" s="74"/>
      <c r="P171" s="94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265"/>
      <c r="K172" s="87"/>
      <c r="L172" s="71"/>
      <c r="M172" s="72"/>
      <c r="N172" s="266"/>
      <c r="O172" s="74"/>
      <c r="P172" s="94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68"/>
      <c r="J173" s="265"/>
      <c r="K173" s="87"/>
      <c r="L173" s="71"/>
      <c r="M173" s="72"/>
      <c r="N173" s="266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68"/>
      <c r="J174" s="265"/>
      <c r="K174" s="87"/>
      <c r="L174" s="71"/>
      <c r="M174" s="72"/>
      <c r="N174" s="266"/>
      <c r="O174" s="74"/>
      <c r="P174" s="94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84"/>
      <c r="J175" s="259"/>
      <c r="K175" s="85"/>
      <c r="L175" s="86"/>
      <c r="M175" s="72"/>
      <c r="N175" s="266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259"/>
      <c r="K176" s="85"/>
      <c r="L176" s="86"/>
      <c r="M176" s="72"/>
      <c r="N176" s="266"/>
      <c r="O176" s="74"/>
      <c r="P176" s="94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259"/>
      <c r="K177" s="85"/>
      <c r="L177" s="86"/>
      <c r="M177" s="72"/>
      <c r="N177" s="266"/>
      <c r="O177" s="74"/>
      <c r="P177" s="94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265"/>
      <c r="K178" s="87"/>
      <c r="L178" s="71"/>
      <c r="M178" s="72"/>
      <c r="N178" s="266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265"/>
      <c r="K179" s="87"/>
      <c r="L179" s="71"/>
      <c r="M179" s="72"/>
      <c r="N179" s="266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259"/>
      <c r="K180" s="85"/>
      <c r="L180" s="86"/>
      <c r="M180" s="72"/>
      <c r="N180" s="266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259"/>
      <c r="K181" s="85"/>
      <c r="L181" s="86"/>
      <c r="M181" s="72"/>
      <c r="N181" s="266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259"/>
      <c r="K182" s="85"/>
      <c r="L182" s="86"/>
      <c r="M182" s="72"/>
      <c r="N182" s="266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265"/>
      <c r="K183" s="87"/>
      <c r="L183" s="71"/>
      <c r="M183" s="127"/>
      <c r="N183" s="260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265"/>
      <c r="K184" s="87"/>
      <c r="L184" s="71"/>
      <c r="M184" s="127"/>
      <c r="N184" s="260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265"/>
      <c r="K185" s="87"/>
      <c r="L185" s="71"/>
      <c r="M185" s="72"/>
      <c r="N185" s="266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259"/>
      <c r="K186" s="85"/>
      <c r="L186" s="86"/>
      <c r="M186" s="72"/>
      <c r="N186" s="266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259"/>
      <c r="K187" s="85"/>
      <c r="L187" s="86"/>
      <c r="M187" s="72"/>
      <c r="N187" s="266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259"/>
      <c r="K188" s="85"/>
      <c r="L188" s="86"/>
      <c r="M188" s="72"/>
      <c r="N188" s="266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259"/>
      <c r="K189" s="85"/>
      <c r="L189" s="86"/>
      <c r="M189" s="72"/>
      <c r="N189" s="266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259"/>
      <c r="K190" s="85"/>
      <c r="L190" s="86"/>
      <c r="M190" s="72"/>
      <c r="N190" s="266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265"/>
      <c r="K191" s="87"/>
      <c r="L191" s="71"/>
      <c r="M191" s="127"/>
      <c r="N191" s="260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259"/>
      <c r="K192" s="85"/>
      <c r="L192" s="86"/>
      <c r="M192" s="127"/>
      <c r="N192" s="260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259"/>
      <c r="K193" s="85"/>
      <c r="L193" s="86"/>
      <c r="M193" s="127"/>
      <c r="N193" s="260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259"/>
      <c r="K194" s="85"/>
      <c r="L194" s="86"/>
      <c r="M194" s="127"/>
      <c r="N194" s="260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259"/>
      <c r="K195" s="85"/>
      <c r="L195" s="86"/>
      <c r="M195" s="127"/>
      <c r="N195" s="260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259"/>
      <c r="K196" s="85"/>
      <c r="L196" s="86"/>
      <c r="M196" s="127"/>
      <c r="N196" s="260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259"/>
      <c r="K197" s="85"/>
      <c r="L197" s="86"/>
      <c r="M197" s="127"/>
      <c r="N197" s="260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259"/>
      <c r="K198" s="85"/>
      <c r="L198" s="86"/>
      <c r="M198" s="127"/>
      <c r="N198" s="260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259"/>
      <c r="K199" s="85"/>
      <c r="L199" s="86"/>
      <c r="M199" s="127"/>
      <c r="N199" s="260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259"/>
      <c r="K200" s="85"/>
      <c r="L200" s="86"/>
      <c r="M200" s="127"/>
      <c r="N200" s="260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259"/>
      <c r="K201" s="85"/>
      <c r="L201" s="86"/>
      <c r="M201" s="127"/>
      <c r="N201" s="260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259"/>
      <c r="K202" s="85"/>
      <c r="L202" s="86"/>
      <c r="M202" s="127"/>
      <c r="N202" s="260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259"/>
      <c r="K203" s="85"/>
      <c r="L203" s="86"/>
      <c r="M203" s="127"/>
      <c r="N203" s="260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259"/>
      <c r="K204" s="85"/>
      <c r="L204" s="86"/>
      <c r="M204" s="127"/>
      <c r="N204" s="260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259"/>
      <c r="K205" s="85"/>
      <c r="L205" s="86"/>
      <c r="M205" s="127"/>
      <c r="N205" s="260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259"/>
      <c r="K206" s="85"/>
      <c r="L206" s="86"/>
      <c r="M206" s="127"/>
      <c r="N206" s="260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259"/>
      <c r="K207" s="85"/>
      <c r="L207" s="86"/>
      <c r="M207" s="127"/>
      <c r="N207" s="260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259"/>
      <c r="K208" s="85"/>
      <c r="L208" s="86"/>
      <c r="M208" s="127"/>
      <c r="N208" s="260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259"/>
      <c r="K209" s="85"/>
      <c r="L209" s="86"/>
      <c r="M209" s="127"/>
      <c r="N209" s="260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259"/>
      <c r="K210" s="85"/>
      <c r="L210" s="86"/>
      <c r="M210" s="127"/>
      <c r="N210" s="260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259"/>
      <c r="K211" s="85"/>
      <c r="L211" s="86"/>
      <c r="M211" s="127"/>
      <c r="N211" s="260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259"/>
      <c r="K212" s="85"/>
      <c r="L212" s="86"/>
      <c r="M212" s="127"/>
      <c r="N212" s="260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259"/>
      <c r="K213" s="85"/>
      <c r="L213" s="86"/>
      <c r="M213" s="127"/>
      <c r="N213" s="260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259"/>
      <c r="K214" s="85"/>
      <c r="L214" s="86"/>
      <c r="M214" s="127"/>
      <c r="N214" s="260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259"/>
      <c r="K215" s="85"/>
      <c r="L215" s="86"/>
      <c r="M215" s="127"/>
      <c r="N215" s="260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259"/>
      <c r="K216" s="85"/>
      <c r="L216" s="86"/>
      <c r="M216" s="127"/>
      <c r="N216" s="260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259"/>
      <c r="K217" s="85"/>
      <c r="L217" s="86"/>
      <c r="M217" s="127"/>
      <c r="N217" s="260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259"/>
      <c r="K218" s="85"/>
      <c r="L218" s="86"/>
      <c r="M218" s="127"/>
      <c r="N218" s="260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259"/>
      <c r="K219" s="85"/>
      <c r="L219" s="86"/>
      <c r="M219" s="127"/>
      <c r="N219" s="260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259"/>
      <c r="K220" s="85"/>
      <c r="L220" s="86"/>
      <c r="M220" s="127"/>
      <c r="N220" s="260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259"/>
      <c r="K221" s="85"/>
      <c r="L221" s="86"/>
      <c r="M221" s="127"/>
      <c r="N221" s="260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259"/>
      <c r="K222" s="85"/>
      <c r="L222" s="86"/>
      <c r="M222" s="127"/>
      <c r="N222" s="260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259"/>
      <c r="K223" s="85"/>
      <c r="L223" s="86"/>
      <c r="M223" s="127"/>
      <c r="N223" s="260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259"/>
      <c r="K224" s="85"/>
      <c r="L224" s="86"/>
      <c r="M224" s="127"/>
      <c r="N224" s="260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259"/>
      <c r="K225" s="85"/>
      <c r="L225" s="86"/>
      <c r="M225" s="127"/>
      <c r="N225" s="260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259"/>
      <c r="K226" s="85"/>
      <c r="L226" s="86"/>
      <c r="M226" s="127"/>
      <c r="N226" s="260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259"/>
      <c r="K227" s="85"/>
      <c r="L227" s="86"/>
      <c r="M227" s="127"/>
      <c r="N227" s="260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259"/>
      <c r="K228" s="85"/>
      <c r="L228" s="86"/>
      <c r="M228" s="127"/>
      <c r="N228" s="260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259"/>
      <c r="K229" s="85"/>
      <c r="L229" s="86"/>
      <c r="M229" s="127"/>
      <c r="N229" s="260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259"/>
      <c r="K230" s="85"/>
      <c r="L230" s="86"/>
      <c r="M230" s="127"/>
      <c r="N230" s="260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259"/>
      <c r="K231" s="85"/>
      <c r="L231" s="86"/>
      <c r="M231" s="127"/>
      <c r="N231" s="260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259"/>
      <c r="K232" s="85"/>
      <c r="L232" s="86"/>
      <c r="M232" s="127"/>
      <c r="N232" s="260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259"/>
      <c r="K233" s="85"/>
      <c r="L233" s="86"/>
      <c r="M233" s="127"/>
      <c r="N233" s="260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259"/>
      <c r="K234" s="85"/>
      <c r="L234" s="86"/>
      <c r="M234" s="127"/>
      <c r="N234" s="260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259"/>
      <c r="K235" s="85"/>
      <c r="L235" s="86"/>
      <c r="M235" s="127"/>
      <c r="N235" s="260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259"/>
      <c r="K236" s="85"/>
      <c r="L236" s="86"/>
      <c r="M236" s="127"/>
      <c r="N236" s="260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259"/>
      <c r="K237" s="85"/>
      <c r="L237" s="86"/>
      <c r="M237" s="127"/>
      <c r="N237" s="260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259"/>
      <c r="K238" s="85"/>
      <c r="L238" s="86"/>
      <c r="M238" s="127"/>
      <c r="N238" s="260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259"/>
      <c r="K239" s="85"/>
      <c r="L239" s="86"/>
      <c r="M239" s="127"/>
      <c r="N239" s="260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259"/>
      <c r="K240" s="85"/>
      <c r="L240" s="86"/>
      <c r="M240" s="127"/>
      <c r="N240" s="260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259"/>
      <c r="K241" s="85"/>
      <c r="L241" s="86"/>
      <c r="M241" s="127"/>
      <c r="N241" s="260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259"/>
      <c r="K242" s="85"/>
      <c r="L242" s="86"/>
      <c r="M242" s="127"/>
      <c r="N242" s="260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259"/>
      <c r="K243" s="85"/>
      <c r="L243" s="86"/>
      <c r="M243" s="127"/>
      <c r="N243" s="260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259"/>
      <c r="K244" s="85"/>
      <c r="L244" s="86"/>
      <c r="M244" s="127"/>
      <c r="N244" s="260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259"/>
      <c r="K245" s="85"/>
      <c r="L245" s="86"/>
      <c r="M245" s="127"/>
      <c r="N245" s="260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259"/>
      <c r="K246" s="85"/>
      <c r="L246" s="86"/>
      <c r="M246" s="127"/>
      <c r="N246" s="260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259"/>
      <c r="K247" s="85"/>
      <c r="L247" s="86"/>
      <c r="M247" s="127"/>
      <c r="N247" s="260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259"/>
      <c r="K248" s="85"/>
      <c r="L248" s="86"/>
      <c r="M248" s="127"/>
      <c r="N248" s="260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259"/>
      <c r="K249" s="85"/>
      <c r="L249" s="86"/>
      <c r="M249" s="127"/>
      <c r="N249" s="260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259"/>
      <c r="K250" s="85"/>
      <c r="L250" s="86"/>
      <c r="M250" s="127"/>
      <c r="N250" s="260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259"/>
      <c r="K251" s="85"/>
      <c r="L251" s="86"/>
      <c r="M251" s="127"/>
      <c r="N251" s="260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259"/>
      <c r="K252" s="85"/>
      <c r="L252" s="86"/>
      <c r="M252" s="127"/>
      <c r="N252" s="260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259"/>
      <c r="K253" s="85"/>
      <c r="L253" s="86"/>
      <c r="M253" s="127"/>
      <c r="N253" s="260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259"/>
      <c r="K254" s="85"/>
      <c r="L254" s="86"/>
      <c r="M254" s="127"/>
      <c r="N254" s="260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259"/>
      <c r="K255" s="85"/>
      <c r="L255" s="86"/>
      <c r="M255" s="127"/>
      <c r="N255" s="260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259"/>
      <c r="K256" s="85"/>
      <c r="L256" s="86"/>
      <c r="M256" s="127"/>
      <c r="N256" s="260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259"/>
      <c r="K257" s="85"/>
      <c r="L257" s="86"/>
      <c r="M257" s="127"/>
      <c r="N257" s="260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259"/>
      <c r="K258" s="85"/>
      <c r="L258" s="86"/>
      <c r="M258" s="127"/>
      <c r="N258" s="260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259"/>
      <c r="K259" s="85"/>
      <c r="L259" s="86"/>
      <c r="M259" s="127"/>
      <c r="N259" s="260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259"/>
      <c r="K260" s="85"/>
      <c r="L260" s="86"/>
      <c r="M260" s="127"/>
      <c r="N260" s="260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259"/>
      <c r="K261" s="85"/>
      <c r="L261" s="86"/>
      <c r="M261" s="127"/>
      <c r="N261" s="260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259"/>
      <c r="K262" s="85"/>
      <c r="L262" s="86"/>
      <c r="M262" s="127"/>
      <c r="N262" s="260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259"/>
      <c r="K263" s="85"/>
      <c r="L263" s="86"/>
      <c r="M263" s="127"/>
      <c r="N263" s="260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259"/>
      <c r="K264" s="85"/>
      <c r="L264" s="86"/>
      <c r="M264" s="127"/>
      <c r="N264" s="260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259"/>
      <c r="K265" s="85"/>
      <c r="L265" s="86"/>
      <c r="M265" s="127"/>
      <c r="N265" s="260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259"/>
      <c r="K266" s="85"/>
      <c r="L266" s="86"/>
      <c r="M266" s="127"/>
      <c r="N266" s="260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259"/>
      <c r="K267" s="85"/>
      <c r="L267" s="86"/>
      <c r="M267" s="127"/>
      <c r="N267" s="260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259"/>
      <c r="K268" s="85"/>
      <c r="L268" s="86"/>
      <c r="M268" s="127"/>
      <c r="N268" s="260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259"/>
      <c r="K269" s="85"/>
      <c r="L269" s="86"/>
      <c r="M269" s="127"/>
      <c r="N269" s="260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259"/>
      <c r="K270" s="85"/>
      <c r="L270" s="86"/>
      <c r="M270" s="127"/>
      <c r="N270" s="260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259"/>
      <c r="K271" s="85"/>
      <c r="L271" s="86"/>
      <c r="M271" s="127"/>
      <c r="N271" s="260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259"/>
      <c r="K272" s="85"/>
      <c r="L272" s="86"/>
      <c r="M272" s="127"/>
      <c r="N272" s="260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259"/>
      <c r="K273" s="85"/>
      <c r="L273" s="86"/>
      <c r="M273" s="127"/>
      <c r="N273" s="260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259"/>
      <c r="K274" s="85"/>
      <c r="L274" s="86"/>
      <c r="M274" s="127"/>
      <c r="N274" s="260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259"/>
      <c r="K275" s="85"/>
      <c r="L275" s="86"/>
      <c r="M275" s="127"/>
      <c r="N275" s="260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259"/>
      <c r="K276" s="85"/>
      <c r="L276" s="86"/>
      <c r="M276" s="127"/>
      <c r="N276" s="260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259"/>
      <c r="K277" s="85"/>
      <c r="L277" s="86"/>
      <c r="M277" s="127"/>
      <c r="N277" s="260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259"/>
      <c r="K278" s="85"/>
      <c r="L278" s="86"/>
      <c r="M278" s="127"/>
      <c r="N278" s="260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259"/>
      <c r="K279" s="85"/>
      <c r="L279" s="86"/>
      <c r="M279" s="127"/>
      <c r="N279" s="260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259"/>
      <c r="K280" s="85"/>
      <c r="L280" s="86"/>
      <c r="M280" s="127"/>
      <c r="N280" s="260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259"/>
      <c r="K281" s="85"/>
      <c r="L281" s="86"/>
      <c r="M281" s="127"/>
      <c r="N281" s="260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259"/>
      <c r="K282" s="85"/>
      <c r="L282" s="86"/>
      <c r="M282" s="127"/>
      <c r="N282" s="260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259"/>
      <c r="K283" s="85"/>
      <c r="L283" s="86"/>
      <c r="M283" s="127"/>
      <c r="N283" s="260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259"/>
      <c r="K284" s="85"/>
      <c r="L284" s="86"/>
      <c r="M284" s="127"/>
      <c r="N284" s="260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259"/>
      <c r="K285" s="85"/>
      <c r="L285" s="86"/>
      <c r="M285" s="127"/>
      <c r="N285" s="260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259"/>
      <c r="K286" s="85"/>
      <c r="L286" s="86"/>
      <c r="M286" s="127"/>
      <c r="N286" s="260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259"/>
      <c r="K287" s="85"/>
      <c r="L287" s="86"/>
      <c r="M287" s="127"/>
      <c r="N287" s="260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259"/>
      <c r="K288" s="85"/>
      <c r="L288" s="86"/>
      <c r="M288" s="127"/>
      <c r="N288" s="260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259"/>
      <c r="K289" s="85"/>
      <c r="L289" s="86"/>
      <c r="M289" s="127"/>
      <c r="N289" s="260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259"/>
      <c r="K290" s="85"/>
      <c r="L290" s="86"/>
      <c r="M290" s="127"/>
      <c r="N290" s="260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259"/>
      <c r="K291" s="85"/>
      <c r="L291" s="86"/>
      <c r="M291" s="127"/>
      <c r="N291" s="260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259"/>
      <c r="K292" s="85"/>
      <c r="L292" s="86"/>
      <c r="M292" s="127"/>
      <c r="N292" s="260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259"/>
      <c r="K293" s="85"/>
      <c r="L293" s="86"/>
      <c r="M293" s="127"/>
      <c r="N293" s="260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259"/>
      <c r="K294" s="85"/>
      <c r="L294" s="86"/>
      <c r="M294" s="127"/>
      <c r="N294" s="260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259"/>
      <c r="K295" s="85"/>
      <c r="L295" s="86"/>
      <c r="M295" s="127"/>
      <c r="N295" s="260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259"/>
      <c r="K296" s="85"/>
      <c r="L296" s="86"/>
      <c r="M296" s="127"/>
      <c r="N296" s="260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259"/>
      <c r="K297" s="85"/>
      <c r="L297" s="86"/>
      <c r="M297" s="127"/>
      <c r="N297" s="260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259"/>
      <c r="K298" s="85"/>
      <c r="L298" s="86"/>
      <c r="M298" s="127"/>
      <c r="N298" s="260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259"/>
      <c r="K299" s="85"/>
      <c r="L299" s="86"/>
      <c r="M299" s="127"/>
      <c r="N299" s="260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259"/>
      <c r="K300" s="85"/>
      <c r="L300" s="86"/>
      <c r="M300" s="127"/>
      <c r="N300" s="260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259"/>
      <c r="K301" s="85"/>
      <c r="L301" s="86"/>
      <c r="M301" s="127"/>
      <c r="N301" s="260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259"/>
      <c r="K302" s="85"/>
      <c r="L302" s="86"/>
      <c r="M302" s="127"/>
      <c r="N302" s="260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259"/>
      <c r="K303" s="85"/>
      <c r="L303" s="86"/>
      <c r="M303" s="127"/>
      <c r="N303" s="260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259"/>
      <c r="K304" s="85"/>
      <c r="L304" s="86"/>
      <c r="M304" s="127"/>
      <c r="N304" s="260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259"/>
      <c r="K305" s="85"/>
      <c r="L305" s="86"/>
      <c r="M305" s="127"/>
      <c r="N305" s="260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259"/>
      <c r="K306" s="85"/>
      <c r="L306" s="86"/>
      <c r="M306" s="127"/>
      <c r="N306" s="260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259"/>
      <c r="K307" s="85"/>
      <c r="L307" s="86"/>
      <c r="M307" s="127"/>
      <c r="N307" s="260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259"/>
      <c r="K308" s="85"/>
      <c r="L308" s="86"/>
      <c r="M308" s="127"/>
      <c r="N308" s="260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259"/>
      <c r="K309" s="85"/>
      <c r="L309" s="86"/>
      <c r="M309" s="127"/>
      <c r="N309" s="260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259"/>
      <c r="K310" s="85"/>
      <c r="L310" s="86"/>
      <c r="M310" s="127"/>
      <c r="N310" s="260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259"/>
      <c r="K311" s="85"/>
      <c r="L311" s="86"/>
      <c r="M311" s="127"/>
      <c r="N311" s="260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259"/>
      <c r="K312" s="85"/>
      <c r="L312" s="86"/>
      <c r="M312" s="127"/>
      <c r="N312" s="260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259"/>
      <c r="K313" s="85"/>
      <c r="L313" s="86"/>
      <c r="M313" s="127"/>
      <c r="N313" s="260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259"/>
      <c r="K314" s="85"/>
      <c r="L314" s="86"/>
      <c r="M314" s="127"/>
      <c r="N314" s="260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259"/>
      <c r="K315" s="85"/>
      <c r="L315" s="86"/>
      <c r="M315" s="127"/>
      <c r="N315" s="260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259"/>
      <c r="K316" s="85"/>
      <c r="L316" s="86"/>
      <c r="M316" s="127"/>
      <c r="N316" s="260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259"/>
      <c r="K317" s="85"/>
      <c r="L317" s="86"/>
      <c r="M317" s="127"/>
      <c r="N317" s="260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259"/>
      <c r="K318" s="85"/>
      <c r="L318" s="86"/>
      <c r="M318" s="127"/>
      <c r="N318" s="260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259"/>
      <c r="K319" s="85"/>
      <c r="L319" s="86"/>
      <c r="M319" s="127"/>
      <c r="N319" s="260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259"/>
      <c r="K320" s="85"/>
      <c r="L320" s="86"/>
      <c r="M320" s="127"/>
      <c r="N320" s="260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259"/>
      <c r="K321" s="85"/>
      <c r="L321" s="86"/>
      <c r="M321" s="127"/>
      <c r="N321" s="260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259"/>
      <c r="K322" s="85"/>
      <c r="L322" s="86"/>
      <c r="M322" s="127"/>
      <c r="N322" s="260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259"/>
      <c r="K323" s="85"/>
      <c r="L323" s="86"/>
      <c r="M323" s="127"/>
      <c r="N323" s="260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259"/>
      <c r="K324" s="85"/>
      <c r="L324" s="86"/>
      <c r="M324" s="127"/>
      <c r="N324" s="260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259"/>
      <c r="K325" s="85"/>
      <c r="L325" s="86"/>
      <c r="M325" s="127"/>
      <c r="N325" s="260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259"/>
      <c r="K326" s="85"/>
      <c r="L326" s="86"/>
      <c r="M326" s="127"/>
      <c r="N326" s="260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259"/>
      <c r="K327" s="85"/>
      <c r="L327" s="86"/>
      <c r="M327" s="127"/>
      <c r="N327" s="260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259"/>
      <c r="K328" s="85"/>
      <c r="L328" s="86"/>
      <c r="M328" s="127"/>
      <c r="N328" s="260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259"/>
      <c r="K329" s="85"/>
      <c r="L329" s="86"/>
      <c r="M329" s="127"/>
      <c r="N329" s="260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259"/>
      <c r="K330" s="85"/>
      <c r="L330" s="86"/>
      <c r="M330" s="127"/>
      <c r="N330" s="260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259"/>
      <c r="K331" s="85"/>
      <c r="L331" s="86"/>
      <c r="M331" s="127"/>
      <c r="N331" s="260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259"/>
      <c r="K332" s="85"/>
      <c r="L332" s="86"/>
      <c r="M332" s="127"/>
      <c r="N332" s="260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259"/>
      <c r="K333" s="85"/>
      <c r="L333" s="86"/>
      <c r="M333" s="127"/>
      <c r="N333" s="260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259"/>
      <c r="K334" s="85"/>
      <c r="L334" s="86"/>
      <c r="M334" s="127"/>
      <c r="N334" s="260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259"/>
      <c r="K335" s="85"/>
      <c r="L335" s="86"/>
      <c r="M335" s="127"/>
      <c r="N335" s="260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259"/>
      <c r="K336" s="85"/>
      <c r="L336" s="86"/>
      <c r="M336" s="127"/>
      <c r="N336" s="260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259"/>
      <c r="K337" s="85"/>
      <c r="L337" s="86"/>
      <c r="M337" s="127"/>
      <c r="N337" s="260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259"/>
      <c r="K338" s="85"/>
      <c r="L338" s="86"/>
      <c r="M338" s="127"/>
      <c r="N338" s="260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259"/>
      <c r="K339" s="85"/>
      <c r="L339" s="86"/>
      <c r="M339" s="127"/>
      <c r="N339" s="260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259"/>
      <c r="K340" s="85"/>
      <c r="L340" s="86"/>
      <c r="M340" s="127"/>
      <c r="N340" s="260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259"/>
      <c r="K341" s="85"/>
      <c r="L341" s="86"/>
      <c r="M341" s="127"/>
      <c r="N341" s="260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259"/>
      <c r="K342" s="85"/>
      <c r="L342" s="86"/>
      <c r="M342" s="127"/>
      <c r="N342" s="260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259"/>
      <c r="K343" s="85"/>
      <c r="L343" s="86"/>
      <c r="M343" s="127"/>
      <c r="N343" s="260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259"/>
      <c r="K344" s="85"/>
      <c r="L344" s="86"/>
      <c r="M344" s="127"/>
      <c r="N344" s="260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259"/>
      <c r="K345" s="85"/>
      <c r="L345" s="86"/>
      <c r="M345" s="127"/>
      <c r="N345" s="260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259"/>
      <c r="K346" s="85"/>
      <c r="L346" s="86"/>
      <c r="M346" s="127"/>
      <c r="N346" s="260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259"/>
      <c r="K347" s="85"/>
      <c r="L347" s="86"/>
      <c r="M347" s="127"/>
      <c r="N347" s="260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259"/>
      <c r="K348" s="85"/>
      <c r="L348" s="86"/>
      <c r="M348" s="127"/>
      <c r="N348" s="260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259"/>
      <c r="K349" s="85"/>
      <c r="L349" s="86"/>
      <c r="M349" s="127"/>
      <c r="N349" s="260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259"/>
      <c r="K350" s="85"/>
      <c r="L350" s="86"/>
      <c r="M350" s="127"/>
      <c r="N350" s="260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259"/>
      <c r="K351" s="85"/>
      <c r="L351" s="86"/>
      <c r="M351" s="127"/>
      <c r="N351" s="260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259"/>
      <c r="K352" s="85"/>
      <c r="L352" s="86"/>
      <c r="M352" s="127"/>
      <c r="N352" s="260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259"/>
      <c r="K353" s="85"/>
      <c r="L353" s="86"/>
      <c r="M353" s="127"/>
      <c r="N353" s="260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259"/>
      <c r="K354" s="85"/>
      <c r="L354" s="86"/>
      <c r="M354" s="127"/>
      <c r="N354" s="260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259"/>
      <c r="K355" s="85"/>
      <c r="L355" s="86"/>
      <c r="M355" s="127"/>
      <c r="N355" s="260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259"/>
      <c r="K356" s="85"/>
      <c r="L356" s="86"/>
      <c r="M356" s="127"/>
      <c r="N356" s="260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259"/>
      <c r="K357" s="85"/>
      <c r="L357" s="86"/>
      <c r="M357" s="127"/>
      <c r="N357" s="260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259"/>
      <c r="K358" s="85"/>
      <c r="L358" s="86"/>
      <c r="M358" s="127"/>
      <c r="N358" s="260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259"/>
      <c r="K359" s="85"/>
      <c r="L359" s="86"/>
      <c r="M359" s="127"/>
      <c r="N359" s="260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259"/>
      <c r="K360" s="85"/>
      <c r="L360" s="86"/>
      <c r="M360" s="127"/>
      <c r="N360" s="260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259"/>
      <c r="K361" s="85"/>
      <c r="L361" s="86"/>
      <c r="M361" s="127"/>
      <c r="N361" s="260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259"/>
      <c r="K362" s="85"/>
      <c r="L362" s="86"/>
      <c r="M362" s="127"/>
      <c r="N362" s="260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259"/>
      <c r="K363" s="85"/>
      <c r="L363" s="86"/>
      <c r="M363" s="127"/>
      <c r="N363" s="260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259"/>
      <c r="K364" s="85"/>
      <c r="L364" s="86"/>
      <c r="M364" s="127"/>
      <c r="N364" s="260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259"/>
      <c r="K365" s="85"/>
      <c r="L365" s="86"/>
      <c r="M365" s="127"/>
      <c r="N365" s="260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259"/>
      <c r="K366" s="85"/>
      <c r="L366" s="86"/>
      <c r="M366" s="127"/>
      <c r="N366" s="260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259"/>
      <c r="K367" s="85"/>
      <c r="L367" s="86"/>
      <c r="M367" s="127"/>
      <c r="N367" s="260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259"/>
      <c r="K368" s="85"/>
      <c r="L368" s="86"/>
      <c r="M368" s="127"/>
      <c r="N368" s="260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259"/>
      <c r="K369" s="85"/>
      <c r="L369" s="86"/>
      <c r="M369" s="127"/>
      <c r="N369" s="260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259"/>
      <c r="K370" s="85"/>
      <c r="L370" s="86"/>
      <c r="M370" s="127"/>
      <c r="N370" s="260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259"/>
      <c r="K371" s="85"/>
      <c r="L371" s="86"/>
      <c r="M371" s="127"/>
      <c r="N371" s="260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259"/>
      <c r="K372" s="85"/>
      <c r="L372" s="86"/>
      <c r="M372" s="127"/>
      <c r="N372" s="260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259"/>
      <c r="K373" s="85"/>
      <c r="L373" s="86"/>
      <c r="M373" s="127"/>
      <c r="N373" s="260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259"/>
      <c r="K374" s="85"/>
      <c r="L374" s="86"/>
      <c r="M374" s="127"/>
      <c r="N374" s="260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259"/>
      <c r="K375" s="85"/>
      <c r="L375" s="86"/>
      <c r="M375" s="127"/>
      <c r="N375" s="260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259"/>
      <c r="K376" s="85"/>
      <c r="L376" s="86"/>
      <c r="M376" s="127"/>
      <c r="N376" s="260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259"/>
      <c r="K377" s="85"/>
      <c r="L377" s="86"/>
      <c r="M377" s="127"/>
      <c r="N377" s="260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259"/>
      <c r="K378" s="85"/>
      <c r="L378" s="86"/>
      <c r="M378" s="127"/>
      <c r="N378" s="260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259"/>
      <c r="K379" s="85"/>
      <c r="L379" s="86"/>
      <c r="M379" s="127"/>
      <c r="N379" s="260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259"/>
      <c r="K380" s="85"/>
      <c r="L380" s="86"/>
      <c r="M380" s="127"/>
      <c r="N380" s="260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259"/>
      <c r="K381" s="85"/>
      <c r="L381" s="86"/>
      <c r="M381" s="127"/>
      <c r="N381" s="260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259"/>
      <c r="K382" s="85"/>
      <c r="L382" s="86"/>
      <c r="M382" s="127"/>
      <c r="N382" s="260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259"/>
      <c r="K383" s="85"/>
      <c r="L383" s="86"/>
      <c r="M383" s="127"/>
      <c r="N383" s="260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259"/>
      <c r="K384" s="85"/>
      <c r="L384" s="86"/>
      <c r="M384" s="127"/>
      <c r="N384" s="260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259"/>
      <c r="K385" s="85"/>
      <c r="L385" s="86"/>
      <c r="M385" s="127"/>
      <c r="N385" s="260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259"/>
      <c r="K386" s="85"/>
      <c r="L386" s="86"/>
      <c r="M386" s="127"/>
      <c r="N386" s="260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259"/>
      <c r="K387" s="85"/>
      <c r="L387" s="86"/>
      <c r="M387" s="127"/>
      <c r="N387" s="260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259"/>
      <c r="K388" s="85"/>
      <c r="L388" s="86"/>
      <c r="M388" s="127"/>
      <c r="N388" s="260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259"/>
      <c r="K389" s="85"/>
      <c r="L389" s="86"/>
      <c r="M389" s="127"/>
      <c r="N389" s="260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259"/>
      <c r="K390" s="85"/>
      <c r="L390" s="86"/>
      <c r="M390" s="127"/>
      <c r="N390" s="260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259"/>
      <c r="K391" s="85"/>
      <c r="L391" s="86"/>
      <c r="M391" s="127"/>
      <c r="N391" s="260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259"/>
      <c r="K392" s="85"/>
      <c r="L392" s="86"/>
      <c r="M392" s="127"/>
      <c r="N392" s="260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259"/>
      <c r="K393" s="85"/>
      <c r="L393" s="86"/>
      <c r="M393" s="127"/>
      <c r="N393" s="260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259"/>
      <c r="K394" s="85"/>
      <c r="L394" s="86"/>
      <c r="M394" s="127"/>
      <c r="N394" s="260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259"/>
      <c r="K395" s="85"/>
      <c r="L395" s="86"/>
      <c r="M395" s="127"/>
      <c r="N395" s="260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259"/>
      <c r="K396" s="85"/>
      <c r="L396" s="86"/>
      <c r="M396" s="127"/>
      <c r="N396" s="260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259"/>
      <c r="K397" s="85"/>
      <c r="L397" s="86"/>
      <c r="M397" s="127"/>
      <c r="N397" s="260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259"/>
      <c r="K398" s="85"/>
      <c r="L398" s="86"/>
      <c r="M398" s="127"/>
      <c r="N398" s="260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259"/>
      <c r="K399" s="85"/>
      <c r="L399" s="86"/>
      <c r="M399" s="127"/>
      <c r="N399" s="260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259"/>
      <c r="K400" s="85"/>
      <c r="L400" s="86"/>
      <c r="M400" s="127"/>
      <c r="N400" s="260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259"/>
      <c r="K401" s="85"/>
      <c r="L401" s="86"/>
      <c r="M401" s="127"/>
      <c r="N401" s="260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259"/>
      <c r="K402" s="85"/>
      <c r="L402" s="86"/>
      <c r="M402" s="127"/>
      <c r="N402" s="260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259"/>
      <c r="K403" s="85"/>
      <c r="L403" s="86"/>
      <c r="M403" s="127"/>
      <c r="N403" s="260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259"/>
      <c r="K404" s="85"/>
      <c r="L404" s="86"/>
      <c r="M404" s="127"/>
      <c r="N404" s="260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259"/>
      <c r="K405" s="85"/>
      <c r="L405" s="86"/>
      <c r="M405" s="127"/>
      <c r="N405" s="260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259"/>
      <c r="K406" s="85"/>
      <c r="L406" s="86"/>
      <c r="M406" s="127"/>
      <c r="N406" s="260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259"/>
      <c r="K407" s="85"/>
      <c r="L407" s="86"/>
      <c r="M407" s="127"/>
      <c r="N407" s="260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259"/>
      <c r="K408" s="85"/>
      <c r="L408" s="86"/>
      <c r="M408" s="127"/>
      <c r="N408" s="260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259"/>
      <c r="K409" s="85"/>
      <c r="L409" s="86"/>
      <c r="M409" s="127"/>
      <c r="N409" s="260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259"/>
      <c r="K410" s="85"/>
      <c r="L410" s="86"/>
      <c r="M410" s="127"/>
      <c r="N410" s="260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259"/>
      <c r="K411" s="85"/>
      <c r="L411" s="86"/>
      <c r="M411" s="127"/>
      <c r="N411" s="260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259"/>
      <c r="K412" s="85"/>
      <c r="L412" s="86"/>
      <c r="M412" s="127"/>
      <c r="N412" s="260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259"/>
      <c r="K413" s="85"/>
      <c r="L413" s="86"/>
      <c r="M413" s="127"/>
      <c r="N413" s="260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259"/>
      <c r="K414" s="85"/>
      <c r="L414" s="86"/>
      <c r="M414" s="127"/>
      <c r="N414" s="260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259"/>
      <c r="K415" s="85"/>
      <c r="L415" s="86"/>
      <c r="M415" s="127"/>
      <c r="N415" s="260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259"/>
      <c r="K416" s="85"/>
      <c r="L416" s="86"/>
      <c r="M416" s="127"/>
      <c r="N416" s="260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259"/>
      <c r="K417" s="85"/>
      <c r="L417" s="86"/>
      <c r="M417" s="127"/>
      <c r="N417" s="260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259"/>
      <c r="K418" s="133"/>
      <c r="L418" s="134"/>
      <c r="M418" s="135"/>
      <c r="N418" s="260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259"/>
      <c r="K419" s="133"/>
      <c r="L419" s="85"/>
      <c r="M419" s="135"/>
      <c r="N419" s="260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259"/>
      <c r="K420" s="133"/>
      <c r="L420" s="85"/>
      <c r="M420" s="135"/>
      <c r="N420" s="260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259"/>
      <c r="K421" s="133"/>
      <c r="L421" s="85"/>
      <c r="M421" s="135"/>
      <c r="N421" s="260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259"/>
      <c r="K422" s="133"/>
      <c r="L422" s="85"/>
      <c r="M422" s="135"/>
      <c r="N422" s="260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259"/>
      <c r="K423" s="133"/>
      <c r="L423" s="85"/>
      <c r="M423" s="135"/>
      <c r="N423" s="260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259"/>
      <c r="K424" s="133"/>
      <c r="L424" s="85"/>
      <c r="M424" s="135"/>
      <c r="N424" s="260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259"/>
      <c r="K425" s="133"/>
      <c r="L425" s="85"/>
      <c r="M425" s="135"/>
      <c r="N425" s="260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259"/>
      <c r="K426" s="133"/>
      <c r="L426" s="85"/>
      <c r="M426" s="135"/>
      <c r="N426" s="260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259"/>
      <c r="K427" s="133"/>
      <c r="L427" s="85"/>
      <c r="M427" s="135"/>
      <c r="N427" s="260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259"/>
      <c r="K428" s="133"/>
      <c r="L428" s="85"/>
      <c r="M428" s="135"/>
      <c r="N428" s="260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259"/>
      <c r="K429" s="133"/>
      <c r="L429" s="85"/>
      <c r="M429" s="135"/>
      <c r="N429" s="260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259"/>
      <c r="K430" s="133"/>
      <c r="L430" s="85"/>
      <c r="M430" s="135"/>
      <c r="N430" s="260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259"/>
      <c r="K431" s="133"/>
      <c r="L431" s="85"/>
      <c r="M431" s="135"/>
      <c r="N431" s="260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259"/>
      <c r="K432" s="133"/>
      <c r="L432" s="85"/>
      <c r="M432" s="135"/>
      <c r="N432" s="260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259"/>
      <c r="K433" s="133"/>
      <c r="L433" s="85"/>
      <c r="M433" s="135"/>
      <c r="N433" s="260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259"/>
      <c r="K434" s="133"/>
      <c r="L434" s="85"/>
      <c r="M434" s="135"/>
      <c r="N434" s="260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259"/>
      <c r="K435" s="133"/>
      <c r="L435" s="85"/>
      <c r="M435" s="135"/>
      <c r="N435" s="260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259"/>
      <c r="K436" s="133"/>
      <c r="L436" s="85"/>
      <c r="M436" s="135"/>
      <c r="N436" s="260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259"/>
      <c r="K437" s="133"/>
      <c r="L437" s="85"/>
      <c r="M437" s="135"/>
      <c r="N437" s="260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259"/>
      <c r="K438" s="133"/>
      <c r="L438" s="85"/>
      <c r="M438" s="135"/>
      <c r="N438" s="260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259"/>
      <c r="K439" s="133"/>
      <c r="L439" s="85"/>
      <c r="M439" s="135"/>
      <c r="N439" s="260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259"/>
      <c r="K440" s="133"/>
      <c r="L440" s="85"/>
      <c r="M440" s="135"/>
      <c r="N440" s="260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259"/>
      <c r="K441" s="133"/>
      <c r="L441" s="85"/>
      <c r="M441" s="135"/>
      <c r="N441" s="260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259"/>
      <c r="K442" s="133"/>
      <c r="L442" s="85"/>
      <c r="M442" s="135"/>
      <c r="N442" s="260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259"/>
      <c r="K443" s="133"/>
      <c r="L443" s="85"/>
      <c r="M443" s="135"/>
      <c r="N443" s="260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259"/>
      <c r="K444" s="133"/>
      <c r="L444" s="85"/>
      <c r="M444" s="135"/>
      <c r="N444" s="260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259"/>
      <c r="K445" s="133"/>
      <c r="L445" s="85"/>
      <c r="M445" s="135"/>
      <c r="N445" s="260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259"/>
      <c r="K446" s="133"/>
      <c r="L446" s="85"/>
      <c r="M446" s="135"/>
      <c r="N446" s="260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259"/>
      <c r="K447" s="133"/>
      <c r="L447" s="85"/>
      <c r="M447" s="135"/>
      <c r="N447" s="260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259"/>
      <c r="K448" s="133"/>
      <c r="L448" s="85"/>
      <c r="M448" s="135"/>
      <c r="N448" s="260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259"/>
      <c r="K449" s="133"/>
      <c r="L449" s="85"/>
      <c r="M449" s="135"/>
      <c r="N449" s="260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259"/>
      <c r="K450" s="133"/>
      <c r="L450" s="85"/>
      <c r="M450" s="135"/>
      <c r="N450" s="260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259"/>
      <c r="K451" s="133"/>
      <c r="L451" s="85"/>
      <c r="M451" s="135"/>
      <c r="N451" s="260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259"/>
      <c r="K452" s="133"/>
      <c r="L452" s="85"/>
      <c r="M452" s="135"/>
      <c r="N452" s="260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259"/>
      <c r="K453" s="133"/>
      <c r="L453" s="85"/>
      <c r="M453" s="135"/>
      <c r="N453" s="260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259"/>
      <c r="K454" s="133"/>
      <c r="L454" s="85"/>
      <c r="M454" s="135"/>
      <c r="N454" s="260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259"/>
      <c r="K455" s="133"/>
      <c r="L455" s="85"/>
      <c r="M455" s="135"/>
      <c r="N455" s="260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259"/>
      <c r="K456" s="133"/>
      <c r="L456" s="85"/>
      <c r="M456" s="135"/>
      <c r="N456" s="260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259"/>
      <c r="K457" s="133"/>
      <c r="L457" s="85"/>
      <c r="M457" s="135"/>
      <c r="N457" s="260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259"/>
      <c r="K458" s="133"/>
      <c r="L458" s="85"/>
      <c r="M458" s="135"/>
      <c r="N458" s="260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259"/>
      <c r="K459" s="133"/>
      <c r="L459" s="85"/>
      <c r="M459" s="135"/>
      <c r="N459" s="260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259"/>
      <c r="K460" s="133"/>
      <c r="L460" s="85"/>
      <c r="M460" s="135"/>
      <c r="N460" s="260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259"/>
      <c r="K461" s="133"/>
      <c r="L461" s="85"/>
      <c r="M461" s="135"/>
      <c r="N461" s="260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259"/>
      <c r="K462" s="133"/>
      <c r="L462" s="85"/>
      <c r="M462" s="135"/>
      <c r="N462" s="260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259"/>
      <c r="K463" s="133"/>
      <c r="L463" s="85"/>
      <c r="M463" s="135"/>
      <c r="N463" s="260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259"/>
      <c r="K464" s="133"/>
      <c r="L464" s="85"/>
      <c r="M464" s="135"/>
      <c r="N464" s="260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259"/>
      <c r="K465" s="133"/>
      <c r="L465" s="85"/>
      <c r="M465" s="135"/>
      <c r="N465" s="260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259"/>
      <c r="K466" s="133"/>
      <c r="L466" s="85"/>
      <c r="M466" s="135"/>
      <c r="N466" s="260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259"/>
      <c r="K467" s="133"/>
      <c r="L467" s="85"/>
      <c r="M467" s="135"/>
      <c r="N467" s="260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259"/>
      <c r="K468" s="133"/>
      <c r="L468" s="85"/>
      <c r="M468" s="135"/>
      <c r="N468" s="260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259"/>
      <c r="K469" s="133"/>
      <c r="L469" s="85"/>
      <c r="M469" s="135"/>
      <c r="N469" s="260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259"/>
      <c r="K470" s="133"/>
      <c r="L470" s="85"/>
      <c r="M470" s="135"/>
      <c r="N470" s="260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259"/>
      <c r="K471" s="133"/>
      <c r="L471" s="85"/>
      <c r="M471" s="135"/>
      <c r="N471" s="260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259"/>
      <c r="K472" s="133"/>
      <c r="L472" s="85"/>
      <c r="M472" s="135"/>
      <c r="N472" s="260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259"/>
      <c r="K473" s="133"/>
      <c r="L473" s="85"/>
      <c r="M473" s="135"/>
      <c r="N473" s="260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259"/>
      <c r="K474" s="133"/>
      <c r="L474" s="85"/>
      <c r="M474" s="135"/>
      <c r="N474" s="260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259"/>
      <c r="K475" s="133"/>
      <c r="L475" s="85"/>
      <c r="M475" s="135"/>
      <c r="N475" s="260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259"/>
      <c r="K476" s="133"/>
      <c r="L476" s="85"/>
      <c r="M476" s="135"/>
      <c r="N476" s="260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259"/>
      <c r="K477" s="133"/>
      <c r="L477" s="85"/>
      <c r="M477" s="135"/>
      <c r="N477" s="260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259"/>
      <c r="K478" s="133"/>
      <c r="L478" s="85"/>
      <c r="M478" s="135"/>
      <c r="N478" s="260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259"/>
      <c r="K479" s="133"/>
      <c r="L479" s="85"/>
      <c r="M479" s="135"/>
      <c r="N479" s="260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259"/>
      <c r="K480" s="133"/>
      <c r="L480" s="85"/>
      <c r="M480" s="135"/>
      <c r="N480" s="260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259"/>
      <c r="K481" s="133"/>
      <c r="L481" s="85"/>
      <c r="M481" s="135"/>
      <c r="N481" s="260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259"/>
      <c r="K482" s="133"/>
      <c r="L482" s="85"/>
      <c r="M482" s="135"/>
      <c r="N482" s="260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259"/>
      <c r="K483" s="133"/>
      <c r="L483" s="85"/>
      <c r="M483" s="135"/>
      <c r="N483" s="260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259"/>
      <c r="K484" s="133"/>
      <c r="L484" s="85"/>
      <c r="M484" s="135"/>
      <c r="N484" s="260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259"/>
      <c r="K485" s="133"/>
      <c r="L485" s="85"/>
      <c r="M485" s="135"/>
      <c r="N485" s="260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259"/>
      <c r="K486" s="133"/>
      <c r="L486" s="85"/>
      <c r="M486" s="135"/>
      <c r="N486" s="260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259"/>
      <c r="K487" s="133"/>
      <c r="L487" s="85"/>
      <c r="M487" s="135"/>
      <c r="N487" s="260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259"/>
      <c r="K488" s="133"/>
      <c r="L488" s="85"/>
      <c r="M488" s="135"/>
      <c r="N488" s="260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259"/>
      <c r="K489" s="133"/>
      <c r="L489" s="85"/>
      <c r="M489" s="135"/>
      <c r="N489" s="260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259"/>
      <c r="K490" s="133"/>
      <c r="L490" s="85"/>
      <c r="M490" s="135"/>
      <c r="N490" s="260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259"/>
      <c r="K491" s="133"/>
      <c r="L491" s="85"/>
      <c r="M491" s="135"/>
      <c r="N491" s="260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259"/>
      <c r="K492" s="133"/>
      <c r="L492" s="85"/>
      <c r="M492" s="135"/>
      <c r="N492" s="260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259"/>
      <c r="K493" s="133"/>
      <c r="L493" s="85"/>
      <c r="M493" s="135"/>
      <c r="N493" s="260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259"/>
      <c r="K494" s="133"/>
      <c r="L494" s="85"/>
      <c r="M494" s="135"/>
      <c r="N494" s="260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259"/>
      <c r="K495" s="133"/>
      <c r="L495" s="85"/>
      <c r="M495" s="135"/>
      <c r="N495" s="260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259"/>
      <c r="K496" s="133"/>
      <c r="L496" s="85"/>
      <c r="M496" s="135"/>
      <c r="N496" s="260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259"/>
      <c r="K497" s="133"/>
      <c r="L497" s="85"/>
      <c r="M497" s="135"/>
      <c r="N497" s="260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259"/>
      <c r="K498" s="133"/>
      <c r="L498" s="85"/>
      <c r="M498" s="135"/>
      <c r="N498" s="260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259"/>
      <c r="K499" s="133"/>
      <c r="L499" s="85"/>
      <c r="M499" s="135"/>
      <c r="N499" s="260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259"/>
      <c r="K500" s="133"/>
      <c r="L500" s="85"/>
      <c r="M500" s="135"/>
      <c r="N500" s="260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259"/>
      <c r="K501" s="133"/>
      <c r="L501" s="85"/>
      <c r="M501" s="135"/>
      <c r="N501" s="260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259"/>
      <c r="K502" s="133"/>
      <c r="L502" s="85"/>
      <c r="M502" s="135"/>
      <c r="N502" s="260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259"/>
      <c r="K503" s="133"/>
      <c r="L503" s="85"/>
      <c r="M503" s="135"/>
      <c r="N503" s="260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259"/>
      <c r="K504" s="133"/>
      <c r="L504" s="85"/>
      <c r="M504" s="135"/>
      <c r="N504" s="260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259"/>
      <c r="K505" s="133"/>
      <c r="L505" s="85"/>
      <c r="M505" s="135"/>
      <c r="N505" s="260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259"/>
      <c r="K506" s="133"/>
      <c r="L506" s="85"/>
      <c r="M506" s="135"/>
      <c r="N506" s="260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259"/>
      <c r="K507" s="133"/>
      <c r="L507" s="85"/>
      <c r="M507" s="135"/>
      <c r="N507" s="260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259"/>
      <c r="K508" s="133"/>
      <c r="L508" s="85"/>
      <c r="M508" s="135"/>
      <c r="N508" s="260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259"/>
      <c r="K509" s="133"/>
      <c r="L509" s="85"/>
      <c r="M509" s="135"/>
      <c r="N509" s="260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259"/>
      <c r="K510" s="133"/>
      <c r="L510" s="85"/>
      <c r="M510" s="135"/>
      <c r="N510" s="260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259"/>
      <c r="K511" s="133"/>
      <c r="L511" s="85"/>
      <c r="M511" s="135"/>
      <c r="N511" s="260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259"/>
      <c r="K512" s="133"/>
      <c r="L512" s="85"/>
      <c r="M512" s="135"/>
      <c r="N512" s="260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259"/>
      <c r="K513" s="133"/>
      <c r="L513" s="85"/>
      <c r="M513" s="135"/>
      <c r="N513" s="260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259"/>
      <c r="K514" s="133"/>
      <c r="L514" s="85"/>
      <c r="M514" s="135"/>
      <c r="N514" s="260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259"/>
      <c r="K515" s="133"/>
      <c r="L515" s="85"/>
      <c r="M515" s="135"/>
      <c r="N515" s="260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259"/>
      <c r="K516" s="133"/>
      <c r="L516" s="85"/>
      <c r="M516" s="135"/>
      <c r="N516" s="260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259"/>
      <c r="K517" s="133"/>
      <c r="L517" s="85"/>
      <c r="M517" s="135"/>
      <c r="N517" s="260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259"/>
      <c r="K518" s="133"/>
      <c r="L518" s="85"/>
      <c r="M518" s="135"/>
      <c r="N518" s="260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259"/>
      <c r="K519" s="133"/>
      <c r="L519" s="85"/>
      <c r="M519" s="135"/>
      <c r="N519" s="260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259"/>
      <c r="K520" s="133"/>
      <c r="L520" s="85"/>
      <c r="M520" s="135"/>
      <c r="N520" s="260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259"/>
      <c r="K521" s="133"/>
      <c r="L521" s="85"/>
      <c r="M521" s="135"/>
      <c r="N521" s="260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259"/>
      <c r="K522" s="133"/>
      <c r="L522" s="85"/>
      <c r="M522" s="135"/>
      <c r="N522" s="260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259"/>
      <c r="K523" s="133"/>
      <c r="L523" s="85"/>
      <c r="M523" s="135"/>
      <c r="N523" s="260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259"/>
      <c r="K524" s="133"/>
      <c r="L524" s="85"/>
      <c r="M524" s="135"/>
      <c r="N524" s="260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259"/>
      <c r="K525" s="133"/>
      <c r="L525" s="85"/>
      <c r="M525" s="135"/>
      <c r="N525" s="260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259"/>
      <c r="K526" s="133"/>
      <c r="L526" s="85"/>
      <c r="M526" s="135"/>
      <c r="N526" s="260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259"/>
      <c r="K527" s="133"/>
      <c r="L527" s="85"/>
      <c r="M527" s="135"/>
      <c r="N527" s="260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259"/>
      <c r="K528" s="133"/>
      <c r="L528" s="85"/>
      <c r="M528" s="135"/>
      <c r="N528" s="260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259"/>
      <c r="K529" s="133"/>
      <c r="L529" s="85"/>
      <c r="M529" s="135"/>
      <c r="N529" s="260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259"/>
      <c r="K530" s="133"/>
      <c r="L530" s="85"/>
      <c r="M530" s="135"/>
      <c r="N530" s="260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259"/>
      <c r="K531" s="133"/>
      <c r="L531" s="85"/>
      <c r="M531" s="135"/>
      <c r="N531" s="260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259"/>
      <c r="K532" s="133"/>
      <c r="L532" s="85"/>
      <c r="M532" s="135"/>
      <c r="N532" s="260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259"/>
      <c r="K533" s="133"/>
      <c r="L533" s="85"/>
      <c r="M533" s="135"/>
      <c r="N533" s="260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259"/>
      <c r="K534" s="133"/>
      <c r="L534" s="85"/>
      <c r="M534" s="135"/>
      <c r="N534" s="260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259"/>
      <c r="K535" s="133"/>
      <c r="L535" s="85"/>
      <c r="M535" s="135"/>
      <c r="N535" s="260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259"/>
      <c r="K536" s="133"/>
      <c r="L536" s="85"/>
      <c r="M536" s="135"/>
      <c r="N536" s="260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259"/>
      <c r="K537" s="133"/>
      <c r="L537" s="85"/>
      <c r="M537" s="135"/>
      <c r="N537" s="260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259"/>
      <c r="K538" s="133"/>
      <c r="L538" s="85"/>
      <c r="M538" s="135"/>
      <c r="N538" s="260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259"/>
      <c r="K539" s="133"/>
      <c r="L539" s="85"/>
      <c r="M539" s="135"/>
      <c r="N539" s="260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259"/>
      <c r="K540" s="133"/>
      <c r="L540" s="85"/>
      <c r="M540" s="135"/>
      <c r="N540" s="260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259"/>
      <c r="K541" s="133"/>
      <c r="L541" s="85"/>
      <c r="M541" s="135"/>
      <c r="N541" s="260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259"/>
      <c r="K542" s="133"/>
      <c r="L542" s="85"/>
      <c r="M542" s="135"/>
      <c r="N542" s="260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259"/>
      <c r="K543" s="133"/>
      <c r="L543" s="85"/>
      <c r="M543" s="135"/>
      <c r="N543" s="260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259"/>
      <c r="K544" s="133"/>
      <c r="L544" s="85"/>
      <c r="M544" s="135"/>
      <c r="N544" s="260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259"/>
      <c r="K545" s="133"/>
      <c r="L545" s="85"/>
      <c r="M545" s="135"/>
      <c r="N545" s="260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259"/>
      <c r="K546" s="133"/>
      <c r="L546" s="85"/>
      <c r="M546" s="135"/>
      <c r="N546" s="260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259"/>
      <c r="K547" s="133"/>
      <c r="L547" s="85"/>
      <c r="M547" s="135"/>
      <c r="N547" s="260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259"/>
      <c r="K548" s="133"/>
      <c r="L548" s="85"/>
      <c r="M548" s="135"/>
      <c r="N548" s="260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259"/>
      <c r="K549" s="133"/>
      <c r="L549" s="85"/>
      <c r="M549" s="135"/>
      <c r="N549" s="260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259"/>
      <c r="K550" s="133"/>
      <c r="L550" s="85"/>
      <c r="M550" s="135"/>
      <c r="N550" s="260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259"/>
      <c r="K551" s="133"/>
      <c r="L551" s="85"/>
      <c r="M551" s="135"/>
      <c r="N551" s="260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259"/>
      <c r="K552" s="133"/>
      <c r="L552" s="85"/>
      <c r="M552" s="135"/>
      <c r="N552" s="260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259"/>
      <c r="K553" s="133"/>
      <c r="L553" s="85"/>
      <c r="M553" s="135"/>
      <c r="N553" s="260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259"/>
      <c r="K554" s="133"/>
      <c r="L554" s="85"/>
      <c r="M554" s="135"/>
      <c r="N554" s="260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259"/>
      <c r="K555" s="133"/>
      <c r="L555" s="85"/>
      <c r="M555" s="135"/>
      <c r="N555" s="260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259"/>
      <c r="K556" s="133"/>
      <c r="L556" s="85"/>
      <c r="M556" s="135"/>
      <c r="N556" s="260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259"/>
      <c r="K557" s="133"/>
      <c r="L557" s="85"/>
      <c r="M557" s="135"/>
      <c r="N557" s="260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259"/>
      <c r="K558" s="133"/>
      <c r="L558" s="85"/>
      <c r="M558" s="135"/>
      <c r="N558" s="260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259"/>
      <c r="K559" s="133"/>
      <c r="L559" s="85"/>
      <c r="M559" s="135"/>
      <c r="N559" s="260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259"/>
      <c r="K560" s="133"/>
      <c r="L560" s="85"/>
      <c r="M560" s="135"/>
      <c r="N560" s="260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259"/>
      <c r="K561" s="133"/>
      <c r="L561" s="85"/>
      <c r="M561" s="135"/>
      <c r="N561" s="260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259"/>
      <c r="K562" s="133"/>
      <c r="L562" s="85"/>
      <c r="M562" s="135"/>
      <c r="N562" s="260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259"/>
      <c r="K563" s="133"/>
      <c r="L563" s="85"/>
      <c r="M563" s="135"/>
      <c r="N563" s="260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259"/>
      <c r="K564" s="133"/>
      <c r="L564" s="85"/>
      <c r="M564" s="135"/>
      <c r="N564" s="260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259"/>
      <c r="K565" s="133"/>
      <c r="L565" s="85"/>
      <c r="M565" s="135"/>
      <c r="N565" s="260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259"/>
      <c r="K566" s="133"/>
      <c r="L566" s="85"/>
      <c r="M566" s="135"/>
      <c r="N566" s="260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259"/>
      <c r="K567" s="133"/>
      <c r="L567" s="85"/>
      <c r="M567" s="135"/>
      <c r="N567" s="260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259"/>
      <c r="K568" s="133"/>
      <c r="L568" s="85"/>
      <c r="M568" s="135"/>
      <c r="N568" s="260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259"/>
      <c r="K569" s="133"/>
      <c r="L569" s="85"/>
      <c r="M569" s="135"/>
      <c r="N569" s="260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259"/>
      <c r="K570" s="133"/>
      <c r="L570" s="85"/>
      <c r="M570" s="135"/>
      <c r="N570" s="260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259"/>
      <c r="K571" s="133"/>
      <c r="L571" s="85"/>
      <c r="M571" s="135"/>
      <c r="N571" s="260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259"/>
      <c r="K572" s="133"/>
      <c r="L572" s="85"/>
      <c r="M572" s="135"/>
      <c r="N572" s="260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259"/>
      <c r="K573" s="133"/>
      <c r="L573" s="85"/>
      <c r="M573" s="135"/>
      <c r="N573" s="260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259"/>
      <c r="K574" s="133"/>
      <c r="L574" s="85"/>
      <c r="M574" s="135"/>
      <c r="N574" s="260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259"/>
      <c r="K575" s="133"/>
      <c r="L575" s="85"/>
      <c r="M575" s="135"/>
      <c r="N575" s="260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259"/>
      <c r="K576" s="133"/>
      <c r="L576" s="85"/>
      <c r="M576" s="135"/>
      <c r="N576" s="260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259"/>
      <c r="K577" s="133"/>
      <c r="L577" s="85"/>
      <c r="M577" s="135"/>
      <c r="N577" s="260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259"/>
      <c r="K578" s="133"/>
      <c r="L578" s="85"/>
      <c r="M578" s="135"/>
      <c r="N578" s="260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259"/>
      <c r="K579" s="133"/>
      <c r="L579" s="85"/>
      <c r="M579" s="135"/>
      <c r="N579" s="260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259"/>
      <c r="K580" s="133"/>
      <c r="L580" s="85"/>
      <c r="M580" s="135"/>
      <c r="N580" s="260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259"/>
      <c r="K581" s="133"/>
      <c r="L581" s="85"/>
      <c r="M581" s="135"/>
      <c r="N581" s="260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259"/>
      <c r="K582" s="133"/>
      <c r="L582" s="85"/>
      <c r="M582" s="135"/>
      <c r="N582" s="260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259"/>
      <c r="K583" s="133"/>
      <c r="L583" s="85"/>
      <c r="M583" s="135"/>
      <c r="N583" s="260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259"/>
      <c r="K584" s="133"/>
      <c r="L584" s="85"/>
      <c r="M584" s="135"/>
      <c r="N584" s="260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259"/>
      <c r="K585" s="133"/>
      <c r="L585" s="85"/>
      <c r="M585" s="135"/>
      <c r="N585" s="260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259"/>
      <c r="K586" s="133"/>
      <c r="L586" s="85"/>
      <c r="M586" s="135"/>
      <c r="N586" s="260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259"/>
      <c r="K587" s="133"/>
      <c r="L587" s="85"/>
      <c r="M587" s="135"/>
      <c r="N587" s="260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259"/>
      <c r="K588" s="133"/>
      <c r="L588" s="85"/>
      <c r="M588" s="135"/>
      <c r="N588" s="260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259"/>
      <c r="K589" s="133"/>
      <c r="L589" s="85"/>
      <c r="M589" s="135"/>
      <c r="N589" s="260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259"/>
      <c r="K590" s="133"/>
      <c r="L590" s="85"/>
      <c r="M590" s="135"/>
      <c r="N590" s="260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259"/>
      <c r="K591" s="133"/>
      <c r="L591" s="85"/>
      <c r="M591" s="135"/>
      <c r="N591" s="260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259"/>
      <c r="K592" s="133"/>
      <c r="L592" s="85"/>
      <c r="M592" s="135"/>
      <c r="N592" s="260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259"/>
      <c r="K593" s="133"/>
      <c r="L593" s="85"/>
      <c r="M593" s="135"/>
      <c r="N593" s="260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259"/>
      <c r="K594" s="133"/>
      <c r="L594" s="85"/>
      <c r="M594" s="135"/>
      <c r="N594" s="260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259"/>
      <c r="K595" s="133"/>
      <c r="L595" s="85"/>
      <c r="M595" s="135"/>
      <c r="N595" s="260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259"/>
      <c r="K596" s="133"/>
      <c r="L596" s="85"/>
      <c r="M596" s="135"/>
      <c r="N596" s="260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259"/>
      <c r="K597" s="133"/>
      <c r="L597" s="85"/>
      <c r="M597" s="135"/>
      <c r="N597" s="260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259"/>
      <c r="K598" s="133"/>
      <c r="L598" s="85"/>
      <c r="M598" s="135"/>
      <c r="N598" s="260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259"/>
      <c r="K599" s="133"/>
      <c r="L599" s="85"/>
      <c r="M599" s="135"/>
      <c r="N599" s="260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259"/>
      <c r="K600" s="133"/>
      <c r="L600" s="85"/>
      <c r="M600" s="135"/>
      <c r="N600" s="260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259"/>
      <c r="K601" s="133"/>
      <c r="L601" s="85"/>
      <c r="M601" s="135"/>
      <c r="N601" s="260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259"/>
      <c r="K602" s="133"/>
      <c r="L602" s="85"/>
      <c r="M602" s="135"/>
      <c r="N602" s="260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259"/>
      <c r="K603" s="133"/>
      <c r="L603" s="85"/>
      <c r="M603" s="135"/>
      <c r="N603" s="260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259"/>
      <c r="K604" s="133"/>
      <c r="L604" s="85"/>
      <c r="M604" s="135"/>
      <c r="N604" s="260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259"/>
      <c r="K605" s="133"/>
      <c r="L605" s="85"/>
      <c r="M605" s="135"/>
      <c r="N605" s="260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259"/>
      <c r="K606" s="133"/>
      <c r="L606" s="85"/>
      <c r="M606" s="135"/>
      <c r="N606" s="260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259"/>
      <c r="K607" s="133"/>
      <c r="L607" s="85"/>
      <c r="M607" s="135"/>
      <c r="N607" s="260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259"/>
      <c r="K608" s="133"/>
      <c r="L608" s="85"/>
      <c r="M608" s="135"/>
      <c r="N608" s="260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259"/>
      <c r="K609" s="133"/>
      <c r="L609" s="85"/>
      <c r="M609" s="135"/>
      <c r="N609" s="260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259"/>
      <c r="K610" s="133"/>
      <c r="L610" s="85"/>
      <c r="M610" s="135"/>
      <c r="N610" s="260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259"/>
      <c r="K611" s="133"/>
      <c r="L611" s="85"/>
      <c r="M611" s="135"/>
      <c r="N611" s="260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259"/>
      <c r="K612" s="133"/>
      <c r="L612" s="85"/>
      <c r="M612" s="135"/>
      <c r="N612" s="260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259"/>
      <c r="K613" s="133"/>
      <c r="L613" s="85"/>
      <c r="M613" s="135"/>
      <c r="N613" s="260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259"/>
      <c r="K614" s="133"/>
      <c r="L614" s="85"/>
      <c r="M614" s="135"/>
      <c r="N614" s="260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259"/>
      <c r="K615" s="133"/>
      <c r="L615" s="85"/>
      <c r="M615" s="135"/>
      <c r="N615" s="260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259"/>
      <c r="K616" s="133"/>
      <c r="L616" s="85"/>
      <c r="M616" s="135"/>
      <c r="N616" s="260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259"/>
      <c r="K617" s="133"/>
      <c r="L617" s="85"/>
      <c r="M617" s="135"/>
      <c r="N617" s="260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259"/>
      <c r="K618" s="133"/>
      <c r="L618" s="85"/>
      <c r="M618" s="135"/>
      <c r="N618" s="260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259"/>
      <c r="K619" s="133"/>
      <c r="L619" s="85"/>
      <c r="M619" s="135"/>
      <c r="N619" s="260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259"/>
      <c r="K620" s="133"/>
      <c r="L620" s="85"/>
      <c r="M620" s="135"/>
      <c r="N620" s="260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259"/>
      <c r="K621" s="133"/>
      <c r="L621" s="85"/>
      <c r="M621" s="135"/>
      <c r="N621" s="260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259"/>
      <c r="K622" s="133"/>
      <c r="L622" s="85"/>
      <c r="M622" s="135"/>
      <c r="N622" s="260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259"/>
      <c r="K623" s="133"/>
      <c r="L623" s="85"/>
      <c r="M623" s="135"/>
      <c r="N623" s="260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259"/>
      <c r="K624" s="133"/>
      <c r="L624" s="85"/>
      <c r="M624" s="135"/>
      <c r="N624" s="260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259"/>
      <c r="K625" s="133"/>
      <c r="L625" s="85"/>
      <c r="M625" s="135"/>
      <c r="N625" s="260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259"/>
      <c r="K626" s="133"/>
      <c r="L626" s="85"/>
      <c r="M626" s="135"/>
      <c r="N626" s="260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259"/>
      <c r="K627" s="133"/>
      <c r="L627" s="85"/>
      <c r="M627" s="135"/>
      <c r="N627" s="260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259"/>
      <c r="K628" s="133"/>
      <c r="L628" s="85"/>
      <c r="M628" s="135"/>
      <c r="N628" s="260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259"/>
      <c r="K629" s="133"/>
      <c r="L629" s="85"/>
      <c r="M629" s="135"/>
      <c r="N629" s="260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259"/>
      <c r="K630" s="133"/>
      <c r="L630" s="85"/>
      <c r="M630" s="135"/>
      <c r="N630" s="260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259"/>
      <c r="K631" s="133"/>
      <c r="L631" s="85"/>
      <c r="M631" s="135"/>
      <c r="N631" s="260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259"/>
      <c r="K632" s="133"/>
      <c r="L632" s="85"/>
      <c r="M632" s="135"/>
      <c r="N632" s="260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259"/>
      <c r="K633" s="133"/>
      <c r="L633" s="85"/>
      <c r="M633" s="135"/>
      <c r="N633" s="260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259"/>
      <c r="K634" s="133"/>
      <c r="L634" s="85"/>
      <c r="M634" s="135"/>
      <c r="N634" s="260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259"/>
      <c r="K635" s="133"/>
      <c r="L635" s="85"/>
      <c r="M635" s="135"/>
      <c r="N635" s="260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259"/>
      <c r="K636" s="133"/>
      <c r="L636" s="85"/>
      <c r="M636" s="135"/>
      <c r="N636" s="260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259"/>
      <c r="K637" s="133"/>
      <c r="L637" s="85"/>
      <c r="M637" s="135"/>
      <c r="N637" s="260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259"/>
      <c r="K638" s="133"/>
      <c r="L638" s="85"/>
      <c r="M638" s="135"/>
      <c r="N638" s="260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259"/>
      <c r="K639" s="133"/>
      <c r="L639" s="85"/>
      <c r="M639" s="135"/>
      <c r="N639" s="260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259"/>
      <c r="K640" s="133"/>
      <c r="L640" s="85"/>
      <c r="M640" s="135"/>
      <c r="N640" s="260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259"/>
      <c r="K641" s="133"/>
      <c r="L641" s="85"/>
      <c r="M641" s="135"/>
      <c r="N641" s="260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259"/>
      <c r="K642" s="133"/>
      <c r="L642" s="85"/>
      <c r="M642" s="135"/>
      <c r="N642" s="260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259"/>
      <c r="K643" s="133"/>
      <c r="L643" s="85"/>
      <c r="M643" s="135"/>
      <c r="N643" s="260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259"/>
      <c r="K644" s="133"/>
      <c r="L644" s="85"/>
      <c r="M644" s="135"/>
      <c r="N644" s="260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259"/>
      <c r="K645" s="133"/>
      <c r="L645" s="85"/>
      <c r="M645" s="135"/>
      <c r="N645" s="260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259"/>
      <c r="K646" s="133"/>
      <c r="L646" s="85"/>
      <c r="M646" s="135"/>
      <c r="N646" s="260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259"/>
      <c r="K647" s="133"/>
      <c r="L647" s="85"/>
      <c r="M647" s="135"/>
      <c r="N647" s="260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259"/>
      <c r="K648" s="133"/>
      <c r="L648" s="85"/>
      <c r="M648" s="135"/>
      <c r="N648" s="260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259"/>
      <c r="K649" s="133"/>
      <c r="L649" s="85"/>
      <c r="M649" s="135"/>
      <c r="N649" s="260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259"/>
      <c r="K650" s="133"/>
      <c r="L650" s="85"/>
      <c r="M650" s="135"/>
      <c r="N650" s="260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259"/>
      <c r="K651" s="133"/>
      <c r="L651" s="85"/>
      <c r="M651" s="135"/>
      <c r="N651" s="260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259"/>
      <c r="K652" s="133"/>
      <c r="L652" s="85"/>
      <c r="M652" s="135"/>
      <c r="N652" s="260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259"/>
      <c r="K653" s="133"/>
      <c r="L653" s="85"/>
      <c r="M653" s="135"/>
      <c r="N653" s="260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259"/>
      <c r="K654" s="133"/>
      <c r="L654" s="85"/>
      <c r="M654" s="135"/>
      <c r="N654" s="260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259"/>
      <c r="K655" s="133"/>
      <c r="L655" s="85"/>
      <c r="M655" s="135"/>
      <c r="N655" s="260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259"/>
      <c r="K656" s="133"/>
      <c r="L656" s="85"/>
      <c r="M656" s="135"/>
      <c r="N656" s="260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259"/>
      <c r="K657" s="133"/>
      <c r="L657" s="85"/>
      <c r="M657" s="135"/>
      <c r="N657" s="260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259"/>
      <c r="K658" s="133"/>
      <c r="L658" s="85"/>
      <c r="M658" s="135"/>
      <c r="N658" s="260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259"/>
      <c r="K659" s="133"/>
      <c r="L659" s="85"/>
      <c r="M659" s="135"/>
      <c r="N659" s="260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259"/>
      <c r="K660" s="133"/>
      <c r="L660" s="85"/>
      <c r="M660" s="135"/>
      <c r="N660" s="260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259"/>
      <c r="K661" s="133"/>
      <c r="L661" s="85"/>
      <c r="M661" s="135"/>
      <c r="N661" s="260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259"/>
      <c r="K662" s="133"/>
      <c r="L662" s="85"/>
      <c r="M662" s="135"/>
      <c r="N662" s="260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259"/>
      <c r="K663" s="133"/>
      <c r="L663" s="85"/>
      <c r="M663" s="135"/>
      <c r="N663" s="260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259"/>
      <c r="K664" s="133"/>
      <c r="L664" s="85"/>
      <c r="M664" s="135"/>
      <c r="N664" s="260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259"/>
      <c r="K665" s="133"/>
      <c r="L665" s="85"/>
      <c r="M665" s="135"/>
      <c r="N665" s="260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259"/>
      <c r="K666" s="133"/>
      <c r="L666" s="85"/>
      <c r="M666" s="135"/>
      <c r="N666" s="260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259"/>
      <c r="K667" s="133"/>
      <c r="L667" s="85"/>
      <c r="M667" s="135"/>
      <c r="N667" s="260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259"/>
      <c r="K668" s="133"/>
      <c r="L668" s="85"/>
      <c r="M668" s="135"/>
      <c r="N668" s="260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259"/>
      <c r="K669" s="133"/>
      <c r="L669" s="85"/>
      <c r="M669" s="135"/>
      <c r="N669" s="260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259"/>
      <c r="K670" s="133"/>
      <c r="L670" s="85"/>
      <c r="M670" s="135"/>
      <c r="N670" s="260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259"/>
      <c r="K671" s="133"/>
      <c r="L671" s="85"/>
      <c r="M671" s="135"/>
      <c r="N671" s="260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259"/>
      <c r="K672" s="133"/>
      <c r="L672" s="85"/>
      <c r="M672" s="135"/>
      <c r="N672" s="260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259"/>
      <c r="K673" s="133"/>
      <c r="L673" s="85"/>
      <c r="M673" s="135"/>
      <c r="N673" s="260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259"/>
      <c r="K674" s="133"/>
      <c r="L674" s="85"/>
      <c r="M674" s="135"/>
      <c r="N674" s="260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259"/>
      <c r="K675" s="133"/>
      <c r="L675" s="85"/>
      <c r="M675" s="135"/>
      <c r="N675" s="260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259"/>
      <c r="K676" s="133"/>
      <c r="L676" s="85"/>
      <c r="M676" s="135"/>
      <c r="N676" s="260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259"/>
      <c r="K677" s="133"/>
      <c r="L677" s="85"/>
      <c r="M677" s="135"/>
      <c r="N677" s="260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259"/>
      <c r="K678" s="133"/>
      <c r="L678" s="85"/>
      <c r="M678" s="135"/>
      <c r="N678" s="260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259"/>
      <c r="K679" s="133"/>
      <c r="L679" s="85"/>
      <c r="M679" s="135"/>
      <c r="N679" s="260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259"/>
      <c r="K680" s="133"/>
      <c r="L680" s="85"/>
      <c r="M680" s="135"/>
      <c r="N680" s="260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259"/>
      <c r="K681" s="133"/>
      <c r="L681" s="85"/>
      <c r="M681" s="135"/>
      <c r="N681" s="260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259"/>
      <c r="K682" s="133"/>
      <c r="L682" s="85"/>
      <c r="M682" s="135"/>
      <c r="N682" s="260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259"/>
      <c r="K683" s="133"/>
      <c r="L683" s="85"/>
      <c r="M683" s="135"/>
      <c r="N683" s="260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259"/>
      <c r="K684" s="133"/>
      <c r="L684" s="85"/>
      <c r="M684" s="135"/>
      <c r="N684" s="260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259"/>
      <c r="K685" s="133"/>
      <c r="L685" s="85"/>
      <c r="M685" s="135"/>
      <c r="N685" s="260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259"/>
      <c r="K686" s="133"/>
      <c r="L686" s="85"/>
      <c r="M686" s="135"/>
      <c r="N686" s="260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259"/>
      <c r="K687" s="133"/>
      <c r="L687" s="85"/>
      <c r="M687" s="135"/>
      <c r="N687" s="260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259"/>
      <c r="K688" s="133"/>
      <c r="L688" s="85"/>
      <c r="M688" s="135"/>
      <c r="N688" s="260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259"/>
      <c r="K689" s="133"/>
      <c r="L689" s="85"/>
      <c r="M689" s="135"/>
      <c r="N689" s="260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259"/>
      <c r="K690" s="133"/>
      <c r="L690" s="85"/>
      <c r="M690" s="135"/>
      <c r="N690" s="260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259"/>
      <c r="K691" s="133"/>
      <c r="L691" s="85"/>
      <c r="M691" s="135"/>
      <c r="N691" s="260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259"/>
      <c r="K692" s="133"/>
      <c r="L692" s="85"/>
      <c r="M692" s="135"/>
      <c r="N692" s="260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259"/>
      <c r="K693" s="133"/>
      <c r="L693" s="85"/>
      <c r="M693" s="135"/>
      <c r="N693" s="260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259"/>
      <c r="K694" s="133"/>
      <c r="L694" s="85"/>
      <c r="M694" s="135"/>
      <c r="N694" s="260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259"/>
      <c r="K695" s="133"/>
      <c r="L695" s="85"/>
      <c r="M695" s="135"/>
      <c r="N695" s="260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259"/>
      <c r="K696" s="133"/>
      <c r="L696" s="85"/>
      <c r="M696" s="135"/>
      <c r="N696" s="260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259"/>
      <c r="K697" s="133"/>
      <c r="L697" s="85"/>
      <c r="M697" s="135"/>
      <c r="N697" s="260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259"/>
      <c r="K698" s="133"/>
      <c r="L698" s="85"/>
      <c r="M698" s="135"/>
      <c r="N698" s="260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259"/>
      <c r="K699" s="133"/>
      <c r="L699" s="85"/>
      <c r="M699" s="135"/>
      <c r="N699" s="260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259"/>
      <c r="K700" s="133"/>
      <c r="L700" s="85"/>
      <c r="M700" s="135"/>
      <c r="N700" s="260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259"/>
      <c r="K701" s="133"/>
      <c r="L701" s="85"/>
      <c r="M701" s="135"/>
      <c r="N701" s="260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259"/>
      <c r="K702" s="133"/>
      <c r="L702" s="85"/>
      <c r="M702" s="135"/>
      <c r="N702" s="260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259"/>
      <c r="K703" s="133"/>
      <c r="L703" s="85"/>
      <c r="M703" s="135"/>
      <c r="N703" s="260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259"/>
      <c r="K704" s="133"/>
      <c r="L704" s="85"/>
      <c r="M704" s="135"/>
      <c r="N704" s="260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259"/>
      <c r="K705" s="133"/>
      <c r="L705" s="85"/>
      <c r="M705" s="135"/>
      <c r="N705" s="260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259"/>
      <c r="K706" s="133"/>
      <c r="L706" s="85"/>
      <c r="M706" s="135"/>
      <c r="N706" s="260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259"/>
      <c r="K707" s="133"/>
      <c r="L707" s="85"/>
      <c r="M707" s="135"/>
      <c r="N707" s="260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259"/>
      <c r="K708" s="133"/>
      <c r="L708" s="85"/>
      <c r="M708" s="135"/>
      <c r="N708" s="260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259"/>
      <c r="K709" s="133"/>
      <c r="L709" s="85"/>
      <c r="M709" s="135"/>
      <c r="N709" s="260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259"/>
      <c r="K710" s="133"/>
      <c r="L710" s="85"/>
      <c r="M710" s="135"/>
      <c r="N710" s="260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259"/>
      <c r="K711" s="133"/>
      <c r="L711" s="85"/>
      <c r="M711" s="135"/>
      <c r="N711" s="260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259"/>
      <c r="K712" s="133"/>
      <c r="L712" s="85"/>
      <c r="M712" s="135"/>
      <c r="N712" s="260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259"/>
      <c r="K713" s="133"/>
      <c r="L713" s="85"/>
      <c r="M713" s="135"/>
      <c r="N713" s="260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259"/>
      <c r="K714" s="133"/>
      <c r="L714" s="85"/>
      <c r="M714" s="135"/>
      <c r="N714" s="260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259"/>
      <c r="K715" s="133"/>
      <c r="L715" s="85"/>
      <c r="M715" s="135"/>
      <c r="N715" s="260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259"/>
      <c r="K716" s="133"/>
      <c r="L716" s="85"/>
      <c r="M716" s="135"/>
      <c r="N716" s="260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259"/>
      <c r="K717" s="133"/>
      <c r="L717" s="85"/>
      <c r="M717" s="135"/>
      <c r="N717" s="260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259"/>
      <c r="K718" s="133"/>
      <c r="L718" s="85"/>
      <c r="M718" s="135"/>
      <c r="N718" s="260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259"/>
      <c r="K719" s="133"/>
      <c r="L719" s="85"/>
      <c r="M719" s="135"/>
      <c r="N719" s="260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259"/>
      <c r="K720" s="133"/>
      <c r="L720" s="85"/>
      <c r="M720" s="135"/>
      <c r="N720" s="260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259"/>
      <c r="K721" s="133"/>
      <c r="L721" s="85"/>
      <c r="M721" s="135"/>
      <c r="N721" s="260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259"/>
      <c r="K722" s="133"/>
      <c r="L722" s="85"/>
      <c r="M722" s="135"/>
      <c r="N722" s="260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259"/>
      <c r="K723" s="133"/>
      <c r="L723" s="85"/>
      <c r="M723" s="135"/>
      <c r="N723" s="260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259"/>
      <c r="K724" s="133"/>
      <c r="L724" s="85"/>
      <c r="M724" s="135"/>
      <c r="N724" s="260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259"/>
      <c r="K725" s="133"/>
      <c r="L725" s="85"/>
      <c r="M725" s="135"/>
      <c r="N725" s="260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259"/>
      <c r="K726" s="133"/>
      <c r="L726" s="85"/>
      <c r="M726" s="135"/>
      <c r="N726" s="260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259"/>
      <c r="K727" s="133"/>
      <c r="L727" s="85"/>
      <c r="M727" s="135"/>
      <c r="N727" s="260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259"/>
      <c r="K728" s="133"/>
      <c r="L728" s="85"/>
      <c r="M728" s="135"/>
      <c r="N728" s="260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259"/>
      <c r="K729" s="133"/>
      <c r="L729" s="85"/>
      <c r="M729" s="135"/>
      <c r="N729" s="260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259"/>
      <c r="K730" s="133"/>
      <c r="L730" s="85"/>
      <c r="M730" s="135"/>
      <c r="N730" s="260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259"/>
      <c r="K731" s="133"/>
      <c r="L731" s="85"/>
      <c r="M731" s="135"/>
      <c r="N731" s="260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259"/>
      <c r="K732" s="133"/>
      <c r="L732" s="85"/>
      <c r="M732" s="135"/>
      <c r="N732" s="260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259"/>
      <c r="K733" s="133"/>
      <c r="L733" s="85"/>
      <c r="M733" s="135"/>
      <c r="N733" s="260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259"/>
      <c r="K734" s="133"/>
      <c r="L734" s="85"/>
      <c r="M734" s="135"/>
      <c r="N734" s="260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259"/>
      <c r="K735" s="133"/>
      <c r="L735" s="85"/>
      <c r="M735" s="135"/>
      <c r="N735" s="260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259"/>
      <c r="K736" s="133"/>
      <c r="L736" s="85"/>
      <c r="M736" s="135"/>
      <c r="N736" s="260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259"/>
      <c r="K737" s="133"/>
      <c r="L737" s="85"/>
      <c r="M737" s="135"/>
      <c r="N737" s="260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259"/>
      <c r="K738" s="133"/>
      <c r="L738" s="85"/>
      <c r="M738" s="135"/>
      <c r="N738" s="260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259"/>
      <c r="K739" s="133"/>
      <c r="L739" s="85"/>
      <c r="M739" s="135"/>
      <c r="N739" s="260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259"/>
      <c r="K740" s="133"/>
      <c r="L740" s="85"/>
      <c r="M740" s="135"/>
      <c r="N740" s="260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259"/>
      <c r="K741" s="133"/>
      <c r="L741" s="85"/>
      <c r="M741" s="135"/>
      <c r="N741" s="260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259"/>
      <c r="K742" s="133"/>
      <c r="L742" s="85"/>
      <c r="M742" s="135"/>
      <c r="N742" s="260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259"/>
      <c r="K743" s="133"/>
      <c r="L743" s="85"/>
      <c r="M743" s="135"/>
      <c r="N743" s="260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259"/>
      <c r="K744" s="133"/>
      <c r="L744" s="85"/>
      <c r="M744" s="135"/>
      <c r="N744" s="260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259"/>
      <c r="K745" s="133"/>
      <c r="L745" s="85"/>
      <c r="M745" s="135"/>
      <c r="N745" s="260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259"/>
      <c r="K746" s="133"/>
      <c r="L746" s="85"/>
      <c r="M746" s="135"/>
      <c r="N746" s="260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259"/>
      <c r="K747" s="133"/>
      <c r="L747" s="85"/>
      <c r="M747" s="135"/>
      <c r="N747" s="260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259"/>
      <c r="K748" s="133"/>
      <c r="L748" s="85"/>
      <c r="M748" s="135"/>
      <c r="N748" s="260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259"/>
      <c r="K749" s="133"/>
      <c r="L749" s="85"/>
      <c r="M749" s="135"/>
      <c r="N749" s="260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259"/>
      <c r="K750" s="133"/>
      <c r="L750" s="85"/>
      <c r="M750" s="135"/>
      <c r="N750" s="260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259"/>
      <c r="K751" s="133"/>
      <c r="L751" s="85"/>
      <c r="M751" s="135"/>
      <c r="N751" s="260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259"/>
      <c r="K752" s="133"/>
      <c r="L752" s="85"/>
      <c r="M752" s="135"/>
      <c r="N752" s="260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259"/>
      <c r="K753" s="133"/>
      <c r="L753" s="85"/>
      <c r="M753" s="135"/>
      <c r="N753" s="260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259"/>
      <c r="K754" s="133"/>
      <c r="L754" s="85"/>
      <c r="M754" s="135"/>
      <c r="N754" s="260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259"/>
      <c r="K755" s="133"/>
      <c r="L755" s="85"/>
      <c r="M755" s="135"/>
      <c r="N755" s="260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259"/>
      <c r="K756" s="133"/>
      <c r="L756" s="85"/>
      <c r="M756" s="135"/>
      <c r="N756" s="260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259"/>
      <c r="K757" s="133"/>
      <c r="L757" s="85"/>
      <c r="M757" s="135"/>
      <c r="N757" s="260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259"/>
      <c r="K758" s="133"/>
      <c r="L758" s="85"/>
      <c r="M758" s="135"/>
      <c r="N758" s="260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259"/>
      <c r="K759" s="133"/>
      <c r="L759" s="85"/>
      <c r="M759" s="135"/>
      <c r="N759" s="260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259"/>
      <c r="K760" s="133"/>
      <c r="L760" s="85"/>
      <c r="M760" s="135"/>
      <c r="N760" s="260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259"/>
      <c r="K761" s="133"/>
      <c r="L761" s="85"/>
      <c r="M761" s="135"/>
      <c r="N761" s="260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259"/>
      <c r="K762" s="133"/>
      <c r="L762" s="85"/>
      <c r="M762" s="135"/>
      <c r="N762" s="260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259"/>
      <c r="K763" s="133"/>
      <c r="L763" s="85"/>
      <c r="M763" s="135"/>
      <c r="N763" s="260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259"/>
      <c r="K764" s="133"/>
      <c r="L764" s="85"/>
      <c r="M764" s="135"/>
      <c r="N764" s="260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259"/>
      <c r="K765" s="133"/>
      <c r="L765" s="85"/>
      <c r="M765" s="135"/>
      <c r="N765" s="260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259"/>
      <c r="K766" s="133"/>
      <c r="L766" s="85"/>
      <c r="M766" s="135"/>
      <c r="N766" s="260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259"/>
      <c r="K767" s="133"/>
      <c r="L767" s="85"/>
      <c r="M767" s="135"/>
      <c r="N767" s="260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259"/>
      <c r="K768" s="133"/>
      <c r="L768" s="85"/>
      <c r="M768" s="135"/>
      <c r="N768" s="260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259"/>
      <c r="K769" s="133"/>
      <c r="L769" s="85"/>
      <c r="M769" s="135"/>
      <c r="N769" s="260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259"/>
      <c r="K770" s="133"/>
      <c r="L770" s="85"/>
      <c r="M770" s="135"/>
      <c r="N770" s="260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259"/>
      <c r="K771" s="133"/>
      <c r="L771" s="85"/>
      <c r="M771" s="135"/>
      <c r="N771" s="260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259"/>
      <c r="K772" s="133"/>
      <c r="L772" s="85"/>
      <c r="M772" s="135"/>
      <c r="N772" s="260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259"/>
      <c r="K773" s="133"/>
      <c r="L773" s="85"/>
      <c r="M773" s="135"/>
      <c r="N773" s="260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259"/>
      <c r="K774" s="133"/>
      <c r="L774" s="85"/>
      <c r="M774" s="135"/>
      <c r="N774" s="260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259"/>
      <c r="K775" s="133"/>
      <c r="L775" s="85"/>
      <c r="M775" s="135"/>
      <c r="N775" s="260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259"/>
      <c r="K776" s="133"/>
      <c r="L776" s="85"/>
      <c r="M776" s="135"/>
      <c r="N776" s="260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259"/>
      <c r="K777" s="133"/>
      <c r="L777" s="85"/>
      <c r="M777" s="135"/>
      <c r="N777" s="260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259"/>
      <c r="K778" s="133"/>
      <c r="L778" s="85"/>
      <c r="M778" s="135"/>
      <c r="N778" s="260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259"/>
      <c r="K779" s="133"/>
      <c r="L779" s="85"/>
      <c r="M779" s="135"/>
      <c r="N779" s="260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259"/>
      <c r="K780" s="133"/>
      <c r="L780" s="85"/>
      <c r="M780" s="135"/>
      <c r="N780" s="260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259"/>
      <c r="K781" s="133"/>
      <c r="L781" s="85"/>
      <c r="M781" s="135"/>
      <c r="N781" s="260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259"/>
      <c r="K782" s="133"/>
      <c r="L782" s="85"/>
      <c r="M782" s="135"/>
      <c r="N782" s="260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259"/>
      <c r="K783" s="133"/>
      <c r="L783" s="85"/>
      <c r="M783" s="135"/>
      <c r="N783" s="260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259"/>
      <c r="K784" s="133"/>
      <c r="L784" s="85"/>
      <c r="M784" s="135"/>
      <c r="N784" s="260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259"/>
      <c r="K785" s="133"/>
      <c r="L785" s="85"/>
      <c r="M785" s="135"/>
      <c r="N785" s="260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259"/>
      <c r="K786" s="133"/>
      <c r="L786" s="85"/>
      <c r="M786" s="135"/>
      <c r="N786" s="260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259"/>
      <c r="K787" s="133"/>
      <c r="L787" s="85"/>
      <c r="M787" s="135"/>
      <c r="N787" s="260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259"/>
      <c r="K788" s="133"/>
      <c r="L788" s="85"/>
      <c r="M788" s="135"/>
      <c r="N788" s="260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259"/>
      <c r="K789" s="133"/>
      <c r="L789" s="85"/>
      <c r="M789" s="135"/>
      <c r="N789" s="260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259"/>
      <c r="K790" s="133"/>
      <c r="L790" s="85"/>
      <c r="M790" s="135"/>
      <c r="N790" s="260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259"/>
      <c r="K791" s="133"/>
      <c r="L791" s="85"/>
      <c r="M791" s="135"/>
      <c r="N791" s="260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259"/>
      <c r="K792" s="133"/>
      <c r="L792" s="85"/>
      <c r="M792" s="135"/>
      <c r="N792" s="260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259"/>
      <c r="K793" s="133"/>
      <c r="L793" s="85"/>
      <c r="M793" s="135"/>
      <c r="N793" s="260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259"/>
      <c r="K794" s="133"/>
      <c r="L794" s="85"/>
      <c r="M794" s="135"/>
      <c r="N794" s="260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259"/>
      <c r="K795" s="133"/>
      <c r="L795" s="85"/>
      <c r="M795" s="135"/>
      <c r="N795" s="260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259"/>
      <c r="K796" s="133"/>
      <c r="L796" s="85"/>
      <c r="M796" s="135"/>
      <c r="N796" s="260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259"/>
      <c r="K797" s="133"/>
      <c r="L797" s="85"/>
      <c r="M797" s="135"/>
      <c r="N797" s="260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259"/>
      <c r="K798" s="133"/>
      <c r="L798" s="85"/>
      <c r="M798" s="135"/>
      <c r="N798" s="260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259"/>
      <c r="K799" s="133"/>
      <c r="L799" s="85"/>
      <c r="M799" s="135"/>
      <c r="N799" s="260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259"/>
      <c r="K800" s="133"/>
      <c r="L800" s="85"/>
      <c r="M800" s="135"/>
      <c r="N800" s="260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259"/>
      <c r="K801" s="133"/>
      <c r="L801" s="85"/>
      <c r="M801" s="135"/>
      <c r="N801" s="260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259"/>
      <c r="K802" s="133"/>
      <c r="L802" s="85"/>
      <c r="M802" s="135"/>
      <c r="N802" s="260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259"/>
      <c r="K803" s="133"/>
      <c r="L803" s="85"/>
      <c r="M803" s="135"/>
      <c r="N803" s="260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259"/>
      <c r="K804" s="133"/>
      <c r="L804" s="85"/>
      <c r="M804" s="135"/>
      <c r="N804" s="260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259"/>
      <c r="K805" s="133"/>
      <c r="L805" s="85"/>
      <c r="M805" s="135"/>
      <c r="N805" s="260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259"/>
      <c r="K806" s="133"/>
      <c r="L806" s="85"/>
      <c r="M806" s="135"/>
      <c r="N806" s="260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259"/>
      <c r="K807" s="133"/>
      <c r="L807" s="85"/>
      <c r="M807" s="135"/>
      <c r="N807" s="260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259"/>
      <c r="K808" s="133"/>
      <c r="L808" s="85"/>
      <c r="M808" s="135"/>
      <c r="N808" s="260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259"/>
      <c r="K809" s="133"/>
      <c r="L809" s="85"/>
      <c r="M809" s="135"/>
      <c r="N809" s="260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259"/>
      <c r="K810" s="133"/>
      <c r="L810" s="85"/>
      <c r="M810" s="135"/>
      <c r="N810" s="260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259"/>
      <c r="K811" s="133"/>
      <c r="L811" s="85"/>
      <c r="M811" s="135"/>
      <c r="N811" s="260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259"/>
      <c r="K812" s="133"/>
      <c r="L812" s="85"/>
      <c r="M812" s="135"/>
      <c r="N812" s="260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259"/>
      <c r="K813" s="133"/>
      <c r="L813" s="85"/>
      <c r="M813" s="135"/>
      <c r="N813" s="260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259"/>
      <c r="K814" s="133"/>
      <c r="L814" s="85"/>
      <c r="M814" s="135"/>
      <c r="N814" s="260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259"/>
      <c r="K815" s="133"/>
      <c r="L815" s="85"/>
      <c r="M815" s="135"/>
      <c r="N815" s="260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259"/>
      <c r="K816" s="133"/>
      <c r="L816" s="85"/>
      <c r="M816" s="135"/>
      <c r="N816" s="260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259"/>
      <c r="K817" s="133"/>
      <c r="L817" s="85"/>
      <c r="M817" s="135"/>
      <c r="N817" s="260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259"/>
      <c r="K818" s="133"/>
      <c r="L818" s="85"/>
      <c r="M818" s="135"/>
      <c r="N818" s="260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259"/>
      <c r="K819" s="133"/>
      <c r="L819" s="85"/>
      <c r="M819" s="135"/>
      <c r="N819" s="260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259"/>
      <c r="K820" s="133"/>
      <c r="L820" s="85"/>
      <c r="M820" s="135"/>
      <c r="N820" s="260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259"/>
      <c r="K821" s="133"/>
      <c r="L821" s="85"/>
      <c r="M821" s="135"/>
      <c r="N821" s="260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259"/>
      <c r="K822" s="133"/>
      <c r="L822" s="85"/>
      <c r="M822" s="135"/>
      <c r="N822" s="260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259"/>
      <c r="K823" s="133"/>
      <c r="L823" s="85"/>
      <c r="M823" s="135"/>
      <c r="N823" s="260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259"/>
      <c r="K824" s="133"/>
      <c r="L824" s="85"/>
      <c r="M824" s="135"/>
      <c r="N824" s="260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259"/>
      <c r="K825" s="133"/>
      <c r="L825" s="85"/>
      <c r="M825" s="135"/>
      <c r="N825" s="260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259"/>
      <c r="K826" s="133"/>
      <c r="L826" s="85"/>
      <c r="M826" s="135"/>
      <c r="N826" s="260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259"/>
      <c r="K827" s="133"/>
      <c r="L827" s="85"/>
      <c r="M827" s="135"/>
      <c r="N827" s="260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259"/>
      <c r="K828" s="133"/>
      <c r="L828" s="85"/>
      <c r="M828" s="135"/>
      <c r="N828" s="260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259"/>
      <c r="K829" s="133"/>
      <c r="L829" s="85"/>
      <c r="M829" s="135"/>
      <c r="N829" s="260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259"/>
      <c r="K830" s="133"/>
      <c r="L830" s="85"/>
      <c r="M830" s="135"/>
      <c r="N830" s="260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259"/>
      <c r="K831" s="133"/>
      <c r="L831" s="85"/>
      <c r="M831" s="135"/>
      <c r="N831" s="260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259"/>
      <c r="K832" s="133"/>
      <c r="L832" s="85"/>
      <c r="M832" s="135"/>
      <c r="N832" s="260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259"/>
      <c r="K833" s="133"/>
      <c r="L833" s="85"/>
      <c r="M833" s="135"/>
      <c r="N833" s="260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259"/>
      <c r="K834" s="133"/>
      <c r="L834" s="85"/>
      <c r="M834" s="135"/>
      <c r="N834" s="260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259"/>
      <c r="K835" s="133"/>
      <c r="L835" s="85"/>
      <c r="M835" s="135"/>
      <c r="N835" s="260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259"/>
      <c r="K836" s="133"/>
      <c r="L836" s="85"/>
      <c r="M836" s="135"/>
      <c r="N836" s="260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259"/>
      <c r="K837" s="133"/>
      <c r="L837" s="85"/>
      <c r="M837" s="135"/>
      <c r="N837" s="260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259"/>
      <c r="K838" s="133"/>
      <c r="L838" s="85"/>
      <c r="M838" s="135"/>
      <c r="N838" s="260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259"/>
      <c r="K839" s="133"/>
      <c r="L839" s="85"/>
      <c r="M839" s="135"/>
      <c r="N839" s="260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259"/>
      <c r="K840" s="133"/>
      <c r="L840" s="85"/>
      <c r="M840" s="135"/>
      <c r="N840" s="260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259"/>
      <c r="K841" s="133"/>
      <c r="L841" s="85"/>
      <c r="M841" s="135"/>
      <c r="N841" s="260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259"/>
      <c r="K842" s="133"/>
      <c r="L842" s="85"/>
      <c r="M842" s="135"/>
      <c r="N842" s="260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259"/>
      <c r="K843" s="133"/>
      <c r="L843" s="85"/>
      <c r="M843" s="135"/>
      <c r="N843" s="260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259"/>
      <c r="K844" s="133"/>
      <c r="L844" s="85"/>
      <c r="M844" s="135"/>
      <c r="N844" s="260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259"/>
      <c r="K845" s="133"/>
      <c r="L845" s="85"/>
      <c r="M845" s="135"/>
      <c r="N845" s="260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259"/>
      <c r="K846" s="133"/>
      <c r="L846" s="85"/>
      <c r="M846" s="135"/>
      <c r="N846" s="260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259"/>
      <c r="K847" s="133"/>
      <c r="L847" s="85"/>
      <c r="M847" s="135"/>
      <c r="N847" s="260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259"/>
      <c r="K848" s="133"/>
      <c r="L848" s="85"/>
      <c r="M848" s="135"/>
      <c r="N848" s="260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259"/>
      <c r="K849" s="133"/>
      <c r="L849" s="85"/>
      <c r="M849" s="135"/>
      <c r="N849" s="260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259"/>
      <c r="K850" s="133"/>
      <c r="L850" s="85"/>
      <c r="M850" s="135"/>
      <c r="N850" s="260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259"/>
      <c r="K851" s="133"/>
      <c r="L851" s="85"/>
      <c r="M851" s="135"/>
      <c r="N851" s="260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259"/>
      <c r="K852" s="133"/>
      <c r="L852" s="85"/>
      <c r="M852" s="135"/>
      <c r="N852" s="260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259"/>
      <c r="K853" s="133"/>
      <c r="L853" s="85"/>
      <c r="M853" s="135"/>
      <c r="N853" s="260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259"/>
      <c r="K854" s="133"/>
      <c r="L854" s="85"/>
      <c r="M854" s="135"/>
      <c r="N854" s="260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259"/>
      <c r="K855" s="133"/>
      <c r="L855" s="85"/>
      <c r="M855" s="135"/>
      <c r="N855" s="260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259"/>
      <c r="K856" s="133"/>
      <c r="L856" s="85"/>
      <c r="M856" s="135"/>
      <c r="N856" s="260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259"/>
      <c r="K857" s="133"/>
      <c r="L857" s="85"/>
      <c r="M857" s="135"/>
      <c r="N857" s="260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259"/>
      <c r="K858" s="133"/>
      <c r="L858" s="85"/>
      <c r="M858" s="135"/>
      <c r="N858" s="260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259"/>
      <c r="K859" s="133"/>
      <c r="L859" s="85"/>
      <c r="M859" s="135"/>
      <c r="N859" s="260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259"/>
      <c r="K860" s="133"/>
      <c r="L860" s="85"/>
      <c r="M860" s="135"/>
      <c r="N860" s="260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259"/>
      <c r="K861" s="133"/>
      <c r="L861" s="85"/>
      <c r="M861" s="135"/>
      <c r="N861" s="260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259"/>
      <c r="K862" s="133"/>
      <c r="L862" s="85"/>
      <c r="M862" s="135"/>
      <c r="N862" s="260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259"/>
      <c r="K863" s="133"/>
      <c r="L863" s="85"/>
      <c r="M863" s="135"/>
      <c r="N863" s="260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259"/>
      <c r="K864" s="133"/>
      <c r="L864" s="85"/>
      <c r="M864" s="135"/>
      <c r="N864" s="260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259"/>
      <c r="K865" s="133"/>
      <c r="L865" s="85"/>
      <c r="M865" s="135"/>
      <c r="N865" s="260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259"/>
      <c r="K866" s="133"/>
      <c r="L866" s="85"/>
      <c r="M866" s="135"/>
      <c r="N866" s="260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259"/>
      <c r="K867" s="133"/>
      <c r="L867" s="85"/>
      <c r="M867" s="135"/>
      <c r="N867" s="260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259"/>
      <c r="K868" s="133"/>
      <c r="L868" s="85"/>
      <c r="M868" s="135"/>
      <c r="N868" s="260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259"/>
      <c r="K869" s="133"/>
      <c r="L869" s="85"/>
      <c r="M869" s="135"/>
      <c r="N869" s="260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259"/>
      <c r="K870" s="133"/>
      <c r="L870" s="85"/>
      <c r="M870" s="135"/>
      <c r="N870" s="260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259"/>
      <c r="K871" s="133"/>
      <c r="L871" s="85"/>
      <c r="M871" s="135"/>
      <c r="N871" s="260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259"/>
      <c r="K872" s="133"/>
      <c r="L872" s="85"/>
      <c r="M872" s="135"/>
      <c r="N872" s="260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259"/>
      <c r="K873" s="133"/>
      <c r="L873" s="85"/>
      <c r="M873" s="135"/>
      <c r="N873" s="260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259"/>
      <c r="K874" s="133"/>
      <c r="L874" s="85"/>
      <c r="M874" s="135"/>
      <c r="N874" s="260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259"/>
      <c r="K875" s="133"/>
      <c r="L875" s="85"/>
      <c r="M875" s="135"/>
      <c r="N875" s="260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259"/>
      <c r="K876" s="133"/>
      <c r="L876" s="85"/>
      <c r="M876" s="135"/>
      <c r="N876" s="260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259"/>
      <c r="K877" s="133"/>
      <c r="L877" s="85"/>
      <c r="M877" s="135"/>
      <c r="N877" s="260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259"/>
      <c r="K878" s="133"/>
      <c r="L878" s="85"/>
      <c r="M878" s="135"/>
      <c r="N878" s="260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259"/>
      <c r="K879" s="133"/>
      <c r="L879" s="85"/>
      <c r="M879" s="135"/>
      <c r="N879" s="260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259"/>
      <c r="K880" s="133"/>
      <c r="L880" s="85"/>
      <c r="M880" s="135"/>
      <c r="N880" s="260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259"/>
      <c r="K881" s="133"/>
      <c r="L881" s="85"/>
      <c r="M881" s="135"/>
      <c r="N881" s="260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259"/>
      <c r="K882" s="133"/>
      <c r="L882" s="85"/>
      <c r="M882" s="135"/>
      <c r="N882" s="260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259"/>
      <c r="K883" s="133"/>
      <c r="L883" s="85"/>
      <c r="M883" s="135"/>
      <c r="N883" s="260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259"/>
      <c r="K884" s="133"/>
      <c r="L884" s="85"/>
      <c r="M884" s="135"/>
      <c r="N884" s="260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259"/>
      <c r="K885" s="133"/>
      <c r="L885" s="85"/>
      <c r="M885" s="135"/>
      <c r="N885" s="260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259"/>
      <c r="K886" s="133"/>
      <c r="L886" s="85"/>
      <c r="M886" s="135"/>
      <c r="N886" s="260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259"/>
      <c r="K887" s="133"/>
      <c r="L887" s="85"/>
      <c r="M887" s="135"/>
      <c r="N887" s="260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259"/>
      <c r="K888" s="133"/>
      <c r="L888" s="85"/>
      <c r="M888" s="135"/>
      <c r="N888" s="260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259"/>
      <c r="K889" s="133"/>
      <c r="L889" s="85"/>
      <c r="M889" s="135"/>
      <c r="N889" s="260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259"/>
      <c r="K890" s="133"/>
      <c r="L890" s="85"/>
      <c r="M890" s="135"/>
      <c r="N890" s="260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259"/>
      <c r="K891" s="133"/>
      <c r="L891" s="85"/>
      <c r="M891" s="135"/>
      <c r="N891" s="260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259"/>
      <c r="K892" s="133"/>
      <c r="L892" s="85"/>
      <c r="M892" s="135"/>
      <c r="N892" s="260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259"/>
      <c r="K893" s="133"/>
      <c r="L893" s="85"/>
      <c r="M893" s="135"/>
      <c r="N893" s="260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259"/>
      <c r="K894" s="133"/>
      <c r="L894" s="85"/>
      <c r="M894" s="135"/>
      <c r="N894" s="260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259"/>
      <c r="K895" s="133"/>
      <c r="L895" s="85"/>
      <c r="M895" s="135"/>
      <c r="N895" s="260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259"/>
      <c r="K896" s="133"/>
      <c r="L896" s="85"/>
      <c r="M896" s="135"/>
      <c r="N896" s="260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259"/>
      <c r="K897" s="133"/>
      <c r="L897" s="85"/>
      <c r="M897" s="135"/>
      <c r="N897" s="260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259"/>
      <c r="K898" s="133"/>
      <c r="L898" s="85"/>
      <c r="M898" s="135"/>
      <c r="N898" s="260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259"/>
      <c r="K899" s="133"/>
      <c r="L899" s="85"/>
      <c r="M899" s="135"/>
      <c r="N899" s="260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259"/>
      <c r="K900" s="133"/>
      <c r="L900" s="85"/>
      <c r="M900" s="135"/>
      <c r="N900" s="260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259"/>
      <c r="K901" s="133"/>
      <c r="L901" s="85"/>
      <c r="M901" s="135"/>
      <c r="N901" s="260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259"/>
      <c r="K902" s="133"/>
      <c r="L902" s="85"/>
      <c r="M902" s="135"/>
      <c r="N902" s="260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259"/>
      <c r="K903" s="133"/>
      <c r="L903" s="85"/>
      <c r="M903" s="135"/>
      <c r="N903" s="260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259"/>
      <c r="K904" s="133"/>
      <c r="L904" s="85"/>
      <c r="M904" s="135"/>
      <c r="N904" s="260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259"/>
      <c r="K905" s="133"/>
      <c r="L905" s="85"/>
      <c r="M905" s="135"/>
      <c r="N905" s="260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259"/>
      <c r="K906" s="133"/>
      <c r="L906" s="85"/>
      <c r="M906" s="135"/>
      <c r="N906" s="260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259"/>
      <c r="K907" s="133"/>
      <c r="L907" s="85"/>
      <c r="M907" s="135"/>
      <c r="N907" s="260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259"/>
      <c r="K908" s="133"/>
      <c r="L908" s="85"/>
      <c r="M908" s="135"/>
      <c r="N908" s="260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259"/>
      <c r="K909" s="133"/>
      <c r="L909" s="85"/>
      <c r="M909" s="135"/>
      <c r="N909" s="260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259"/>
      <c r="K910" s="133"/>
      <c r="L910" s="85"/>
      <c r="M910" s="135"/>
      <c r="N910" s="260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259"/>
      <c r="K911" s="133"/>
      <c r="L911" s="85"/>
      <c r="M911" s="135"/>
      <c r="N911" s="260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259"/>
      <c r="K912" s="133"/>
      <c r="L912" s="85"/>
      <c r="M912" s="135"/>
      <c r="N912" s="260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259"/>
      <c r="K913" s="133"/>
      <c r="L913" s="85"/>
      <c r="M913" s="135"/>
      <c r="N913" s="260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259"/>
      <c r="K914" s="133"/>
      <c r="L914" s="85"/>
      <c r="M914" s="135"/>
      <c r="N914" s="260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259"/>
      <c r="K915" s="133"/>
      <c r="L915" s="85"/>
      <c r="M915" s="135"/>
      <c r="N915" s="260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259"/>
      <c r="K916" s="133"/>
      <c r="L916" s="85"/>
      <c r="M916" s="135"/>
      <c r="N916" s="260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259"/>
      <c r="K917" s="133"/>
      <c r="L917" s="85"/>
      <c r="M917" s="135"/>
      <c r="N917" s="260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259"/>
      <c r="K918" s="133"/>
      <c r="L918" s="85"/>
      <c r="M918" s="135"/>
      <c r="N918" s="260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259"/>
      <c r="K919" s="133"/>
      <c r="L919" s="85"/>
      <c r="M919" s="135"/>
      <c r="N919" s="260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259"/>
      <c r="K920" s="133"/>
      <c r="L920" s="85"/>
      <c r="M920" s="135"/>
      <c r="N920" s="260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259"/>
      <c r="K921" s="133"/>
      <c r="L921" s="85"/>
      <c r="M921" s="135"/>
      <c r="N921" s="260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259"/>
      <c r="K922" s="133"/>
      <c r="L922" s="85"/>
      <c r="M922" s="135"/>
      <c r="N922" s="260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259"/>
      <c r="K923" s="133"/>
      <c r="L923" s="85"/>
      <c r="M923" s="135"/>
      <c r="N923" s="260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259"/>
      <c r="K924" s="133"/>
      <c r="L924" s="85"/>
      <c r="M924" s="135"/>
      <c r="N924" s="260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259"/>
      <c r="K925" s="133"/>
      <c r="L925" s="85"/>
      <c r="M925" s="135"/>
      <c r="N925" s="260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259"/>
      <c r="K926" s="133"/>
      <c r="L926" s="85"/>
      <c r="M926" s="135"/>
      <c r="N926" s="260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259"/>
      <c r="K927" s="133"/>
      <c r="L927" s="85"/>
      <c r="M927" s="135"/>
      <c r="N927" s="260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259"/>
      <c r="K928" s="133"/>
      <c r="L928" s="85"/>
      <c r="M928" s="135"/>
      <c r="N928" s="260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259"/>
      <c r="K929" s="133"/>
      <c r="L929" s="85"/>
      <c r="M929" s="135"/>
      <c r="N929" s="260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259"/>
      <c r="K930" s="133"/>
      <c r="L930" s="85"/>
      <c r="M930" s="135"/>
      <c r="N930" s="260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259"/>
      <c r="K931" s="133"/>
      <c r="L931" s="85"/>
      <c r="M931" s="135"/>
      <c r="N931" s="260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259"/>
      <c r="K932" s="133"/>
      <c r="L932" s="85"/>
      <c r="M932" s="135"/>
      <c r="N932" s="260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259"/>
      <c r="K933" s="133"/>
      <c r="L933" s="85"/>
      <c r="M933" s="135"/>
      <c r="N933" s="260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259"/>
      <c r="K934" s="133"/>
      <c r="L934" s="85"/>
      <c r="M934" s="135"/>
      <c r="N934" s="260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259"/>
      <c r="K935" s="133"/>
      <c r="L935" s="85"/>
      <c r="M935" s="135"/>
      <c r="N935" s="260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259"/>
      <c r="K936" s="133"/>
      <c r="L936" s="85"/>
      <c r="M936" s="135"/>
      <c r="N936" s="260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259"/>
      <c r="K937" s="133"/>
      <c r="L937" s="85"/>
      <c r="M937" s="135"/>
      <c r="N937" s="260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259"/>
      <c r="K938" s="133"/>
      <c r="L938" s="85"/>
      <c r="M938" s="135"/>
      <c r="N938" s="260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259"/>
      <c r="K939" s="133"/>
      <c r="L939" s="85"/>
      <c r="M939" s="135"/>
      <c r="N939" s="260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259"/>
      <c r="K940" s="133"/>
      <c r="L940" s="85"/>
      <c r="M940" s="135"/>
      <c r="N940" s="260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259"/>
      <c r="K941" s="133"/>
      <c r="L941" s="85"/>
      <c r="M941" s="135"/>
      <c r="N941" s="260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259"/>
      <c r="K942" s="133"/>
      <c r="L942" s="85"/>
      <c r="M942" s="135"/>
      <c r="N942" s="260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259"/>
      <c r="K943" s="133"/>
      <c r="L943" s="85"/>
      <c r="M943" s="135"/>
      <c r="N943" s="260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259"/>
      <c r="K944" s="133"/>
      <c r="L944" s="85"/>
      <c r="M944" s="135"/>
      <c r="N944" s="260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259"/>
      <c r="K945" s="133"/>
      <c r="L945" s="85"/>
      <c r="M945" s="135"/>
      <c r="N945" s="260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259"/>
      <c r="K946" s="133"/>
      <c r="L946" s="85"/>
      <c r="M946" s="135"/>
      <c r="N946" s="260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259"/>
      <c r="K947" s="133"/>
      <c r="L947" s="85"/>
      <c r="M947" s="135"/>
      <c r="N947" s="260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259"/>
      <c r="K948" s="133"/>
      <c r="L948" s="85"/>
      <c r="M948" s="135"/>
      <c r="N948" s="260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259"/>
      <c r="K949" s="133"/>
      <c r="L949" s="85"/>
      <c r="M949" s="135"/>
      <c r="N949" s="260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259"/>
      <c r="K950" s="133"/>
      <c r="L950" s="85"/>
      <c r="M950" s="135"/>
      <c r="N950" s="260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259"/>
      <c r="K951" s="133"/>
      <c r="L951" s="85"/>
      <c r="M951" s="135"/>
      <c r="N951" s="260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259"/>
      <c r="K952" s="133"/>
      <c r="L952" s="85"/>
      <c r="M952" s="135"/>
      <c r="N952" s="260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259"/>
      <c r="K953" s="133"/>
      <c r="L953" s="85"/>
      <c r="M953" s="135"/>
      <c r="N953" s="260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259"/>
      <c r="K954" s="133"/>
      <c r="L954" s="85"/>
      <c r="M954" s="135"/>
      <c r="N954" s="260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259"/>
      <c r="K955" s="133"/>
      <c r="L955" s="85"/>
      <c r="M955" s="135"/>
      <c r="N955" s="260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259"/>
      <c r="K956" s="133"/>
      <c r="L956" s="85"/>
      <c r="M956" s="135"/>
      <c r="N956" s="260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259"/>
      <c r="K957" s="133"/>
      <c r="L957" s="85"/>
      <c r="M957" s="135"/>
      <c r="N957" s="260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259"/>
      <c r="K958" s="133"/>
      <c r="L958" s="85"/>
      <c r="M958" s="135"/>
      <c r="N958" s="260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259"/>
      <c r="K959" s="133"/>
      <c r="L959" s="85"/>
      <c r="M959" s="135"/>
      <c r="N959" s="260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259"/>
      <c r="K960" s="133"/>
      <c r="L960" s="85"/>
      <c r="M960" s="135"/>
      <c r="N960" s="260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259"/>
      <c r="K961" s="133"/>
      <c r="L961" s="85"/>
      <c r="M961" s="135"/>
      <c r="N961" s="260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259"/>
      <c r="K962" s="133"/>
      <c r="L962" s="85"/>
      <c r="M962" s="135"/>
      <c r="N962" s="260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259"/>
      <c r="K963" s="133"/>
      <c r="L963" s="85"/>
      <c r="M963" s="135"/>
      <c r="N963" s="260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259"/>
      <c r="K964" s="133"/>
      <c r="L964" s="85"/>
      <c r="M964" s="135"/>
      <c r="N964" s="260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259"/>
      <c r="K965" s="133"/>
      <c r="L965" s="85"/>
      <c r="M965" s="135"/>
      <c r="N965" s="260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259"/>
      <c r="K966" s="133"/>
      <c r="L966" s="85"/>
      <c r="M966" s="135"/>
      <c r="N966" s="260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259"/>
      <c r="K967" s="133"/>
      <c r="L967" s="85"/>
      <c r="M967" s="135"/>
      <c r="N967" s="260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259"/>
      <c r="K968" s="133"/>
      <c r="L968" s="85"/>
      <c r="M968" s="135"/>
      <c r="N968" s="260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259"/>
      <c r="K969" s="133"/>
      <c r="L969" s="85"/>
      <c r="M969" s="135"/>
      <c r="N969" s="260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259"/>
      <c r="K970" s="133"/>
      <c r="L970" s="85"/>
      <c r="M970" s="135"/>
      <c r="N970" s="260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259"/>
      <c r="K971" s="133"/>
      <c r="L971" s="85"/>
      <c r="M971" s="135"/>
      <c r="N971" s="260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259"/>
      <c r="K972" s="133"/>
      <c r="L972" s="85"/>
      <c r="M972" s="135"/>
      <c r="N972" s="260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259"/>
      <c r="K973" s="133"/>
      <c r="L973" s="85"/>
      <c r="M973" s="135"/>
      <c r="N973" s="260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259"/>
      <c r="K974" s="133"/>
      <c r="L974" s="85"/>
      <c r="M974" s="135"/>
      <c r="N974" s="260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259"/>
      <c r="K975" s="133"/>
      <c r="L975" s="85"/>
      <c r="M975" s="135"/>
      <c r="N975" s="260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259"/>
      <c r="K976" s="133"/>
      <c r="L976" s="85"/>
      <c r="M976" s="135"/>
      <c r="N976" s="260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259"/>
      <c r="K977" s="133"/>
      <c r="L977" s="85"/>
      <c r="M977" s="135"/>
      <c r="N977" s="260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259"/>
      <c r="K978" s="133"/>
      <c r="L978" s="85"/>
      <c r="M978" s="135"/>
      <c r="N978" s="260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259"/>
      <c r="K979" s="133"/>
      <c r="L979" s="85"/>
      <c r="M979" s="135"/>
      <c r="N979" s="260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259"/>
      <c r="K980" s="133"/>
      <c r="L980" s="85"/>
      <c r="M980" s="135"/>
      <c r="N980" s="260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259"/>
      <c r="K981" s="133"/>
      <c r="L981" s="85"/>
      <c r="M981" s="135"/>
      <c r="N981" s="260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259"/>
      <c r="K982" s="133"/>
      <c r="L982" s="85"/>
      <c r="M982" s="135"/>
      <c r="N982" s="260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259"/>
      <c r="K983" s="133"/>
      <c r="L983" s="85"/>
      <c r="M983" s="135"/>
      <c r="N983" s="260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259"/>
      <c r="K984" s="133"/>
      <c r="L984" s="85"/>
      <c r="M984" s="135"/>
      <c r="N984" s="260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259"/>
      <c r="K985" s="133"/>
      <c r="L985" s="85"/>
      <c r="M985" s="135"/>
      <c r="N985" s="260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259"/>
      <c r="K986" s="133"/>
      <c r="L986" s="85"/>
      <c r="M986" s="135"/>
      <c r="N986" s="260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259"/>
      <c r="K987" s="133"/>
      <c r="L987" s="85"/>
      <c r="M987" s="135"/>
      <c r="N987" s="260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259"/>
      <c r="K988" s="133"/>
      <c r="L988" s="85"/>
      <c r="M988" s="135"/>
      <c r="N988" s="260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259"/>
      <c r="K989" s="133"/>
      <c r="L989" s="85"/>
      <c r="M989" s="135"/>
      <c r="N989" s="260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259"/>
      <c r="K990" s="133"/>
      <c r="L990" s="85"/>
      <c r="M990" s="135"/>
      <c r="N990" s="260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259"/>
      <c r="K991" s="133"/>
      <c r="L991" s="85"/>
      <c r="M991" s="135"/>
      <c r="N991" s="260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259"/>
      <c r="K992" s="133"/>
      <c r="L992" s="85"/>
      <c r="M992" s="135"/>
      <c r="N992" s="260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259"/>
      <c r="K993" s="133"/>
      <c r="L993" s="85"/>
      <c r="M993" s="135"/>
      <c r="N993" s="260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259"/>
      <c r="K994" s="133"/>
      <c r="L994" s="85"/>
      <c r="M994" s="135"/>
      <c r="N994" s="260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259"/>
      <c r="K995" s="133"/>
      <c r="L995" s="85"/>
      <c r="M995" s="135"/>
      <c r="N995" s="260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259"/>
      <c r="K996" s="133"/>
      <c r="L996" s="85"/>
      <c r="M996" s="135"/>
      <c r="N996" s="260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259"/>
      <c r="K997" s="133"/>
      <c r="L997" s="85"/>
      <c r="M997" s="135"/>
      <c r="N997" s="260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259"/>
      <c r="K998" s="133"/>
      <c r="L998" s="85"/>
      <c r="M998" s="135"/>
      <c r="N998" s="260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259"/>
      <c r="K999" s="133"/>
      <c r="L999" s="85"/>
      <c r="M999" s="135"/>
      <c r="N999" s="260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259"/>
      <c r="K1000" s="133"/>
      <c r="L1000" s="85"/>
      <c r="M1000" s="135"/>
      <c r="N1000" s="260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autoFilter ref="$A$1:$AB$1000"/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1" t="s">
        <v>0</v>
      </c>
      <c r="B1" s="2"/>
      <c r="C1" s="3" t="s">
        <v>2556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257"/>
      <c r="K2" s="11"/>
      <c r="L2" s="11"/>
      <c r="M2" s="13"/>
      <c r="N2" s="258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259"/>
      <c r="K3" s="16"/>
      <c r="L3" s="16"/>
      <c r="M3" s="18"/>
      <c r="N3" s="260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2616</v>
      </c>
      <c r="D4" s="21"/>
      <c r="E4" s="20"/>
      <c r="F4" s="21"/>
      <c r="G4" s="23" t="s">
        <v>2617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6"/>
      <c r="T5" s="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261" t="s">
        <v>2233</v>
      </c>
      <c r="K6" s="47" t="s">
        <v>12</v>
      </c>
      <c r="L6" s="48" t="s">
        <v>13</v>
      </c>
      <c r="M6" s="49" t="s">
        <v>10</v>
      </c>
      <c r="N6" s="262" t="s">
        <v>2233</v>
      </c>
      <c r="O6" s="51" t="s">
        <v>12</v>
      </c>
      <c r="P6" s="51" t="s">
        <v>13</v>
      </c>
      <c r="Q6" s="30"/>
      <c r="R6" s="39"/>
      <c r="S6" s="6"/>
      <c r="T6" s="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817</v>
      </c>
      <c r="D7" s="54" t="s">
        <v>16</v>
      </c>
      <c r="E7" s="29"/>
      <c r="F7" s="30"/>
      <c r="G7" s="55">
        <v>1.0</v>
      </c>
      <c r="H7" s="241">
        <v>45469.0</v>
      </c>
      <c r="I7" s="57" t="s">
        <v>2600</v>
      </c>
      <c r="J7" s="263">
        <v>100.0</v>
      </c>
      <c r="K7" s="59"/>
      <c r="L7" s="60" t="s">
        <v>2618</v>
      </c>
      <c r="M7" s="61"/>
      <c r="N7" s="264"/>
      <c r="O7" s="63"/>
      <c r="P7" s="205"/>
      <c r="Q7" s="41"/>
      <c r="R7" s="39"/>
      <c r="S7" s="6"/>
      <c r="T7" s="27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45474.0</v>
      </c>
      <c r="I8" s="68" t="s">
        <v>2600</v>
      </c>
      <c r="J8" s="265">
        <v>4900.0</v>
      </c>
      <c r="K8" s="70"/>
      <c r="L8" s="88" t="s">
        <v>2619</v>
      </c>
      <c r="M8" s="72"/>
      <c r="N8" s="266"/>
      <c r="O8" s="74"/>
      <c r="P8" s="75"/>
      <c r="Q8" s="41"/>
      <c r="R8" s="39"/>
      <c r="S8" s="6"/>
      <c r="T8" s="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8000</v>
      </c>
      <c r="D9" s="30"/>
      <c r="E9" s="29"/>
      <c r="F9" s="30"/>
      <c r="G9" s="66">
        <v>3.0</v>
      </c>
      <c r="H9" s="153">
        <v>45474.0</v>
      </c>
      <c r="I9" s="68"/>
      <c r="J9" s="265"/>
      <c r="K9" s="70"/>
      <c r="L9" s="88"/>
      <c r="M9" s="72" t="s">
        <v>20</v>
      </c>
      <c r="N9" s="266">
        <v>300.0</v>
      </c>
      <c r="O9" s="72" t="s">
        <v>2620</v>
      </c>
      <c r="P9" s="94" t="s">
        <v>603</v>
      </c>
      <c r="Q9" s="41"/>
      <c r="R9" s="39"/>
      <c r="S9" s="27"/>
      <c r="T9" s="27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45479.0</v>
      </c>
      <c r="I10" s="84"/>
      <c r="J10" s="259"/>
      <c r="K10" s="85"/>
      <c r="L10" s="86"/>
      <c r="M10" s="72" t="s">
        <v>20</v>
      </c>
      <c r="N10" s="266">
        <v>1380.0</v>
      </c>
      <c r="O10" s="74" t="s">
        <v>2621</v>
      </c>
      <c r="P10" s="94" t="s">
        <v>2622</v>
      </c>
      <c r="Q10" s="41"/>
      <c r="R10" s="39"/>
      <c r="S10" s="6"/>
      <c r="T10" s="6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5885.64</v>
      </c>
      <c r="D11" s="30"/>
      <c r="E11" s="29"/>
      <c r="F11" s="30"/>
      <c r="G11" s="66">
        <v>5.0</v>
      </c>
      <c r="H11" s="153">
        <v>45481.0</v>
      </c>
      <c r="I11" s="68"/>
      <c r="J11" s="265"/>
      <c r="K11" s="87"/>
      <c r="L11" s="71"/>
      <c r="M11" s="72" t="s">
        <v>20</v>
      </c>
      <c r="N11" s="266">
        <v>300.0</v>
      </c>
      <c r="O11" s="72" t="s">
        <v>2620</v>
      </c>
      <c r="P11" s="94" t="s">
        <v>2524</v>
      </c>
      <c r="Q11" s="41"/>
      <c r="R11" s="39"/>
      <c r="S11" s="6"/>
      <c r="T11" s="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45484.0</v>
      </c>
      <c r="I12" s="68"/>
      <c r="J12" s="265"/>
      <c r="K12" s="87"/>
      <c r="L12" s="71"/>
      <c r="M12" s="72" t="s">
        <v>20</v>
      </c>
      <c r="N12" s="266">
        <v>300.0</v>
      </c>
      <c r="O12" s="72" t="s">
        <v>2620</v>
      </c>
      <c r="P12" s="94" t="s">
        <v>2623</v>
      </c>
      <c r="Q12" s="41"/>
      <c r="R12" s="39"/>
      <c r="S12" s="6"/>
      <c r="T12" s="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2114.36</v>
      </c>
      <c r="D13" s="30"/>
      <c r="E13" s="29"/>
      <c r="F13" s="30"/>
      <c r="G13" s="66">
        <v>7.0</v>
      </c>
      <c r="H13" s="153">
        <v>45484.0</v>
      </c>
      <c r="I13" s="68"/>
      <c r="J13" s="265"/>
      <c r="K13" s="87"/>
      <c r="L13" s="71"/>
      <c r="M13" s="72" t="s">
        <v>20</v>
      </c>
      <c r="N13" s="266">
        <v>300.0</v>
      </c>
      <c r="O13" s="72" t="s">
        <v>2620</v>
      </c>
      <c r="P13" s="94" t="s">
        <v>343</v>
      </c>
      <c r="Q13" s="41"/>
      <c r="R13" s="39"/>
      <c r="S13" s="27"/>
      <c r="T13" s="27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45488.0</v>
      </c>
      <c r="I14" s="84"/>
      <c r="J14" s="259"/>
      <c r="K14" s="85"/>
      <c r="L14" s="86"/>
      <c r="M14" s="72" t="s">
        <v>20</v>
      </c>
      <c r="N14" s="266">
        <v>300.0</v>
      </c>
      <c r="O14" s="72" t="s">
        <v>2620</v>
      </c>
      <c r="P14" s="94" t="s">
        <v>2305</v>
      </c>
      <c r="Q14" s="41"/>
      <c r="R14" s="39"/>
      <c r="S14" s="6"/>
      <c r="T14" s="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45490.0</v>
      </c>
      <c r="I15" s="68"/>
      <c r="J15" s="265"/>
      <c r="K15" s="87"/>
      <c r="L15" s="71"/>
      <c r="M15" s="72" t="s">
        <v>20</v>
      </c>
      <c r="N15" s="266">
        <v>300.0</v>
      </c>
      <c r="O15" s="72" t="s">
        <v>2620</v>
      </c>
      <c r="P15" s="94" t="s">
        <v>2624</v>
      </c>
      <c r="Q15" s="41"/>
      <c r="R15" s="39"/>
      <c r="S15" s="6"/>
      <c r="T15" s="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45491.0</v>
      </c>
      <c r="I16" s="154"/>
      <c r="J16" s="259"/>
      <c r="K16" s="92"/>
      <c r="L16" s="173"/>
      <c r="M16" s="72" t="s">
        <v>20</v>
      </c>
      <c r="N16" s="266">
        <v>300.0</v>
      </c>
      <c r="O16" s="72" t="s">
        <v>2620</v>
      </c>
      <c r="P16" s="94" t="s">
        <v>2625</v>
      </c>
      <c r="Q16" s="41"/>
      <c r="R16" s="39"/>
      <c r="S16" s="27"/>
      <c r="T16" s="27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45492.0</v>
      </c>
      <c r="I17" s="154"/>
      <c r="J17" s="259"/>
      <c r="K17" s="92"/>
      <c r="L17" s="173"/>
      <c r="M17" s="72" t="s">
        <v>20</v>
      </c>
      <c r="N17" s="266">
        <v>375.0</v>
      </c>
      <c r="O17" s="74" t="s">
        <v>2500</v>
      </c>
      <c r="P17" s="94" t="s">
        <v>2626</v>
      </c>
      <c r="Q17" s="41"/>
      <c r="R17" s="39"/>
      <c r="S17" s="6"/>
      <c r="T17" s="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45494.0</v>
      </c>
      <c r="I18" s="154"/>
      <c r="J18" s="259"/>
      <c r="K18" s="92"/>
      <c r="L18" s="173"/>
      <c r="M18" s="72" t="s">
        <v>20</v>
      </c>
      <c r="N18" s="266">
        <v>300.0</v>
      </c>
      <c r="O18" s="72" t="s">
        <v>2620</v>
      </c>
      <c r="P18" s="94" t="s">
        <v>2627</v>
      </c>
      <c r="Q18" s="41"/>
      <c r="R18" s="39"/>
      <c r="S18" s="6"/>
      <c r="T18" s="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45494.0</v>
      </c>
      <c r="I19" s="154"/>
      <c r="J19" s="259"/>
      <c r="K19" s="93"/>
      <c r="L19" s="155"/>
      <c r="M19" s="72" t="s">
        <v>20</v>
      </c>
      <c r="N19" s="266">
        <v>375.0</v>
      </c>
      <c r="O19" s="74" t="s">
        <v>2500</v>
      </c>
      <c r="P19" s="94" t="s">
        <v>2318</v>
      </c>
      <c r="Q19" s="41"/>
      <c r="R19" s="39"/>
      <c r="S19" s="27"/>
      <c r="T19" s="27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45495.0</v>
      </c>
      <c r="I20" s="154"/>
      <c r="J20" s="259"/>
      <c r="K20" s="93"/>
      <c r="L20" s="155"/>
      <c r="M20" s="72" t="s">
        <v>20</v>
      </c>
      <c r="N20" s="266">
        <v>300.0</v>
      </c>
      <c r="O20" s="72" t="s">
        <v>2620</v>
      </c>
      <c r="P20" s="94" t="s">
        <v>2211</v>
      </c>
      <c r="Q20" s="41"/>
      <c r="R20" s="39"/>
      <c r="S20" s="6"/>
      <c r="T20" s="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8000</v>
      </c>
      <c r="D21" s="30"/>
      <c r="E21" s="29"/>
      <c r="F21" s="30"/>
      <c r="G21" s="66">
        <v>15.0</v>
      </c>
      <c r="H21" s="153">
        <v>45496.0</v>
      </c>
      <c r="I21" s="154"/>
      <c r="J21" s="259"/>
      <c r="K21" s="93"/>
      <c r="L21" s="155"/>
      <c r="M21" s="72" t="s">
        <v>20</v>
      </c>
      <c r="N21" s="266">
        <v>300.0</v>
      </c>
      <c r="O21" s="72" t="s">
        <v>2620</v>
      </c>
      <c r="P21" s="94" t="s">
        <v>2628</v>
      </c>
      <c r="Q21" s="41"/>
      <c r="R21" s="39"/>
      <c r="S21" s="6"/>
      <c r="T21" s="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45496.0</v>
      </c>
      <c r="I22" s="68" t="s">
        <v>2600</v>
      </c>
      <c r="J22" s="265">
        <v>1000.0</v>
      </c>
      <c r="K22" s="93"/>
      <c r="L22" s="88" t="s">
        <v>66</v>
      </c>
      <c r="M22" s="72"/>
      <c r="N22" s="260"/>
      <c r="O22" s="74"/>
      <c r="P22" s="75"/>
      <c r="Q22" s="41"/>
      <c r="R22" s="39"/>
      <c r="S22" s="27"/>
      <c r="T22" s="27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5885.64</v>
      </c>
      <c r="D23" s="30"/>
      <c r="E23" s="29"/>
      <c r="F23" s="30"/>
      <c r="G23" s="66">
        <v>17.0</v>
      </c>
      <c r="H23" s="153">
        <v>45499.0</v>
      </c>
      <c r="I23" s="68"/>
      <c r="J23" s="265"/>
      <c r="K23" s="87"/>
      <c r="L23" s="71"/>
      <c r="M23" s="72" t="s">
        <v>20</v>
      </c>
      <c r="N23" s="266">
        <v>300.0</v>
      </c>
      <c r="O23" s="72" t="s">
        <v>2620</v>
      </c>
      <c r="P23" s="94" t="s">
        <v>2629</v>
      </c>
      <c r="Q23" s="41"/>
      <c r="R23" s="39"/>
      <c r="S23" s="6"/>
      <c r="T23" s="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45525.0</v>
      </c>
      <c r="I24" s="68"/>
      <c r="J24" s="265"/>
      <c r="K24" s="85"/>
      <c r="L24" s="86"/>
      <c r="M24" s="72" t="s">
        <v>20</v>
      </c>
      <c r="N24" s="266">
        <v>152.81</v>
      </c>
      <c r="O24" s="74" t="s">
        <v>2630</v>
      </c>
      <c r="P24" s="94" t="s">
        <v>2631</v>
      </c>
      <c r="Q24" s="41"/>
      <c r="R24" s="39"/>
      <c r="S24" s="6"/>
      <c r="T24" s="6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2114.36</v>
      </c>
      <c r="D25" s="30"/>
      <c r="E25" s="29"/>
      <c r="F25" s="30"/>
      <c r="G25" s="66">
        <v>19.0</v>
      </c>
      <c r="H25" s="153">
        <v>45527.0</v>
      </c>
      <c r="I25" s="68"/>
      <c r="J25" s="265"/>
      <c r="K25" s="70"/>
      <c r="L25" s="88"/>
      <c r="M25" s="72" t="s">
        <v>20</v>
      </c>
      <c r="N25" s="266">
        <v>300.0</v>
      </c>
      <c r="O25" s="72" t="s">
        <v>2620</v>
      </c>
      <c r="P25" s="94" t="s">
        <v>2603</v>
      </c>
      <c r="Q25" s="41"/>
      <c r="R25" s="39"/>
      <c r="S25" s="27"/>
      <c r="T25" s="27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45530.0</v>
      </c>
      <c r="I26" s="68" t="s">
        <v>2600</v>
      </c>
      <c r="J26" s="265">
        <v>2000.0</v>
      </c>
      <c r="K26" s="70"/>
      <c r="L26" s="71">
        <v>0.8166666666666667</v>
      </c>
      <c r="M26" s="72"/>
      <c r="N26" s="266"/>
      <c r="O26" s="74"/>
      <c r="P26" s="94"/>
      <c r="Q26" s="41"/>
      <c r="R26" s="39"/>
      <c r="S26" s="6"/>
      <c r="T26" s="6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45532.0</v>
      </c>
      <c r="I27" s="68"/>
      <c r="J27" s="265"/>
      <c r="K27" s="70"/>
      <c r="L27" s="71"/>
      <c r="M27" s="72" t="s">
        <v>20</v>
      </c>
      <c r="N27" s="266">
        <v>1.48</v>
      </c>
      <c r="O27" s="74" t="s">
        <v>2120</v>
      </c>
      <c r="P27" s="75">
        <v>0.5347222222222222</v>
      </c>
      <c r="Q27" s="41"/>
      <c r="R27" s="39"/>
      <c r="S27" s="6"/>
      <c r="T27" s="6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45533.0</v>
      </c>
      <c r="I28" s="68"/>
      <c r="J28" s="265"/>
      <c r="K28" s="85"/>
      <c r="L28" s="86"/>
      <c r="M28" s="72" t="s">
        <v>20</v>
      </c>
      <c r="N28" s="266">
        <v>1.35</v>
      </c>
      <c r="O28" s="74" t="s">
        <v>2120</v>
      </c>
      <c r="P28" s="75">
        <v>0.5736111111111111</v>
      </c>
      <c r="Q28" s="41"/>
      <c r="R28" s="39"/>
      <c r="S28" s="27"/>
      <c r="T28" s="27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265"/>
      <c r="K29" s="70"/>
      <c r="L29" s="71"/>
      <c r="M29" s="72"/>
      <c r="N29" s="266"/>
      <c r="O29" s="74"/>
      <c r="P29" s="75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265"/>
      <c r="K30" s="85"/>
      <c r="L30" s="86"/>
      <c r="M30" s="72"/>
      <c r="N30" s="266"/>
      <c r="O30" s="74"/>
      <c r="P30" s="75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265"/>
      <c r="K31" s="70"/>
      <c r="L31" s="88"/>
      <c r="M31" s="72"/>
      <c r="N31" s="266"/>
      <c r="O31" s="74"/>
      <c r="P31" s="75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259"/>
      <c r="K32" s="85"/>
      <c r="L32" s="86"/>
      <c r="M32" s="72"/>
      <c r="N32" s="266"/>
      <c r="O32" s="74"/>
      <c r="P32" s="75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265"/>
      <c r="K33" s="70"/>
      <c r="L33" s="71"/>
      <c r="M33" s="72"/>
      <c r="N33" s="266"/>
      <c r="O33" s="74"/>
      <c r="P33" s="75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265"/>
      <c r="K34" s="87"/>
      <c r="L34" s="71"/>
      <c r="M34" s="72"/>
      <c r="N34" s="266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265"/>
      <c r="K35" s="85"/>
      <c r="L35" s="71"/>
      <c r="M35" s="72"/>
      <c r="N35" s="266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84"/>
      <c r="J36" s="259"/>
      <c r="K36" s="85"/>
      <c r="L36" s="86"/>
      <c r="M36" s="72"/>
      <c r="N36" s="266"/>
      <c r="O36" s="74"/>
      <c r="P36" s="75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265"/>
      <c r="K37" s="85"/>
      <c r="L37" s="86"/>
      <c r="M37" s="72"/>
      <c r="N37" s="266"/>
      <c r="O37" s="74"/>
      <c r="P37" s="75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265"/>
      <c r="K38" s="85"/>
      <c r="L38" s="86"/>
      <c r="M38" s="72"/>
      <c r="N38" s="266"/>
      <c r="O38" s="74"/>
      <c r="P38" s="75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265"/>
      <c r="K39" s="70"/>
      <c r="L39" s="88"/>
      <c r="M39" s="72"/>
      <c r="N39" s="266"/>
      <c r="O39" s="74"/>
      <c r="P39" s="75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265"/>
      <c r="K40" s="70"/>
      <c r="L40" s="88"/>
      <c r="M40" s="72"/>
      <c r="N40" s="266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265"/>
      <c r="K41" s="70"/>
      <c r="L41" s="88"/>
      <c r="M41" s="72"/>
      <c r="N41" s="266"/>
      <c r="O41" s="74"/>
      <c r="P41" s="75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265"/>
      <c r="K42" s="70"/>
      <c r="L42" s="88"/>
      <c r="M42" s="72"/>
      <c r="N42" s="266"/>
      <c r="O42" s="74"/>
      <c r="P42" s="75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265"/>
      <c r="K43" s="87"/>
      <c r="L43" s="71"/>
      <c r="M43" s="72"/>
      <c r="N43" s="266"/>
      <c r="O43" s="74"/>
      <c r="P43" s="75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259"/>
      <c r="K44" s="85"/>
      <c r="L44" s="86"/>
      <c r="M44" s="72"/>
      <c r="N44" s="266"/>
      <c r="O44" s="74"/>
      <c r="P44" s="75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265"/>
      <c r="K45" s="85"/>
      <c r="L45" s="86"/>
      <c r="M45" s="72"/>
      <c r="N45" s="266"/>
      <c r="O45" s="74"/>
      <c r="P45" s="75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84"/>
      <c r="J46" s="259"/>
      <c r="K46" s="85"/>
      <c r="L46" s="86"/>
      <c r="M46" s="72"/>
      <c r="N46" s="266"/>
      <c r="O46" s="74"/>
      <c r="P46" s="75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265"/>
      <c r="K47" s="70"/>
      <c r="L47" s="71"/>
      <c r="M47" s="72"/>
      <c r="N47" s="266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265"/>
      <c r="K48" s="87"/>
      <c r="L48" s="71"/>
      <c r="M48" s="72"/>
      <c r="N48" s="266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265"/>
      <c r="K49" s="85"/>
      <c r="L49" s="71"/>
      <c r="M49" s="147"/>
      <c r="N49" s="266"/>
      <c r="O49" s="126"/>
      <c r="P49" s="75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265"/>
      <c r="K50" s="85"/>
      <c r="L50" s="71"/>
      <c r="M50" s="72"/>
      <c r="N50" s="266"/>
      <c r="O50" s="74"/>
      <c r="P50" s="94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265"/>
      <c r="K51" s="87"/>
      <c r="L51" s="71"/>
      <c r="M51" s="147"/>
      <c r="N51" s="266"/>
      <c r="O51" s="126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265"/>
      <c r="K52" s="87"/>
      <c r="L52" s="71"/>
      <c r="M52" s="72"/>
      <c r="N52" s="266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265"/>
      <c r="K53" s="70"/>
      <c r="L53" s="88"/>
      <c r="M53" s="72"/>
      <c r="N53" s="266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259"/>
      <c r="K54" s="85"/>
      <c r="L54" s="86"/>
      <c r="M54" s="72"/>
      <c r="N54" s="266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265"/>
      <c r="K55" s="87"/>
      <c r="L55" s="71"/>
      <c r="M55" s="72"/>
      <c r="N55" s="266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265"/>
      <c r="K56" s="87"/>
      <c r="L56" s="71"/>
      <c r="M56" s="72"/>
      <c r="N56" s="266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265"/>
      <c r="K57" s="70"/>
      <c r="L57" s="71"/>
      <c r="M57" s="72"/>
      <c r="N57" s="266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265"/>
      <c r="K58" s="87"/>
      <c r="L58" s="71"/>
      <c r="M58" s="147"/>
      <c r="N58" s="266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265"/>
      <c r="K59" s="85"/>
      <c r="L59" s="71"/>
      <c r="M59" s="72"/>
      <c r="N59" s="266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265"/>
      <c r="K60" s="85"/>
      <c r="L60" s="71"/>
      <c r="M60" s="72"/>
      <c r="N60" s="266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265"/>
      <c r="K61" s="85"/>
      <c r="L61" s="71"/>
      <c r="M61" s="72"/>
      <c r="N61" s="266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265"/>
      <c r="K62" s="87"/>
      <c r="L62" s="71"/>
      <c r="M62" s="147"/>
      <c r="N62" s="266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265"/>
      <c r="K63" s="87"/>
      <c r="L63" s="71"/>
      <c r="M63" s="72"/>
      <c r="N63" s="266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265"/>
      <c r="K64" s="87"/>
      <c r="L64" s="71"/>
      <c r="M64" s="72"/>
      <c r="N64" s="266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265"/>
      <c r="K65" s="70"/>
      <c r="L65" s="88"/>
      <c r="M65" s="72"/>
      <c r="N65" s="266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265"/>
      <c r="K66" s="70"/>
      <c r="L66" s="88"/>
      <c r="M66" s="147"/>
      <c r="N66" s="266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265"/>
      <c r="K67" s="87"/>
      <c r="L67" s="71"/>
      <c r="M67" s="147"/>
      <c r="N67" s="266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259"/>
      <c r="K68" s="85"/>
      <c r="L68" s="86"/>
      <c r="M68" s="147"/>
      <c r="N68" s="266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265"/>
      <c r="K69" s="85"/>
      <c r="L69" s="71"/>
      <c r="M69" s="72"/>
      <c r="N69" s="266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265"/>
      <c r="K70" s="70"/>
      <c r="L70" s="71"/>
      <c r="M70" s="72"/>
      <c r="N70" s="266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265"/>
      <c r="K71" s="87"/>
      <c r="L71" s="71"/>
      <c r="M71" s="72"/>
      <c r="N71" s="266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265"/>
      <c r="K72" s="85"/>
      <c r="L72" s="71"/>
      <c r="M72" s="147"/>
      <c r="N72" s="266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265"/>
      <c r="K73" s="93"/>
      <c r="L73" s="71"/>
      <c r="M73" s="72"/>
      <c r="N73" s="266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265"/>
      <c r="K74" s="87"/>
      <c r="L74" s="71"/>
      <c r="M74" s="72"/>
      <c r="N74" s="266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265"/>
      <c r="K75" s="87"/>
      <c r="L75" s="71"/>
      <c r="M75" s="72"/>
      <c r="N75" s="266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265"/>
      <c r="K76" s="85"/>
      <c r="L76" s="71"/>
      <c r="M76" s="72"/>
      <c r="N76" s="266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265"/>
      <c r="K77" s="87"/>
      <c r="L77" s="71"/>
      <c r="M77" s="147"/>
      <c r="N77" s="266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265"/>
      <c r="K78" s="87"/>
      <c r="L78" s="71"/>
      <c r="M78" s="72"/>
      <c r="N78" s="266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265"/>
      <c r="K79" s="70"/>
      <c r="L79" s="71"/>
      <c r="M79" s="147"/>
      <c r="N79" s="266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259"/>
      <c r="K80" s="92"/>
      <c r="L80" s="173"/>
      <c r="M80" s="72"/>
      <c r="N80" s="266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265"/>
      <c r="K81" s="87"/>
      <c r="L81" s="71"/>
      <c r="M81" s="72"/>
      <c r="N81" s="266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265"/>
      <c r="K82" s="87"/>
      <c r="L82" s="71"/>
      <c r="M82" s="147"/>
      <c r="N82" s="266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265"/>
      <c r="K83" s="87"/>
      <c r="L83" s="71"/>
      <c r="M83" s="72"/>
      <c r="N83" s="266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265"/>
      <c r="K84" s="70"/>
      <c r="L84" s="88"/>
      <c r="M84" s="72"/>
      <c r="N84" s="266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265"/>
      <c r="K85" s="70"/>
      <c r="L85" s="71"/>
      <c r="M85" s="147"/>
      <c r="N85" s="266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265"/>
      <c r="K86" s="85"/>
      <c r="L86" s="71"/>
      <c r="M86" s="147"/>
      <c r="N86" s="266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265"/>
      <c r="K87" s="85"/>
      <c r="L87" s="71"/>
      <c r="M87" s="72"/>
      <c r="N87" s="266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265"/>
      <c r="K88" s="85"/>
      <c r="L88" s="71"/>
      <c r="M88" s="147"/>
      <c r="N88" s="266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265"/>
      <c r="K89" s="70"/>
      <c r="L89" s="88"/>
      <c r="M89" s="147"/>
      <c r="N89" s="266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259"/>
      <c r="K90" s="85"/>
      <c r="L90" s="86"/>
      <c r="M90" s="72"/>
      <c r="N90" s="266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265"/>
      <c r="K91" s="87"/>
      <c r="L91" s="71"/>
      <c r="M91" s="72"/>
      <c r="N91" s="266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259"/>
      <c r="K92" s="85"/>
      <c r="L92" s="86"/>
      <c r="M92" s="72"/>
      <c r="N92" s="266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265"/>
      <c r="K93" s="70"/>
      <c r="L93" s="88"/>
      <c r="M93" s="147"/>
      <c r="N93" s="266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265"/>
      <c r="K94" s="70"/>
      <c r="L94" s="71"/>
      <c r="M94" s="147"/>
      <c r="N94" s="266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265"/>
      <c r="K95" s="87"/>
      <c r="L95" s="71"/>
      <c r="M95" s="147"/>
      <c r="N95" s="266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265"/>
      <c r="K96" s="87"/>
      <c r="L96" s="71"/>
      <c r="M96" s="72"/>
      <c r="N96" s="266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259"/>
      <c r="K97" s="85"/>
      <c r="L97" s="86"/>
      <c r="M97" s="72"/>
      <c r="N97" s="266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259"/>
      <c r="K98" s="85"/>
      <c r="L98" s="86"/>
      <c r="M98" s="147"/>
      <c r="N98" s="266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259"/>
      <c r="K99" s="92"/>
      <c r="L99" s="173"/>
      <c r="M99" s="72"/>
      <c r="N99" s="266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259"/>
      <c r="K100" s="85"/>
      <c r="L100" s="86"/>
      <c r="M100" s="72"/>
      <c r="N100" s="266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259"/>
      <c r="K101" s="87"/>
      <c r="L101" s="71"/>
      <c r="M101" s="147"/>
      <c r="N101" s="266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265"/>
      <c r="K102" s="87"/>
      <c r="L102" s="71"/>
      <c r="M102" s="72"/>
      <c r="N102" s="266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265"/>
      <c r="K103" s="87"/>
      <c r="L103" s="71"/>
      <c r="M103" s="147"/>
      <c r="N103" s="266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259"/>
      <c r="K104" s="93"/>
      <c r="L104" s="155"/>
      <c r="M104" s="72"/>
      <c r="N104" s="266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265"/>
      <c r="K105" s="87"/>
      <c r="L105" s="71"/>
      <c r="M105" s="72"/>
      <c r="N105" s="266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259"/>
      <c r="K106" s="93"/>
      <c r="L106" s="155"/>
      <c r="M106" s="72"/>
      <c r="N106" s="266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259"/>
      <c r="K107" s="93"/>
      <c r="L107" s="155"/>
      <c r="M107" s="147"/>
      <c r="N107" s="266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259"/>
      <c r="K108" s="85"/>
      <c r="L108" s="86"/>
      <c r="M108" s="72"/>
      <c r="N108" s="266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265"/>
      <c r="K109" s="70"/>
      <c r="L109" s="71"/>
      <c r="M109" s="72"/>
      <c r="N109" s="266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265"/>
      <c r="K110" s="70"/>
      <c r="L110" s="71"/>
      <c r="M110" s="72"/>
      <c r="N110" s="266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259"/>
      <c r="K111" s="92"/>
      <c r="L111" s="173"/>
      <c r="M111" s="147"/>
      <c r="N111" s="260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259"/>
      <c r="K112" s="85"/>
      <c r="L112" s="86"/>
      <c r="M112" s="147"/>
      <c r="N112" s="260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154"/>
      <c r="J113" s="259"/>
      <c r="K113" s="93"/>
      <c r="L113" s="155"/>
      <c r="M113" s="147"/>
      <c r="N113" s="260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259"/>
      <c r="K114" s="93"/>
      <c r="L114" s="155"/>
      <c r="M114" s="147"/>
      <c r="N114" s="260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259"/>
      <c r="K115" s="85"/>
      <c r="L115" s="86"/>
      <c r="M115" s="147"/>
      <c r="N115" s="260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259"/>
      <c r="K116" s="92"/>
      <c r="L116" s="155"/>
      <c r="M116" s="147"/>
      <c r="N116" s="260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259"/>
      <c r="K117" s="85"/>
      <c r="L117" s="155"/>
      <c r="M117" s="147"/>
      <c r="N117" s="260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259"/>
      <c r="K118" s="93"/>
      <c r="L118" s="155"/>
      <c r="M118" s="147"/>
      <c r="N118" s="260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259"/>
      <c r="K119" s="93"/>
      <c r="L119" s="155"/>
      <c r="M119" s="147"/>
      <c r="N119" s="260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265"/>
      <c r="K120" s="87"/>
      <c r="L120" s="71"/>
      <c r="M120" s="147"/>
      <c r="N120" s="266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259"/>
      <c r="K121" s="70"/>
      <c r="L121" s="88"/>
      <c r="M121" s="72"/>
      <c r="N121" s="266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265"/>
      <c r="K122" s="70"/>
      <c r="L122" s="88"/>
      <c r="M122" s="147"/>
      <c r="N122" s="266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265"/>
      <c r="K123" s="70"/>
      <c r="L123" s="71"/>
      <c r="M123" s="72"/>
      <c r="N123" s="266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265"/>
      <c r="K124" s="70"/>
      <c r="L124" s="88"/>
      <c r="M124" s="72"/>
      <c r="N124" s="266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259"/>
      <c r="K125" s="85"/>
      <c r="L125" s="86"/>
      <c r="M125" s="72"/>
      <c r="N125" s="266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259"/>
      <c r="K126" s="85"/>
      <c r="L126" s="86"/>
      <c r="M126" s="72"/>
      <c r="N126" s="266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265"/>
      <c r="K127" s="87"/>
      <c r="L127" s="88"/>
      <c r="M127" s="72"/>
      <c r="N127" s="266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265"/>
      <c r="K128" s="70"/>
      <c r="L128" s="71"/>
      <c r="M128" s="147"/>
      <c r="N128" s="266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265"/>
      <c r="K129" s="70"/>
      <c r="L129" s="71"/>
      <c r="M129" s="147"/>
      <c r="N129" s="266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259"/>
      <c r="K130" s="85"/>
      <c r="L130" s="86"/>
      <c r="M130" s="72"/>
      <c r="N130" s="266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265"/>
      <c r="K131" s="87"/>
      <c r="L131" s="71"/>
      <c r="M131" s="72"/>
      <c r="N131" s="266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259"/>
      <c r="K132" s="85"/>
      <c r="L132" s="86"/>
      <c r="M132" s="72"/>
      <c r="N132" s="266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265"/>
      <c r="K133" s="70"/>
      <c r="L133" s="88"/>
      <c r="M133" s="72"/>
      <c r="N133" s="266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265"/>
      <c r="K134" s="70"/>
      <c r="L134" s="88"/>
      <c r="M134" s="72"/>
      <c r="N134" s="266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265"/>
      <c r="K135" s="85"/>
      <c r="L135" s="71"/>
      <c r="M135" s="72"/>
      <c r="N135" s="266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265"/>
      <c r="K136" s="70"/>
      <c r="L136" s="71"/>
      <c r="M136" s="72"/>
      <c r="N136" s="266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259"/>
      <c r="K137" s="85"/>
      <c r="L137" s="86"/>
      <c r="M137" s="72"/>
      <c r="N137" s="266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265"/>
      <c r="K138" s="70"/>
      <c r="L138" s="71"/>
      <c r="M138" s="72"/>
      <c r="N138" s="266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265"/>
      <c r="K139" s="70"/>
      <c r="L139" s="71"/>
      <c r="M139" s="147"/>
      <c r="N139" s="266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265"/>
      <c r="K140" s="70"/>
      <c r="L140" s="88"/>
      <c r="M140" s="72"/>
      <c r="N140" s="266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259"/>
      <c r="K141" s="85"/>
      <c r="L141" s="86"/>
      <c r="M141" s="147"/>
      <c r="N141" s="266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265"/>
      <c r="K142" s="85"/>
      <c r="L142" s="71"/>
      <c r="M142" s="72"/>
      <c r="N142" s="266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265"/>
      <c r="K143" s="85"/>
      <c r="L143" s="71"/>
      <c r="M143" s="147"/>
      <c r="N143" s="266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265"/>
      <c r="K144" s="85"/>
      <c r="L144" s="71"/>
      <c r="M144" s="72"/>
      <c r="N144" s="266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265"/>
      <c r="K145" s="87"/>
      <c r="L145" s="71"/>
      <c r="M145" s="72"/>
      <c r="N145" s="266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265"/>
      <c r="K146" s="87"/>
      <c r="L146" s="71"/>
      <c r="M146" s="147"/>
      <c r="N146" s="266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259"/>
      <c r="K147" s="85"/>
      <c r="L147" s="86"/>
      <c r="M147" s="72"/>
      <c r="N147" s="266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259"/>
      <c r="K148" s="85"/>
      <c r="L148" s="86"/>
      <c r="M148" s="72"/>
      <c r="N148" s="266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259"/>
      <c r="K149" s="85"/>
      <c r="L149" s="86"/>
      <c r="M149" s="147"/>
      <c r="N149" s="266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259"/>
      <c r="K150" s="85"/>
      <c r="L150" s="86"/>
      <c r="M150" s="72"/>
      <c r="N150" s="266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265"/>
      <c r="K151" s="70"/>
      <c r="L151" s="88"/>
      <c r="M151" s="147"/>
      <c r="N151" s="266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265"/>
      <c r="K152" s="87"/>
      <c r="L152" s="71"/>
      <c r="M152" s="72"/>
      <c r="N152" s="266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265"/>
      <c r="K153" s="85"/>
      <c r="L153" s="71"/>
      <c r="M153" s="72"/>
      <c r="N153" s="266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259"/>
      <c r="K154" s="85"/>
      <c r="L154" s="86"/>
      <c r="M154" s="147"/>
      <c r="N154" s="260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265"/>
      <c r="K155" s="85"/>
      <c r="L155" s="71"/>
      <c r="M155" s="72"/>
      <c r="N155" s="266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259"/>
      <c r="K156" s="85"/>
      <c r="L156" s="86"/>
      <c r="M156" s="147"/>
      <c r="N156" s="266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265"/>
      <c r="K157" s="87"/>
      <c r="L157" s="71"/>
      <c r="M157" s="72"/>
      <c r="N157" s="266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265"/>
      <c r="K158" s="87"/>
      <c r="L158" s="71"/>
      <c r="M158" s="72"/>
      <c r="N158" s="266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265"/>
      <c r="K159" s="85"/>
      <c r="L159" s="71"/>
      <c r="M159" s="147"/>
      <c r="N159" s="266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259"/>
      <c r="K160" s="93"/>
      <c r="L160" s="155"/>
      <c r="M160" s="72"/>
      <c r="N160" s="266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259"/>
      <c r="K161" s="93"/>
      <c r="L161" s="155"/>
      <c r="M161" s="72"/>
      <c r="N161" s="266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265"/>
      <c r="K162" s="87"/>
      <c r="L162" s="71"/>
      <c r="M162" s="147"/>
      <c r="N162" s="266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265"/>
      <c r="K163" s="87"/>
      <c r="L163" s="71"/>
      <c r="M163" s="72"/>
      <c r="N163" s="266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265"/>
      <c r="K164" s="87"/>
      <c r="L164" s="71"/>
      <c r="M164" s="72"/>
      <c r="N164" s="266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265"/>
      <c r="K165" s="87"/>
      <c r="L165" s="71"/>
      <c r="M165" s="147"/>
      <c r="N165" s="266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265"/>
      <c r="K166" s="87"/>
      <c r="L166" s="71"/>
      <c r="M166" s="147"/>
      <c r="N166" s="266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259"/>
      <c r="K167" s="85"/>
      <c r="L167" s="86"/>
      <c r="M167" s="72"/>
      <c r="N167" s="266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259"/>
      <c r="K168" s="85"/>
      <c r="L168" s="86"/>
      <c r="M168" s="72"/>
      <c r="N168" s="266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259"/>
      <c r="K169" s="85"/>
      <c r="L169" s="86"/>
      <c r="M169" s="72"/>
      <c r="N169" s="266"/>
      <c r="O169" s="74"/>
      <c r="P169" s="94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259"/>
      <c r="K170" s="85"/>
      <c r="L170" s="86"/>
      <c r="M170" s="72"/>
      <c r="N170" s="266"/>
      <c r="O170" s="74"/>
      <c r="P170" s="94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259"/>
      <c r="K171" s="85"/>
      <c r="L171" s="86"/>
      <c r="M171" s="72"/>
      <c r="N171" s="266"/>
      <c r="O171" s="74"/>
      <c r="P171" s="94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265"/>
      <c r="K172" s="87"/>
      <c r="L172" s="71"/>
      <c r="M172" s="72"/>
      <c r="N172" s="266"/>
      <c r="O172" s="74"/>
      <c r="P172" s="94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68"/>
      <c r="J173" s="265"/>
      <c r="K173" s="87"/>
      <c r="L173" s="71"/>
      <c r="M173" s="72"/>
      <c r="N173" s="266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68"/>
      <c r="J174" s="265"/>
      <c r="K174" s="87"/>
      <c r="L174" s="71"/>
      <c r="M174" s="72"/>
      <c r="N174" s="266"/>
      <c r="O174" s="74"/>
      <c r="P174" s="94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84"/>
      <c r="J175" s="259"/>
      <c r="K175" s="85"/>
      <c r="L175" s="86"/>
      <c r="M175" s="72"/>
      <c r="N175" s="266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259"/>
      <c r="K176" s="85"/>
      <c r="L176" s="86"/>
      <c r="M176" s="72"/>
      <c r="N176" s="266"/>
      <c r="O176" s="74"/>
      <c r="P176" s="94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259"/>
      <c r="K177" s="85"/>
      <c r="L177" s="86"/>
      <c r="M177" s="72"/>
      <c r="N177" s="266"/>
      <c r="O177" s="74"/>
      <c r="P177" s="94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265"/>
      <c r="K178" s="87"/>
      <c r="L178" s="71"/>
      <c r="M178" s="72"/>
      <c r="N178" s="266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265"/>
      <c r="K179" s="87"/>
      <c r="L179" s="71"/>
      <c r="M179" s="72"/>
      <c r="N179" s="266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259"/>
      <c r="K180" s="85"/>
      <c r="L180" s="86"/>
      <c r="M180" s="72"/>
      <c r="N180" s="266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259"/>
      <c r="K181" s="85"/>
      <c r="L181" s="86"/>
      <c r="M181" s="72"/>
      <c r="N181" s="266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259"/>
      <c r="K182" s="85"/>
      <c r="L182" s="86"/>
      <c r="M182" s="72"/>
      <c r="N182" s="266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265"/>
      <c r="K183" s="87"/>
      <c r="L183" s="71"/>
      <c r="M183" s="127"/>
      <c r="N183" s="260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265"/>
      <c r="K184" s="87"/>
      <c r="L184" s="71"/>
      <c r="M184" s="127"/>
      <c r="N184" s="260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265"/>
      <c r="K185" s="87"/>
      <c r="L185" s="71"/>
      <c r="M185" s="72"/>
      <c r="N185" s="266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259"/>
      <c r="K186" s="85"/>
      <c r="L186" s="86"/>
      <c r="M186" s="72"/>
      <c r="N186" s="266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259"/>
      <c r="K187" s="85"/>
      <c r="L187" s="86"/>
      <c r="M187" s="72"/>
      <c r="N187" s="266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259"/>
      <c r="K188" s="85"/>
      <c r="L188" s="86"/>
      <c r="M188" s="72"/>
      <c r="N188" s="266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259"/>
      <c r="K189" s="85"/>
      <c r="L189" s="86"/>
      <c r="M189" s="72"/>
      <c r="N189" s="266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259"/>
      <c r="K190" s="85"/>
      <c r="L190" s="86"/>
      <c r="M190" s="72"/>
      <c r="N190" s="266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265"/>
      <c r="K191" s="87"/>
      <c r="L191" s="71"/>
      <c r="M191" s="127"/>
      <c r="N191" s="260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259"/>
      <c r="K192" s="85"/>
      <c r="L192" s="86"/>
      <c r="M192" s="127"/>
      <c r="N192" s="260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259"/>
      <c r="K193" s="85"/>
      <c r="L193" s="86"/>
      <c r="M193" s="127"/>
      <c r="N193" s="260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259"/>
      <c r="K194" s="85"/>
      <c r="L194" s="86"/>
      <c r="M194" s="127"/>
      <c r="N194" s="260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259"/>
      <c r="K195" s="85"/>
      <c r="L195" s="86"/>
      <c r="M195" s="127"/>
      <c r="N195" s="260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259"/>
      <c r="K196" s="85"/>
      <c r="L196" s="86"/>
      <c r="M196" s="127"/>
      <c r="N196" s="260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259"/>
      <c r="K197" s="85"/>
      <c r="L197" s="86"/>
      <c r="M197" s="127"/>
      <c r="N197" s="260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259"/>
      <c r="K198" s="85"/>
      <c r="L198" s="86"/>
      <c r="M198" s="127"/>
      <c r="N198" s="260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259"/>
      <c r="K199" s="85"/>
      <c r="L199" s="86"/>
      <c r="M199" s="127"/>
      <c r="N199" s="260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259"/>
      <c r="K200" s="85"/>
      <c r="L200" s="86"/>
      <c r="M200" s="127"/>
      <c r="N200" s="260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259"/>
      <c r="K201" s="85"/>
      <c r="L201" s="86"/>
      <c r="M201" s="127"/>
      <c r="N201" s="260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259"/>
      <c r="K202" s="85"/>
      <c r="L202" s="86"/>
      <c r="M202" s="127"/>
      <c r="N202" s="260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259"/>
      <c r="K203" s="85"/>
      <c r="L203" s="86"/>
      <c r="M203" s="127"/>
      <c r="N203" s="260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259"/>
      <c r="K204" s="85"/>
      <c r="L204" s="86"/>
      <c r="M204" s="127"/>
      <c r="N204" s="260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259"/>
      <c r="K205" s="85"/>
      <c r="L205" s="86"/>
      <c r="M205" s="127"/>
      <c r="N205" s="260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259"/>
      <c r="K206" s="85"/>
      <c r="L206" s="86"/>
      <c r="M206" s="127"/>
      <c r="N206" s="260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259"/>
      <c r="K207" s="85"/>
      <c r="L207" s="86"/>
      <c r="M207" s="127"/>
      <c r="N207" s="260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259"/>
      <c r="K208" s="85"/>
      <c r="L208" s="86"/>
      <c r="M208" s="127"/>
      <c r="N208" s="260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259"/>
      <c r="K209" s="85"/>
      <c r="L209" s="86"/>
      <c r="M209" s="127"/>
      <c r="N209" s="260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259"/>
      <c r="K210" s="85"/>
      <c r="L210" s="86"/>
      <c r="M210" s="127"/>
      <c r="N210" s="260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259"/>
      <c r="K211" s="85"/>
      <c r="L211" s="86"/>
      <c r="M211" s="127"/>
      <c r="N211" s="260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259"/>
      <c r="K212" s="85"/>
      <c r="L212" s="86"/>
      <c r="M212" s="127"/>
      <c r="N212" s="260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259"/>
      <c r="K213" s="85"/>
      <c r="L213" s="86"/>
      <c r="M213" s="127"/>
      <c r="N213" s="260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259"/>
      <c r="K214" s="85"/>
      <c r="L214" s="86"/>
      <c r="M214" s="127"/>
      <c r="N214" s="260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259"/>
      <c r="K215" s="85"/>
      <c r="L215" s="86"/>
      <c r="M215" s="127"/>
      <c r="N215" s="260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259"/>
      <c r="K216" s="85"/>
      <c r="L216" s="86"/>
      <c r="M216" s="127"/>
      <c r="N216" s="260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259"/>
      <c r="K217" s="85"/>
      <c r="L217" s="86"/>
      <c r="M217" s="127"/>
      <c r="N217" s="260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259"/>
      <c r="K218" s="85"/>
      <c r="L218" s="86"/>
      <c r="M218" s="127"/>
      <c r="N218" s="260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259"/>
      <c r="K219" s="85"/>
      <c r="L219" s="86"/>
      <c r="M219" s="127"/>
      <c r="N219" s="260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259"/>
      <c r="K220" s="85"/>
      <c r="L220" s="86"/>
      <c r="M220" s="127"/>
      <c r="N220" s="260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259"/>
      <c r="K221" s="85"/>
      <c r="L221" s="86"/>
      <c r="M221" s="127"/>
      <c r="N221" s="260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259"/>
      <c r="K222" s="85"/>
      <c r="L222" s="86"/>
      <c r="M222" s="127"/>
      <c r="N222" s="260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259"/>
      <c r="K223" s="85"/>
      <c r="L223" s="86"/>
      <c r="M223" s="127"/>
      <c r="N223" s="260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259"/>
      <c r="K224" s="85"/>
      <c r="L224" s="86"/>
      <c r="M224" s="127"/>
      <c r="N224" s="260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259"/>
      <c r="K225" s="85"/>
      <c r="L225" s="86"/>
      <c r="M225" s="127"/>
      <c r="N225" s="260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259"/>
      <c r="K226" s="85"/>
      <c r="L226" s="86"/>
      <c r="M226" s="127"/>
      <c r="N226" s="260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259"/>
      <c r="K227" s="85"/>
      <c r="L227" s="86"/>
      <c r="M227" s="127"/>
      <c r="N227" s="260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259"/>
      <c r="K228" s="85"/>
      <c r="L228" s="86"/>
      <c r="M228" s="127"/>
      <c r="N228" s="260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259"/>
      <c r="K229" s="85"/>
      <c r="L229" s="86"/>
      <c r="M229" s="127"/>
      <c r="N229" s="260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259"/>
      <c r="K230" s="85"/>
      <c r="L230" s="86"/>
      <c r="M230" s="127"/>
      <c r="N230" s="260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259"/>
      <c r="K231" s="85"/>
      <c r="L231" s="86"/>
      <c r="M231" s="127"/>
      <c r="N231" s="260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259"/>
      <c r="K232" s="85"/>
      <c r="L232" s="86"/>
      <c r="M232" s="127"/>
      <c r="N232" s="260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259"/>
      <c r="K233" s="85"/>
      <c r="L233" s="86"/>
      <c r="M233" s="127"/>
      <c r="N233" s="260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259"/>
      <c r="K234" s="85"/>
      <c r="L234" s="86"/>
      <c r="M234" s="127"/>
      <c r="N234" s="260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259"/>
      <c r="K235" s="85"/>
      <c r="L235" s="86"/>
      <c r="M235" s="127"/>
      <c r="N235" s="260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259"/>
      <c r="K236" s="85"/>
      <c r="L236" s="86"/>
      <c r="M236" s="127"/>
      <c r="N236" s="260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259"/>
      <c r="K237" s="85"/>
      <c r="L237" s="86"/>
      <c r="M237" s="127"/>
      <c r="N237" s="260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259"/>
      <c r="K238" s="85"/>
      <c r="L238" s="86"/>
      <c r="M238" s="127"/>
      <c r="N238" s="260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259"/>
      <c r="K239" s="85"/>
      <c r="L239" s="86"/>
      <c r="M239" s="127"/>
      <c r="N239" s="260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259"/>
      <c r="K240" s="85"/>
      <c r="L240" s="86"/>
      <c r="M240" s="127"/>
      <c r="N240" s="260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259"/>
      <c r="K241" s="85"/>
      <c r="L241" s="86"/>
      <c r="M241" s="127"/>
      <c r="N241" s="260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259"/>
      <c r="K242" s="85"/>
      <c r="L242" s="86"/>
      <c r="M242" s="127"/>
      <c r="N242" s="260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259"/>
      <c r="K243" s="85"/>
      <c r="L243" s="86"/>
      <c r="M243" s="127"/>
      <c r="N243" s="260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259"/>
      <c r="K244" s="85"/>
      <c r="L244" s="86"/>
      <c r="M244" s="127"/>
      <c r="N244" s="260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259"/>
      <c r="K245" s="85"/>
      <c r="L245" s="86"/>
      <c r="M245" s="127"/>
      <c r="N245" s="260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259"/>
      <c r="K246" s="85"/>
      <c r="L246" s="86"/>
      <c r="M246" s="127"/>
      <c r="N246" s="260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259"/>
      <c r="K247" s="85"/>
      <c r="L247" s="86"/>
      <c r="M247" s="127"/>
      <c r="N247" s="260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259"/>
      <c r="K248" s="85"/>
      <c r="L248" s="86"/>
      <c r="M248" s="127"/>
      <c r="N248" s="260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259"/>
      <c r="K249" s="85"/>
      <c r="L249" s="86"/>
      <c r="M249" s="127"/>
      <c r="N249" s="260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259"/>
      <c r="K250" s="85"/>
      <c r="L250" s="86"/>
      <c r="M250" s="127"/>
      <c r="N250" s="260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259"/>
      <c r="K251" s="85"/>
      <c r="L251" s="86"/>
      <c r="M251" s="127"/>
      <c r="N251" s="260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259"/>
      <c r="K252" s="85"/>
      <c r="L252" s="86"/>
      <c r="M252" s="127"/>
      <c r="N252" s="260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259"/>
      <c r="K253" s="85"/>
      <c r="L253" s="86"/>
      <c r="M253" s="127"/>
      <c r="N253" s="260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259"/>
      <c r="K254" s="85"/>
      <c r="L254" s="86"/>
      <c r="M254" s="127"/>
      <c r="N254" s="260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259"/>
      <c r="K255" s="85"/>
      <c r="L255" s="86"/>
      <c r="M255" s="127"/>
      <c r="N255" s="260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259"/>
      <c r="K256" s="85"/>
      <c r="L256" s="86"/>
      <c r="M256" s="127"/>
      <c r="N256" s="260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259"/>
      <c r="K257" s="85"/>
      <c r="L257" s="86"/>
      <c r="M257" s="127"/>
      <c r="N257" s="260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259"/>
      <c r="K258" s="85"/>
      <c r="L258" s="86"/>
      <c r="M258" s="127"/>
      <c r="N258" s="260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259"/>
      <c r="K259" s="85"/>
      <c r="L259" s="86"/>
      <c r="M259" s="127"/>
      <c r="N259" s="260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259"/>
      <c r="K260" s="85"/>
      <c r="L260" s="86"/>
      <c r="M260" s="127"/>
      <c r="N260" s="260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259"/>
      <c r="K261" s="85"/>
      <c r="L261" s="86"/>
      <c r="M261" s="127"/>
      <c r="N261" s="260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259"/>
      <c r="K262" s="85"/>
      <c r="L262" s="86"/>
      <c r="M262" s="127"/>
      <c r="N262" s="260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259"/>
      <c r="K263" s="85"/>
      <c r="L263" s="86"/>
      <c r="M263" s="127"/>
      <c r="N263" s="260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259"/>
      <c r="K264" s="85"/>
      <c r="L264" s="86"/>
      <c r="M264" s="127"/>
      <c r="N264" s="260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259"/>
      <c r="K265" s="85"/>
      <c r="L265" s="86"/>
      <c r="M265" s="127"/>
      <c r="N265" s="260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259"/>
      <c r="K266" s="85"/>
      <c r="L266" s="86"/>
      <c r="M266" s="127"/>
      <c r="N266" s="260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259"/>
      <c r="K267" s="85"/>
      <c r="L267" s="86"/>
      <c r="M267" s="127"/>
      <c r="N267" s="260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259"/>
      <c r="K268" s="85"/>
      <c r="L268" s="86"/>
      <c r="M268" s="127"/>
      <c r="N268" s="260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259"/>
      <c r="K269" s="85"/>
      <c r="L269" s="86"/>
      <c r="M269" s="127"/>
      <c r="N269" s="260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259"/>
      <c r="K270" s="85"/>
      <c r="L270" s="86"/>
      <c r="M270" s="127"/>
      <c r="N270" s="260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259"/>
      <c r="K271" s="85"/>
      <c r="L271" s="86"/>
      <c r="M271" s="127"/>
      <c r="N271" s="260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259"/>
      <c r="K272" s="85"/>
      <c r="L272" s="86"/>
      <c r="M272" s="127"/>
      <c r="N272" s="260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259"/>
      <c r="K273" s="85"/>
      <c r="L273" s="86"/>
      <c r="M273" s="127"/>
      <c r="N273" s="260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259"/>
      <c r="K274" s="85"/>
      <c r="L274" s="86"/>
      <c r="M274" s="127"/>
      <c r="N274" s="260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259"/>
      <c r="K275" s="85"/>
      <c r="L275" s="86"/>
      <c r="M275" s="127"/>
      <c r="N275" s="260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259"/>
      <c r="K276" s="85"/>
      <c r="L276" s="86"/>
      <c r="M276" s="127"/>
      <c r="N276" s="260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259"/>
      <c r="K277" s="85"/>
      <c r="L277" s="86"/>
      <c r="M277" s="127"/>
      <c r="N277" s="260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259"/>
      <c r="K278" s="85"/>
      <c r="L278" s="86"/>
      <c r="M278" s="127"/>
      <c r="N278" s="260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259"/>
      <c r="K279" s="85"/>
      <c r="L279" s="86"/>
      <c r="M279" s="127"/>
      <c r="N279" s="260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259"/>
      <c r="K280" s="85"/>
      <c r="L280" s="86"/>
      <c r="M280" s="127"/>
      <c r="N280" s="260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259"/>
      <c r="K281" s="85"/>
      <c r="L281" s="86"/>
      <c r="M281" s="127"/>
      <c r="N281" s="260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259"/>
      <c r="K282" s="85"/>
      <c r="L282" s="86"/>
      <c r="M282" s="127"/>
      <c r="N282" s="260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259"/>
      <c r="K283" s="85"/>
      <c r="L283" s="86"/>
      <c r="M283" s="127"/>
      <c r="N283" s="260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259"/>
      <c r="K284" s="85"/>
      <c r="L284" s="86"/>
      <c r="M284" s="127"/>
      <c r="N284" s="260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259"/>
      <c r="K285" s="85"/>
      <c r="L285" s="86"/>
      <c r="M285" s="127"/>
      <c r="N285" s="260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259"/>
      <c r="K286" s="85"/>
      <c r="L286" s="86"/>
      <c r="M286" s="127"/>
      <c r="N286" s="260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259"/>
      <c r="K287" s="85"/>
      <c r="L287" s="86"/>
      <c r="M287" s="127"/>
      <c r="N287" s="260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259"/>
      <c r="K288" s="85"/>
      <c r="L288" s="86"/>
      <c r="M288" s="127"/>
      <c r="N288" s="260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259"/>
      <c r="K289" s="85"/>
      <c r="L289" s="86"/>
      <c r="M289" s="127"/>
      <c r="N289" s="260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259"/>
      <c r="K290" s="85"/>
      <c r="L290" s="86"/>
      <c r="M290" s="127"/>
      <c r="N290" s="260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259"/>
      <c r="K291" s="85"/>
      <c r="L291" s="86"/>
      <c r="M291" s="127"/>
      <c r="N291" s="260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259"/>
      <c r="K292" s="85"/>
      <c r="L292" s="86"/>
      <c r="M292" s="127"/>
      <c r="N292" s="260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259"/>
      <c r="K293" s="85"/>
      <c r="L293" s="86"/>
      <c r="M293" s="127"/>
      <c r="N293" s="260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259"/>
      <c r="K294" s="85"/>
      <c r="L294" s="86"/>
      <c r="M294" s="127"/>
      <c r="N294" s="260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259"/>
      <c r="K295" s="85"/>
      <c r="L295" s="86"/>
      <c r="M295" s="127"/>
      <c r="N295" s="260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259"/>
      <c r="K296" s="85"/>
      <c r="L296" s="86"/>
      <c r="M296" s="127"/>
      <c r="N296" s="260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259"/>
      <c r="K297" s="85"/>
      <c r="L297" s="86"/>
      <c r="M297" s="127"/>
      <c r="N297" s="260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259"/>
      <c r="K298" s="85"/>
      <c r="L298" s="86"/>
      <c r="M298" s="127"/>
      <c r="N298" s="260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259"/>
      <c r="K299" s="85"/>
      <c r="L299" s="86"/>
      <c r="M299" s="127"/>
      <c r="N299" s="260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259"/>
      <c r="K300" s="85"/>
      <c r="L300" s="86"/>
      <c r="M300" s="127"/>
      <c r="N300" s="260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259"/>
      <c r="K301" s="85"/>
      <c r="L301" s="86"/>
      <c r="M301" s="127"/>
      <c r="N301" s="260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259"/>
      <c r="K302" s="85"/>
      <c r="L302" s="86"/>
      <c r="M302" s="127"/>
      <c r="N302" s="260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259"/>
      <c r="K303" s="85"/>
      <c r="L303" s="86"/>
      <c r="M303" s="127"/>
      <c r="N303" s="260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259"/>
      <c r="K304" s="85"/>
      <c r="L304" s="86"/>
      <c r="M304" s="127"/>
      <c r="N304" s="260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259"/>
      <c r="K305" s="85"/>
      <c r="L305" s="86"/>
      <c r="M305" s="127"/>
      <c r="N305" s="260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259"/>
      <c r="K306" s="85"/>
      <c r="L306" s="86"/>
      <c r="M306" s="127"/>
      <c r="N306" s="260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259"/>
      <c r="K307" s="85"/>
      <c r="L307" s="86"/>
      <c r="M307" s="127"/>
      <c r="N307" s="260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259"/>
      <c r="K308" s="85"/>
      <c r="L308" s="86"/>
      <c r="M308" s="127"/>
      <c r="N308" s="260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259"/>
      <c r="K309" s="85"/>
      <c r="L309" s="86"/>
      <c r="M309" s="127"/>
      <c r="N309" s="260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259"/>
      <c r="K310" s="85"/>
      <c r="L310" s="86"/>
      <c r="M310" s="127"/>
      <c r="N310" s="260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259"/>
      <c r="K311" s="85"/>
      <c r="L311" s="86"/>
      <c r="M311" s="127"/>
      <c r="N311" s="260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259"/>
      <c r="K312" s="85"/>
      <c r="L312" s="86"/>
      <c r="M312" s="127"/>
      <c r="N312" s="260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259"/>
      <c r="K313" s="85"/>
      <c r="L313" s="86"/>
      <c r="M313" s="127"/>
      <c r="N313" s="260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259"/>
      <c r="K314" s="85"/>
      <c r="L314" s="86"/>
      <c r="M314" s="127"/>
      <c r="N314" s="260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259"/>
      <c r="K315" s="85"/>
      <c r="L315" s="86"/>
      <c r="M315" s="127"/>
      <c r="N315" s="260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259"/>
      <c r="K316" s="85"/>
      <c r="L316" s="86"/>
      <c r="M316" s="127"/>
      <c r="N316" s="260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259"/>
      <c r="K317" s="85"/>
      <c r="L317" s="86"/>
      <c r="M317" s="127"/>
      <c r="N317" s="260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259"/>
      <c r="K318" s="85"/>
      <c r="L318" s="86"/>
      <c r="M318" s="127"/>
      <c r="N318" s="260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259"/>
      <c r="K319" s="85"/>
      <c r="L319" s="86"/>
      <c r="M319" s="127"/>
      <c r="N319" s="260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259"/>
      <c r="K320" s="85"/>
      <c r="L320" s="86"/>
      <c r="M320" s="127"/>
      <c r="N320" s="260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259"/>
      <c r="K321" s="85"/>
      <c r="L321" s="86"/>
      <c r="M321" s="127"/>
      <c r="N321" s="260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259"/>
      <c r="K322" s="85"/>
      <c r="L322" s="86"/>
      <c r="M322" s="127"/>
      <c r="N322" s="260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259"/>
      <c r="K323" s="85"/>
      <c r="L323" s="86"/>
      <c r="M323" s="127"/>
      <c r="N323" s="260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259"/>
      <c r="K324" s="85"/>
      <c r="L324" s="86"/>
      <c r="M324" s="127"/>
      <c r="N324" s="260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259"/>
      <c r="K325" s="85"/>
      <c r="L325" s="86"/>
      <c r="M325" s="127"/>
      <c r="N325" s="260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259"/>
      <c r="K326" s="85"/>
      <c r="L326" s="86"/>
      <c r="M326" s="127"/>
      <c r="N326" s="260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259"/>
      <c r="K327" s="85"/>
      <c r="L327" s="86"/>
      <c r="M327" s="127"/>
      <c r="N327" s="260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259"/>
      <c r="K328" s="85"/>
      <c r="L328" s="86"/>
      <c r="M328" s="127"/>
      <c r="N328" s="260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259"/>
      <c r="K329" s="85"/>
      <c r="L329" s="86"/>
      <c r="M329" s="127"/>
      <c r="N329" s="260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259"/>
      <c r="K330" s="85"/>
      <c r="L330" s="86"/>
      <c r="M330" s="127"/>
      <c r="N330" s="260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259"/>
      <c r="K331" s="85"/>
      <c r="L331" s="86"/>
      <c r="M331" s="127"/>
      <c r="N331" s="260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259"/>
      <c r="K332" s="85"/>
      <c r="L332" s="86"/>
      <c r="M332" s="127"/>
      <c r="N332" s="260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259"/>
      <c r="K333" s="85"/>
      <c r="L333" s="86"/>
      <c r="M333" s="127"/>
      <c r="N333" s="260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259"/>
      <c r="K334" s="85"/>
      <c r="L334" s="86"/>
      <c r="M334" s="127"/>
      <c r="N334" s="260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259"/>
      <c r="K335" s="85"/>
      <c r="L335" s="86"/>
      <c r="M335" s="127"/>
      <c r="N335" s="260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259"/>
      <c r="K336" s="85"/>
      <c r="L336" s="86"/>
      <c r="M336" s="127"/>
      <c r="N336" s="260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259"/>
      <c r="K337" s="85"/>
      <c r="L337" s="86"/>
      <c r="M337" s="127"/>
      <c r="N337" s="260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259"/>
      <c r="K338" s="85"/>
      <c r="L338" s="86"/>
      <c r="M338" s="127"/>
      <c r="N338" s="260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259"/>
      <c r="K339" s="85"/>
      <c r="L339" s="86"/>
      <c r="M339" s="127"/>
      <c r="N339" s="260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259"/>
      <c r="K340" s="85"/>
      <c r="L340" s="86"/>
      <c r="M340" s="127"/>
      <c r="N340" s="260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259"/>
      <c r="K341" s="85"/>
      <c r="L341" s="86"/>
      <c r="M341" s="127"/>
      <c r="N341" s="260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259"/>
      <c r="K342" s="85"/>
      <c r="L342" s="86"/>
      <c r="M342" s="127"/>
      <c r="N342" s="260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259"/>
      <c r="K343" s="85"/>
      <c r="L343" s="86"/>
      <c r="M343" s="127"/>
      <c r="N343" s="260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259"/>
      <c r="K344" s="85"/>
      <c r="L344" s="86"/>
      <c r="M344" s="127"/>
      <c r="N344" s="260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259"/>
      <c r="K345" s="85"/>
      <c r="L345" s="86"/>
      <c r="M345" s="127"/>
      <c r="N345" s="260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259"/>
      <c r="K346" s="85"/>
      <c r="L346" s="86"/>
      <c r="M346" s="127"/>
      <c r="N346" s="260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259"/>
      <c r="K347" s="85"/>
      <c r="L347" s="86"/>
      <c r="M347" s="127"/>
      <c r="N347" s="260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259"/>
      <c r="K348" s="85"/>
      <c r="L348" s="86"/>
      <c r="M348" s="127"/>
      <c r="N348" s="260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259"/>
      <c r="K349" s="85"/>
      <c r="L349" s="86"/>
      <c r="M349" s="127"/>
      <c r="N349" s="260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259"/>
      <c r="K350" s="85"/>
      <c r="L350" s="86"/>
      <c r="M350" s="127"/>
      <c r="N350" s="260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259"/>
      <c r="K351" s="85"/>
      <c r="L351" s="86"/>
      <c r="M351" s="127"/>
      <c r="N351" s="260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259"/>
      <c r="K352" s="85"/>
      <c r="L352" s="86"/>
      <c r="M352" s="127"/>
      <c r="N352" s="260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259"/>
      <c r="K353" s="85"/>
      <c r="L353" s="86"/>
      <c r="M353" s="127"/>
      <c r="N353" s="260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259"/>
      <c r="K354" s="85"/>
      <c r="L354" s="86"/>
      <c r="M354" s="127"/>
      <c r="N354" s="260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259"/>
      <c r="K355" s="85"/>
      <c r="L355" s="86"/>
      <c r="M355" s="127"/>
      <c r="N355" s="260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259"/>
      <c r="K356" s="85"/>
      <c r="L356" s="86"/>
      <c r="M356" s="127"/>
      <c r="N356" s="260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259"/>
      <c r="K357" s="85"/>
      <c r="L357" s="86"/>
      <c r="M357" s="127"/>
      <c r="N357" s="260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259"/>
      <c r="K358" s="85"/>
      <c r="L358" s="86"/>
      <c r="M358" s="127"/>
      <c r="N358" s="260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259"/>
      <c r="K359" s="85"/>
      <c r="L359" s="86"/>
      <c r="M359" s="127"/>
      <c r="N359" s="260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259"/>
      <c r="K360" s="85"/>
      <c r="L360" s="86"/>
      <c r="M360" s="127"/>
      <c r="N360" s="260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259"/>
      <c r="K361" s="85"/>
      <c r="L361" s="86"/>
      <c r="M361" s="127"/>
      <c r="N361" s="260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259"/>
      <c r="K362" s="85"/>
      <c r="L362" s="86"/>
      <c r="M362" s="127"/>
      <c r="N362" s="260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259"/>
      <c r="K363" s="85"/>
      <c r="L363" s="86"/>
      <c r="M363" s="127"/>
      <c r="N363" s="260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259"/>
      <c r="K364" s="85"/>
      <c r="L364" s="86"/>
      <c r="M364" s="127"/>
      <c r="N364" s="260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259"/>
      <c r="K365" s="85"/>
      <c r="L365" s="86"/>
      <c r="M365" s="127"/>
      <c r="N365" s="260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259"/>
      <c r="K366" s="85"/>
      <c r="L366" s="86"/>
      <c r="M366" s="127"/>
      <c r="N366" s="260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259"/>
      <c r="K367" s="85"/>
      <c r="L367" s="86"/>
      <c r="M367" s="127"/>
      <c r="N367" s="260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259"/>
      <c r="K368" s="85"/>
      <c r="L368" s="86"/>
      <c r="M368" s="127"/>
      <c r="N368" s="260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259"/>
      <c r="K369" s="85"/>
      <c r="L369" s="86"/>
      <c r="M369" s="127"/>
      <c r="N369" s="260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259"/>
      <c r="K370" s="85"/>
      <c r="L370" s="86"/>
      <c r="M370" s="127"/>
      <c r="N370" s="260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259"/>
      <c r="K371" s="85"/>
      <c r="L371" s="86"/>
      <c r="M371" s="127"/>
      <c r="N371" s="260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259"/>
      <c r="K372" s="85"/>
      <c r="L372" s="86"/>
      <c r="M372" s="127"/>
      <c r="N372" s="260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259"/>
      <c r="K373" s="85"/>
      <c r="L373" s="86"/>
      <c r="M373" s="127"/>
      <c r="N373" s="260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259"/>
      <c r="K374" s="85"/>
      <c r="L374" s="86"/>
      <c r="M374" s="127"/>
      <c r="N374" s="260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259"/>
      <c r="K375" s="85"/>
      <c r="L375" s="86"/>
      <c r="M375" s="127"/>
      <c r="N375" s="260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259"/>
      <c r="K376" s="85"/>
      <c r="L376" s="86"/>
      <c r="M376" s="127"/>
      <c r="N376" s="260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259"/>
      <c r="K377" s="85"/>
      <c r="L377" s="86"/>
      <c r="M377" s="127"/>
      <c r="N377" s="260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259"/>
      <c r="K378" s="85"/>
      <c r="L378" s="86"/>
      <c r="M378" s="127"/>
      <c r="N378" s="260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259"/>
      <c r="K379" s="85"/>
      <c r="L379" s="86"/>
      <c r="M379" s="127"/>
      <c r="N379" s="260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259"/>
      <c r="K380" s="85"/>
      <c r="L380" s="86"/>
      <c r="M380" s="127"/>
      <c r="N380" s="260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259"/>
      <c r="K381" s="85"/>
      <c r="L381" s="86"/>
      <c r="M381" s="127"/>
      <c r="N381" s="260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259"/>
      <c r="K382" s="85"/>
      <c r="L382" s="86"/>
      <c r="M382" s="127"/>
      <c r="N382" s="260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259"/>
      <c r="K383" s="85"/>
      <c r="L383" s="86"/>
      <c r="M383" s="127"/>
      <c r="N383" s="260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259"/>
      <c r="K384" s="85"/>
      <c r="L384" s="86"/>
      <c r="M384" s="127"/>
      <c r="N384" s="260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259"/>
      <c r="K385" s="85"/>
      <c r="L385" s="86"/>
      <c r="M385" s="127"/>
      <c r="N385" s="260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259"/>
      <c r="K386" s="85"/>
      <c r="L386" s="86"/>
      <c r="M386" s="127"/>
      <c r="N386" s="260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259"/>
      <c r="K387" s="85"/>
      <c r="L387" s="86"/>
      <c r="M387" s="127"/>
      <c r="N387" s="260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259"/>
      <c r="K388" s="85"/>
      <c r="L388" s="86"/>
      <c r="M388" s="127"/>
      <c r="N388" s="260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259"/>
      <c r="K389" s="85"/>
      <c r="L389" s="86"/>
      <c r="M389" s="127"/>
      <c r="N389" s="260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259"/>
      <c r="K390" s="85"/>
      <c r="L390" s="86"/>
      <c r="M390" s="127"/>
      <c r="N390" s="260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259"/>
      <c r="K391" s="85"/>
      <c r="L391" s="86"/>
      <c r="M391" s="127"/>
      <c r="N391" s="260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259"/>
      <c r="K392" s="85"/>
      <c r="L392" s="86"/>
      <c r="M392" s="127"/>
      <c r="N392" s="260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259"/>
      <c r="K393" s="85"/>
      <c r="L393" s="86"/>
      <c r="M393" s="127"/>
      <c r="N393" s="260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259"/>
      <c r="K394" s="85"/>
      <c r="L394" s="86"/>
      <c r="M394" s="127"/>
      <c r="N394" s="260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259"/>
      <c r="K395" s="85"/>
      <c r="L395" s="86"/>
      <c r="M395" s="127"/>
      <c r="N395" s="260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259"/>
      <c r="K396" s="85"/>
      <c r="L396" s="86"/>
      <c r="M396" s="127"/>
      <c r="N396" s="260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259"/>
      <c r="K397" s="85"/>
      <c r="L397" s="86"/>
      <c r="M397" s="127"/>
      <c r="N397" s="260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259"/>
      <c r="K398" s="85"/>
      <c r="L398" s="86"/>
      <c r="M398" s="127"/>
      <c r="N398" s="260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259"/>
      <c r="K399" s="85"/>
      <c r="L399" s="86"/>
      <c r="M399" s="127"/>
      <c r="N399" s="260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259"/>
      <c r="K400" s="85"/>
      <c r="L400" s="86"/>
      <c r="M400" s="127"/>
      <c r="N400" s="260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259"/>
      <c r="K401" s="85"/>
      <c r="L401" s="86"/>
      <c r="M401" s="127"/>
      <c r="N401" s="260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259"/>
      <c r="K402" s="85"/>
      <c r="L402" s="86"/>
      <c r="M402" s="127"/>
      <c r="N402" s="260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259"/>
      <c r="K403" s="85"/>
      <c r="L403" s="86"/>
      <c r="M403" s="127"/>
      <c r="N403" s="260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259"/>
      <c r="K404" s="85"/>
      <c r="L404" s="86"/>
      <c r="M404" s="127"/>
      <c r="N404" s="260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259"/>
      <c r="K405" s="85"/>
      <c r="L405" s="86"/>
      <c r="M405" s="127"/>
      <c r="N405" s="260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259"/>
      <c r="K406" s="85"/>
      <c r="L406" s="86"/>
      <c r="M406" s="127"/>
      <c r="N406" s="260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259"/>
      <c r="K407" s="85"/>
      <c r="L407" s="86"/>
      <c r="M407" s="127"/>
      <c r="N407" s="260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259"/>
      <c r="K408" s="85"/>
      <c r="L408" s="86"/>
      <c r="M408" s="127"/>
      <c r="N408" s="260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259"/>
      <c r="K409" s="85"/>
      <c r="L409" s="86"/>
      <c r="M409" s="127"/>
      <c r="N409" s="260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259"/>
      <c r="K410" s="85"/>
      <c r="L410" s="86"/>
      <c r="M410" s="127"/>
      <c r="N410" s="260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259"/>
      <c r="K411" s="85"/>
      <c r="L411" s="86"/>
      <c r="M411" s="127"/>
      <c r="N411" s="260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259"/>
      <c r="K412" s="85"/>
      <c r="L412" s="86"/>
      <c r="M412" s="127"/>
      <c r="N412" s="260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259"/>
      <c r="K413" s="85"/>
      <c r="L413" s="86"/>
      <c r="M413" s="127"/>
      <c r="N413" s="260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259"/>
      <c r="K414" s="85"/>
      <c r="L414" s="86"/>
      <c r="M414" s="127"/>
      <c r="N414" s="260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259"/>
      <c r="K415" s="85"/>
      <c r="L415" s="86"/>
      <c r="M415" s="127"/>
      <c r="N415" s="260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259"/>
      <c r="K416" s="85"/>
      <c r="L416" s="86"/>
      <c r="M416" s="127"/>
      <c r="N416" s="260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259"/>
      <c r="K417" s="85"/>
      <c r="L417" s="86"/>
      <c r="M417" s="127"/>
      <c r="N417" s="260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259"/>
      <c r="K418" s="133"/>
      <c r="L418" s="134"/>
      <c r="M418" s="135"/>
      <c r="N418" s="260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259"/>
      <c r="K419" s="133"/>
      <c r="L419" s="85"/>
      <c r="M419" s="135"/>
      <c r="N419" s="260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259"/>
      <c r="K420" s="133"/>
      <c r="L420" s="85"/>
      <c r="M420" s="135"/>
      <c r="N420" s="260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259"/>
      <c r="K421" s="133"/>
      <c r="L421" s="85"/>
      <c r="M421" s="135"/>
      <c r="N421" s="260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259"/>
      <c r="K422" s="133"/>
      <c r="L422" s="85"/>
      <c r="M422" s="135"/>
      <c r="N422" s="260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259"/>
      <c r="K423" s="133"/>
      <c r="L423" s="85"/>
      <c r="M423" s="135"/>
      <c r="N423" s="260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259"/>
      <c r="K424" s="133"/>
      <c r="L424" s="85"/>
      <c r="M424" s="135"/>
      <c r="N424" s="260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259"/>
      <c r="K425" s="133"/>
      <c r="L425" s="85"/>
      <c r="M425" s="135"/>
      <c r="N425" s="260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259"/>
      <c r="K426" s="133"/>
      <c r="L426" s="85"/>
      <c r="M426" s="135"/>
      <c r="N426" s="260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259"/>
      <c r="K427" s="133"/>
      <c r="L427" s="85"/>
      <c r="M427" s="135"/>
      <c r="N427" s="260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259"/>
      <c r="K428" s="133"/>
      <c r="L428" s="85"/>
      <c r="M428" s="135"/>
      <c r="N428" s="260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259"/>
      <c r="K429" s="133"/>
      <c r="L429" s="85"/>
      <c r="M429" s="135"/>
      <c r="N429" s="260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259"/>
      <c r="K430" s="133"/>
      <c r="L430" s="85"/>
      <c r="M430" s="135"/>
      <c r="N430" s="260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259"/>
      <c r="K431" s="133"/>
      <c r="L431" s="85"/>
      <c r="M431" s="135"/>
      <c r="N431" s="260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259"/>
      <c r="K432" s="133"/>
      <c r="L432" s="85"/>
      <c r="M432" s="135"/>
      <c r="N432" s="260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259"/>
      <c r="K433" s="133"/>
      <c r="L433" s="85"/>
      <c r="M433" s="135"/>
      <c r="N433" s="260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259"/>
      <c r="K434" s="133"/>
      <c r="L434" s="85"/>
      <c r="M434" s="135"/>
      <c r="N434" s="260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259"/>
      <c r="K435" s="133"/>
      <c r="L435" s="85"/>
      <c r="M435" s="135"/>
      <c r="N435" s="260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259"/>
      <c r="K436" s="133"/>
      <c r="L436" s="85"/>
      <c r="M436" s="135"/>
      <c r="N436" s="260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259"/>
      <c r="K437" s="133"/>
      <c r="L437" s="85"/>
      <c r="M437" s="135"/>
      <c r="N437" s="260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259"/>
      <c r="K438" s="133"/>
      <c r="L438" s="85"/>
      <c r="M438" s="135"/>
      <c r="N438" s="260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259"/>
      <c r="K439" s="133"/>
      <c r="L439" s="85"/>
      <c r="M439" s="135"/>
      <c r="N439" s="260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259"/>
      <c r="K440" s="133"/>
      <c r="L440" s="85"/>
      <c r="M440" s="135"/>
      <c r="N440" s="260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259"/>
      <c r="K441" s="133"/>
      <c r="L441" s="85"/>
      <c r="M441" s="135"/>
      <c r="N441" s="260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259"/>
      <c r="K442" s="133"/>
      <c r="L442" s="85"/>
      <c r="M442" s="135"/>
      <c r="N442" s="260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259"/>
      <c r="K443" s="133"/>
      <c r="L443" s="85"/>
      <c r="M443" s="135"/>
      <c r="N443" s="260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259"/>
      <c r="K444" s="133"/>
      <c r="L444" s="85"/>
      <c r="M444" s="135"/>
      <c r="N444" s="260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259"/>
      <c r="K445" s="133"/>
      <c r="L445" s="85"/>
      <c r="M445" s="135"/>
      <c r="N445" s="260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259"/>
      <c r="K446" s="133"/>
      <c r="L446" s="85"/>
      <c r="M446" s="135"/>
      <c r="N446" s="260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259"/>
      <c r="K447" s="133"/>
      <c r="L447" s="85"/>
      <c r="M447" s="135"/>
      <c r="N447" s="260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259"/>
      <c r="K448" s="133"/>
      <c r="L448" s="85"/>
      <c r="M448" s="135"/>
      <c r="N448" s="260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259"/>
      <c r="K449" s="133"/>
      <c r="L449" s="85"/>
      <c r="M449" s="135"/>
      <c r="N449" s="260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259"/>
      <c r="K450" s="133"/>
      <c r="L450" s="85"/>
      <c r="M450" s="135"/>
      <c r="N450" s="260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259"/>
      <c r="K451" s="133"/>
      <c r="L451" s="85"/>
      <c r="M451" s="135"/>
      <c r="N451" s="260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259"/>
      <c r="K452" s="133"/>
      <c r="L452" s="85"/>
      <c r="M452" s="135"/>
      <c r="N452" s="260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259"/>
      <c r="K453" s="133"/>
      <c r="L453" s="85"/>
      <c r="M453" s="135"/>
      <c r="N453" s="260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259"/>
      <c r="K454" s="133"/>
      <c r="L454" s="85"/>
      <c r="M454" s="135"/>
      <c r="N454" s="260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259"/>
      <c r="K455" s="133"/>
      <c r="L455" s="85"/>
      <c r="M455" s="135"/>
      <c r="N455" s="260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259"/>
      <c r="K456" s="133"/>
      <c r="L456" s="85"/>
      <c r="M456" s="135"/>
      <c r="N456" s="260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259"/>
      <c r="K457" s="133"/>
      <c r="L457" s="85"/>
      <c r="M457" s="135"/>
      <c r="N457" s="260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259"/>
      <c r="K458" s="133"/>
      <c r="L458" s="85"/>
      <c r="M458" s="135"/>
      <c r="N458" s="260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259"/>
      <c r="K459" s="133"/>
      <c r="L459" s="85"/>
      <c r="M459" s="135"/>
      <c r="N459" s="260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259"/>
      <c r="K460" s="133"/>
      <c r="L460" s="85"/>
      <c r="M460" s="135"/>
      <c r="N460" s="260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259"/>
      <c r="K461" s="133"/>
      <c r="L461" s="85"/>
      <c r="M461" s="135"/>
      <c r="N461" s="260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259"/>
      <c r="K462" s="133"/>
      <c r="L462" s="85"/>
      <c r="M462" s="135"/>
      <c r="N462" s="260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259"/>
      <c r="K463" s="133"/>
      <c r="L463" s="85"/>
      <c r="M463" s="135"/>
      <c r="N463" s="260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259"/>
      <c r="K464" s="133"/>
      <c r="L464" s="85"/>
      <c r="M464" s="135"/>
      <c r="N464" s="260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259"/>
      <c r="K465" s="133"/>
      <c r="L465" s="85"/>
      <c r="M465" s="135"/>
      <c r="N465" s="260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259"/>
      <c r="K466" s="133"/>
      <c r="L466" s="85"/>
      <c r="M466" s="135"/>
      <c r="N466" s="260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259"/>
      <c r="K467" s="133"/>
      <c r="L467" s="85"/>
      <c r="M467" s="135"/>
      <c r="N467" s="260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259"/>
      <c r="K468" s="133"/>
      <c r="L468" s="85"/>
      <c r="M468" s="135"/>
      <c r="N468" s="260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259"/>
      <c r="K469" s="133"/>
      <c r="L469" s="85"/>
      <c r="M469" s="135"/>
      <c r="N469" s="260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259"/>
      <c r="K470" s="133"/>
      <c r="L470" s="85"/>
      <c r="M470" s="135"/>
      <c r="N470" s="260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259"/>
      <c r="K471" s="133"/>
      <c r="L471" s="85"/>
      <c r="M471" s="135"/>
      <c r="N471" s="260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259"/>
      <c r="K472" s="133"/>
      <c r="L472" s="85"/>
      <c r="M472" s="135"/>
      <c r="N472" s="260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259"/>
      <c r="K473" s="133"/>
      <c r="L473" s="85"/>
      <c r="M473" s="135"/>
      <c r="N473" s="260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259"/>
      <c r="K474" s="133"/>
      <c r="L474" s="85"/>
      <c r="M474" s="135"/>
      <c r="N474" s="260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259"/>
      <c r="K475" s="133"/>
      <c r="L475" s="85"/>
      <c r="M475" s="135"/>
      <c r="N475" s="260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259"/>
      <c r="K476" s="133"/>
      <c r="L476" s="85"/>
      <c r="M476" s="135"/>
      <c r="N476" s="260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259"/>
      <c r="K477" s="133"/>
      <c r="L477" s="85"/>
      <c r="M477" s="135"/>
      <c r="N477" s="260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259"/>
      <c r="K478" s="133"/>
      <c r="L478" s="85"/>
      <c r="M478" s="135"/>
      <c r="N478" s="260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259"/>
      <c r="K479" s="133"/>
      <c r="L479" s="85"/>
      <c r="M479" s="135"/>
      <c r="N479" s="260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259"/>
      <c r="K480" s="133"/>
      <c r="L480" s="85"/>
      <c r="M480" s="135"/>
      <c r="N480" s="260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259"/>
      <c r="K481" s="133"/>
      <c r="L481" s="85"/>
      <c r="M481" s="135"/>
      <c r="N481" s="260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259"/>
      <c r="K482" s="133"/>
      <c r="L482" s="85"/>
      <c r="M482" s="135"/>
      <c r="N482" s="260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259"/>
      <c r="K483" s="133"/>
      <c r="L483" s="85"/>
      <c r="M483" s="135"/>
      <c r="N483" s="260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259"/>
      <c r="K484" s="133"/>
      <c r="L484" s="85"/>
      <c r="M484" s="135"/>
      <c r="N484" s="260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259"/>
      <c r="K485" s="133"/>
      <c r="L485" s="85"/>
      <c r="M485" s="135"/>
      <c r="N485" s="260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259"/>
      <c r="K486" s="133"/>
      <c r="L486" s="85"/>
      <c r="M486" s="135"/>
      <c r="N486" s="260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259"/>
      <c r="K487" s="133"/>
      <c r="L487" s="85"/>
      <c r="M487" s="135"/>
      <c r="N487" s="260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259"/>
      <c r="K488" s="133"/>
      <c r="L488" s="85"/>
      <c r="M488" s="135"/>
      <c r="N488" s="260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259"/>
      <c r="K489" s="133"/>
      <c r="L489" s="85"/>
      <c r="M489" s="135"/>
      <c r="N489" s="260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259"/>
      <c r="K490" s="133"/>
      <c r="L490" s="85"/>
      <c r="M490" s="135"/>
      <c r="N490" s="260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259"/>
      <c r="K491" s="133"/>
      <c r="L491" s="85"/>
      <c r="M491" s="135"/>
      <c r="N491" s="260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259"/>
      <c r="K492" s="133"/>
      <c r="L492" s="85"/>
      <c r="M492" s="135"/>
      <c r="N492" s="260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259"/>
      <c r="K493" s="133"/>
      <c r="L493" s="85"/>
      <c r="M493" s="135"/>
      <c r="N493" s="260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259"/>
      <c r="K494" s="133"/>
      <c r="L494" s="85"/>
      <c r="M494" s="135"/>
      <c r="N494" s="260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259"/>
      <c r="K495" s="133"/>
      <c r="L495" s="85"/>
      <c r="M495" s="135"/>
      <c r="N495" s="260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259"/>
      <c r="K496" s="133"/>
      <c r="L496" s="85"/>
      <c r="M496" s="135"/>
      <c r="N496" s="260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259"/>
      <c r="K497" s="133"/>
      <c r="L497" s="85"/>
      <c r="M497" s="135"/>
      <c r="N497" s="260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259"/>
      <c r="K498" s="133"/>
      <c r="L498" s="85"/>
      <c r="M498" s="135"/>
      <c r="N498" s="260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259"/>
      <c r="K499" s="133"/>
      <c r="L499" s="85"/>
      <c r="M499" s="135"/>
      <c r="N499" s="260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259"/>
      <c r="K500" s="133"/>
      <c r="L500" s="85"/>
      <c r="M500" s="135"/>
      <c r="N500" s="260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259"/>
      <c r="K501" s="133"/>
      <c r="L501" s="85"/>
      <c r="M501" s="135"/>
      <c r="N501" s="260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259"/>
      <c r="K502" s="133"/>
      <c r="L502" s="85"/>
      <c r="M502" s="135"/>
      <c r="N502" s="260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259"/>
      <c r="K503" s="133"/>
      <c r="L503" s="85"/>
      <c r="M503" s="135"/>
      <c r="N503" s="260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259"/>
      <c r="K504" s="133"/>
      <c r="L504" s="85"/>
      <c r="M504" s="135"/>
      <c r="N504" s="260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259"/>
      <c r="K505" s="133"/>
      <c r="L505" s="85"/>
      <c r="M505" s="135"/>
      <c r="N505" s="260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259"/>
      <c r="K506" s="133"/>
      <c r="L506" s="85"/>
      <c r="M506" s="135"/>
      <c r="N506" s="260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259"/>
      <c r="K507" s="133"/>
      <c r="L507" s="85"/>
      <c r="M507" s="135"/>
      <c r="N507" s="260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259"/>
      <c r="K508" s="133"/>
      <c r="L508" s="85"/>
      <c r="M508" s="135"/>
      <c r="N508" s="260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259"/>
      <c r="K509" s="133"/>
      <c r="L509" s="85"/>
      <c r="M509" s="135"/>
      <c r="N509" s="260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259"/>
      <c r="K510" s="133"/>
      <c r="L510" s="85"/>
      <c r="M510" s="135"/>
      <c r="N510" s="260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259"/>
      <c r="K511" s="133"/>
      <c r="L511" s="85"/>
      <c r="M511" s="135"/>
      <c r="N511" s="260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259"/>
      <c r="K512" s="133"/>
      <c r="L512" s="85"/>
      <c r="M512" s="135"/>
      <c r="N512" s="260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259"/>
      <c r="K513" s="133"/>
      <c r="L513" s="85"/>
      <c r="M513" s="135"/>
      <c r="N513" s="260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259"/>
      <c r="K514" s="133"/>
      <c r="L514" s="85"/>
      <c r="M514" s="135"/>
      <c r="N514" s="260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259"/>
      <c r="K515" s="133"/>
      <c r="L515" s="85"/>
      <c r="M515" s="135"/>
      <c r="N515" s="260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259"/>
      <c r="K516" s="133"/>
      <c r="L516" s="85"/>
      <c r="M516" s="135"/>
      <c r="N516" s="260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259"/>
      <c r="K517" s="133"/>
      <c r="L517" s="85"/>
      <c r="M517" s="135"/>
      <c r="N517" s="260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259"/>
      <c r="K518" s="133"/>
      <c r="L518" s="85"/>
      <c r="M518" s="135"/>
      <c r="N518" s="260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259"/>
      <c r="K519" s="133"/>
      <c r="L519" s="85"/>
      <c r="M519" s="135"/>
      <c r="N519" s="260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259"/>
      <c r="K520" s="133"/>
      <c r="L520" s="85"/>
      <c r="M520" s="135"/>
      <c r="N520" s="260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259"/>
      <c r="K521" s="133"/>
      <c r="L521" s="85"/>
      <c r="M521" s="135"/>
      <c r="N521" s="260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259"/>
      <c r="K522" s="133"/>
      <c r="L522" s="85"/>
      <c r="M522" s="135"/>
      <c r="N522" s="260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259"/>
      <c r="K523" s="133"/>
      <c r="L523" s="85"/>
      <c r="M523" s="135"/>
      <c r="N523" s="260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259"/>
      <c r="K524" s="133"/>
      <c r="L524" s="85"/>
      <c r="M524" s="135"/>
      <c r="N524" s="260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259"/>
      <c r="K525" s="133"/>
      <c r="L525" s="85"/>
      <c r="M525" s="135"/>
      <c r="N525" s="260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259"/>
      <c r="K526" s="133"/>
      <c r="L526" s="85"/>
      <c r="M526" s="135"/>
      <c r="N526" s="260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259"/>
      <c r="K527" s="133"/>
      <c r="L527" s="85"/>
      <c r="M527" s="135"/>
      <c r="N527" s="260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259"/>
      <c r="K528" s="133"/>
      <c r="L528" s="85"/>
      <c r="M528" s="135"/>
      <c r="N528" s="260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259"/>
      <c r="K529" s="133"/>
      <c r="L529" s="85"/>
      <c r="M529" s="135"/>
      <c r="N529" s="260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259"/>
      <c r="K530" s="133"/>
      <c r="L530" s="85"/>
      <c r="M530" s="135"/>
      <c r="N530" s="260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259"/>
      <c r="K531" s="133"/>
      <c r="L531" s="85"/>
      <c r="M531" s="135"/>
      <c r="N531" s="260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259"/>
      <c r="K532" s="133"/>
      <c r="L532" s="85"/>
      <c r="M532" s="135"/>
      <c r="N532" s="260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259"/>
      <c r="K533" s="133"/>
      <c r="L533" s="85"/>
      <c r="M533" s="135"/>
      <c r="N533" s="260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259"/>
      <c r="K534" s="133"/>
      <c r="L534" s="85"/>
      <c r="M534" s="135"/>
      <c r="N534" s="260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259"/>
      <c r="K535" s="133"/>
      <c r="L535" s="85"/>
      <c r="M535" s="135"/>
      <c r="N535" s="260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259"/>
      <c r="K536" s="133"/>
      <c r="L536" s="85"/>
      <c r="M536" s="135"/>
      <c r="N536" s="260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259"/>
      <c r="K537" s="133"/>
      <c r="L537" s="85"/>
      <c r="M537" s="135"/>
      <c r="N537" s="260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259"/>
      <c r="K538" s="133"/>
      <c r="L538" s="85"/>
      <c r="M538" s="135"/>
      <c r="N538" s="260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259"/>
      <c r="K539" s="133"/>
      <c r="L539" s="85"/>
      <c r="M539" s="135"/>
      <c r="N539" s="260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259"/>
      <c r="K540" s="133"/>
      <c r="L540" s="85"/>
      <c r="M540" s="135"/>
      <c r="N540" s="260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259"/>
      <c r="K541" s="133"/>
      <c r="L541" s="85"/>
      <c r="M541" s="135"/>
      <c r="N541" s="260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259"/>
      <c r="K542" s="133"/>
      <c r="L542" s="85"/>
      <c r="M542" s="135"/>
      <c r="N542" s="260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259"/>
      <c r="K543" s="133"/>
      <c r="L543" s="85"/>
      <c r="M543" s="135"/>
      <c r="N543" s="260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259"/>
      <c r="K544" s="133"/>
      <c r="L544" s="85"/>
      <c r="M544" s="135"/>
      <c r="N544" s="260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259"/>
      <c r="K545" s="133"/>
      <c r="L545" s="85"/>
      <c r="M545" s="135"/>
      <c r="N545" s="260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259"/>
      <c r="K546" s="133"/>
      <c r="L546" s="85"/>
      <c r="M546" s="135"/>
      <c r="N546" s="260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259"/>
      <c r="K547" s="133"/>
      <c r="L547" s="85"/>
      <c r="M547" s="135"/>
      <c r="N547" s="260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259"/>
      <c r="K548" s="133"/>
      <c r="L548" s="85"/>
      <c r="M548" s="135"/>
      <c r="N548" s="260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259"/>
      <c r="K549" s="133"/>
      <c r="L549" s="85"/>
      <c r="M549" s="135"/>
      <c r="N549" s="260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259"/>
      <c r="K550" s="133"/>
      <c r="L550" s="85"/>
      <c r="M550" s="135"/>
      <c r="N550" s="260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259"/>
      <c r="K551" s="133"/>
      <c r="L551" s="85"/>
      <c r="M551" s="135"/>
      <c r="N551" s="260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259"/>
      <c r="K552" s="133"/>
      <c r="L552" s="85"/>
      <c r="M552" s="135"/>
      <c r="N552" s="260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259"/>
      <c r="K553" s="133"/>
      <c r="L553" s="85"/>
      <c r="M553" s="135"/>
      <c r="N553" s="260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259"/>
      <c r="K554" s="133"/>
      <c r="L554" s="85"/>
      <c r="M554" s="135"/>
      <c r="N554" s="260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259"/>
      <c r="K555" s="133"/>
      <c r="L555" s="85"/>
      <c r="M555" s="135"/>
      <c r="N555" s="260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259"/>
      <c r="K556" s="133"/>
      <c r="L556" s="85"/>
      <c r="M556" s="135"/>
      <c r="N556" s="260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259"/>
      <c r="K557" s="133"/>
      <c r="L557" s="85"/>
      <c r="M557" s="135"/>
      <c r="N557" s="260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259"/>
      <c r="K558" s="133"/>
      <c r="L558" s="85"/>
      <c r="M558" s="135"/>
      <c r="N558" s="260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259"/>
      <c r="K559" s="133"/>
      <c r="L559" s="85"/>
      <c r="M559" s="135"/>
      <c r="N559" s="260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259"/>
      <c r="K560" s="133"/>
      <c r="L560" s="85"/>
      <c r="M560" s="135"/>
      <c r="N560" s="260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259"/>
      <c r="K561" s="133"/>
      <c r="L561" s="85"/>
      <c r="M561" s="135"/>
      <c r="N561" s="260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259"/>
      <c r="K562" s="133"/>
      <c r="L562" s="85"/>
      <c r="M562" s="135"/>
      <c r="N562" s="260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259"/>
      <c r="K563" s="133"/>
      <c r="L563" s="85"/>
      <c r="M563" s="135"/>
      <c r="N563" s="260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259"/>
      <c r="K564" s="133"/>
      <c r="L564" s="85"/>
      <c r="M564" s="135"/>
      <c r="N564" s="260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259"/>
      <c r="K565" s="133"/>
      <c r="L565" s="85"/>
      <c r="M565" s="135"/>
      <c r="N565" s="260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259"/>
      <c r="K566" s="133"/>
      <c r="L566" s="85"/>
      <c r="M566" s="135"/>
      <c r="N566" s="260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259"/>
      <c r="K567" s="133"/>
      <c r="L567" s="85"/>
      <c r="M567" s="135"/>
      <c r="N567" s="260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259"/>
      <c r="K568" s="133"/>
      <c r="L568" s="85"/>
      <c r="M568" s="135"/>
      <c r="N568" s="260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259"/>
      <c r="K569" s="133"/>
      <c r="L569" s="85"/>
      <c r="M569" s="135"/>
      <c r="N569" s="260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259"/>
      <c r="K570" s="133"/>
      <c r="L570" s="85"/>
      <c r="M570" s="135"/>
      <c r="N570" s="260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259"/>
      <c r="K571" s="133"/>
      <c r="L571" s="85"/>
      <c r="M571" s="135"/>
      <c r="N571" s="260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259"/>
      <c r="K572" s="133"/>
      <c r="L572" s="85"/>
      <c r="M572" s="135"/>
      <c r="N572" s="260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259"/>
      <c r="K573" s="133"/>
      <c r="L573" s="85"/>
      <c r="M573" s="135"/>
      <c r="N573" s="260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259"/>
      <c r="K574" s="133"/>
      <c r="L574" s="85"/>
      <c r="M574" s="135"/>
      <c r="N574" s="260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259"/>
      <c r="K575" s="133"/>
      <c r="L575" s="85"/>
      <c r="M575" s="135"/>
      <c r="N575" s="260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259"/>
      <c r="K576" s="133"/>
      <c r="L576" s="85"/>
      <c r="M576" s="135"/>
      <c r="N576" s="260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259"/>
      <c r="K577" s="133"/>
      <c r="L577" s="85"/>
      <c r="M577" s="135"/>
      <c r="N577" s="260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259"/>
      <c r="K578" s="133"/>
      <c r="L578" s="85"/>
      <c r="M578" s="135"/>
      <c r="N578" s="260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259"/>
      <c r="K579" s="133"/>
      <c r="L579" s="85"/>
      <c r="M579" s="135"/>
      <c r="N579" s="260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259"/>
      <c r="K580" s="133"/>
      <c r="L580" s="85"/>
      <c r="M580" s="135"/>
      <c r="N580" s="260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259"/>
      <c r="K581" s="133"/>
      <c r="L581" s="85"/>
      <c r="M581" s="135"/>
      <c r="N581" s="260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259"/>
      <c r="K582" s="133"/>
      <c r="L582" s="85"/>
      <c r="M582" s="135"/>
      <c r="N582" s="260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259"/>
      <c r="K583" s="133"/>
      <c r="L583" s="85"/>
      <c r="M583" s="135"/>
      <c r="N583" s="260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259"/>
      <c r="K584" s="133"/>
      <c r="L584" s="85"/>
      <c r="M584" s="135"/>
      <c r="N584" s="260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259"/>
      <c r="K585" s="133"/>
      <c r="L585" s="85"/>
      <c r="M585" s="135"/>
      <c r="N585" s="260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259"/>
      <c r="K586" s="133"/>
      <c r="L586" s="85"/>
      <c r="M586" s="135"/>
      <c r="N586" s="260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259"/>
      <c r="K587" s="133"/>
      <c r="L587" s="85"/>
      <c r="M587" s="135"/>
      <c r="N587" s="260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259"/>
      <c r="K588" s="133"/>
      <c r="L588" s="85"/>
      <c r="M588" s="135"/>
      <c r="N588" s="260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259"/>
      <c r="K589" s="133"/>
      <c r="L589" s="85"/>
      <c r="M589" s="135"/>
      <c r="N589" s="260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259"/>
      <c r="K590" s="133"/>
      <c r="L590" s="85"/>
      <c r="M590" s="135"/>
      <c r="N590" s="260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259"/>
      <c r="K591" s="133"/>
      <c r="L591" s="85"/>
      <c r="M591" s="135"/>
      <c r="N591" s="260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259"/>
      <c r="K592" s="133"/>
      <c r="L592" s="85"/>
      <c r="M592" s="135"/>
      <c r="N592" s="260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259"/>
      <c r="K593" s="133"/>
      <c r="L593" s="85"/>
      <c r="M593" s="135"/>
      <c r="N593" s="260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259"/>
      <c r="K594" s="133"/>
      <c r="L594" s="85"/>
      <c r="M594" s="135"/>
      <c r="N594" s="260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259"/>
      <c r="K595" s="133"/>
      <c r="L595" s="85"/>
      <c r="M595" s="135"/>
      <c r="N595" s="260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259"/>
      <c r="K596" s="133"/>
      <c r="L596" s="85"/>
      <c r="M596" s="135"/>
      <c r="N596" s="260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259"/>
      <c r="K597" s="133"/>
      <c r="L597" s="85"/>
      <c r="M597" s="135"/>
      <c r="N597" s="260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259"/>
      <c r="K598" s="133"/>
      <c r="L598" s="85"/>
      <c r="M598" s="135"/>
      <c r="N598" s="260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259"/>
      <c r="K599" s="133"/>
      <c r="L599" s="85"/>
      <c r="M599" s="135"/>
      <c r="N599" s="260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259"/>
      <c r="K600" s="133"/>
      <c r="L600" s="85"/>
      <c r="M600" s="135"/>
      <c r="N600" s="260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259"/>
      <c r="K601" s="133"/>
      <c r="L601" s="85"/>
      <c r="M601" s="135"/>
      <c r="N601" s="260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259"/>
      <c r="K602" s="133"/>
      <c r="L602" s="85"/>
      <c r="M602" s="135"/>
      <c r="N602" s="260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259"/>
      <c r="K603" s="133"/>
      <c r="L603" s="85"/>
      <c r="M603" s="135"/>
      <c r="N603" s="260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259"/>
      <c r="K604" s="133"/>
      <c r="L604" s="85"/>
      <c r="M604" s="135"/>
      <c r="N604" s="260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259"/>
      <c r="K605" s="133"/>
      <c r="L605" s="85"/>
      <c r="M605" s="135"/>
      <c r="N605" s="260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259"/>
      <c r="K606" s="133"/>
      <c r="L606" s="85"/>
      <c r="M606" s="135"/>
      <c r="N606" s="260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259"/>
      <c r="K607" s="133"/>
      <c r="L607" s="85"/>
      <c r="M607" s="135"/>
      <c r="N607" s="260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259"/>
      <c r="K608" s="133"/>
      <c r="L608" s="85"/>
      <c r="M608" s="135"/>
      <c r="N608" s="260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259"/>
      <c r="K609" s="133"/>
      <c r="L609" s="85"/>
      <c r="M609" s="135"/>
      <c r="N609" s="260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259"/>
      <c r="K610" s="133"/>
      <c r="L610" s="85"/>
      <c r="M610" s="135"/>
      <c r="N610" s="260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259"/>
      <c r="K611" s="133"/>
      <c r="L611" s="85"/>
      <c r="M611" s="135"/>
      <c r="N611" s="260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259"/>
      <c r="K612" s="133"/>
      <c r="L612" s="85"/>
      <c r="M612" s="135"/>
      <c r="N612" s="260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259"/>
      <c r="K613" s="133"/>
      <c r="L613" s="85"/>
      <c r="M613" s="135"/>
      <c r="N613" s="260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259"/>
      <c r="K614" s="133"/>
      <c r="L614" s="85"/>
      <c r="M614" s="135"/>
      <c r="N614" s="260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259"/>
      <c r="K615" s="133"/>
      <c r="L615" s="85"/>
      <c r="M615" s="135"/>
      <c r="N615" s="260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259"/>
      <c r="K616" s="133"/>
      <c r="L616" s="85"/>
      <c r="M616" s="135"/>
      <c r="N616" s="260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259"/>
      <c r="K617" s="133"/>
      <c r="L617" s="85"/>
      <c r="M617" s="135"/>
      <c r="N617" s="260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259"/>
      <c r="K618" s="133"/>
      <c r="L618" s="85"/>
      <c r="M618" s="135"/>
      <c r="N618" s="260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259"/>
      <c r="K619" s="133"/>
      <c r="L619" s="85"/>
      <c r="M619" s="135"/>
      <c r="N619" s="260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259"/>
      <c r="K620" s="133"/>
      <c r="L620" s="85"/>
      <c r="M620" s="135"/>
      <c r="N620" s="260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259"/>
      <c r="K621" s="133"/>
      <c r="L621" s="85"/>
      <c r="M621" s="135"/>
      <c r="N621" s="260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259"/>
      <c r="K622" s="133"/>
      <c r="L622" s="85"/>
      <c r="M622" s="135"/>
      <c r="N622" s="260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259"/>
      <c r="K623" s="133"/>
      <c r="L623" s="85"/>
      <c r="M623" s="135"/>
      <c r="N623" s="260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259"/>
      <c r="K624" s="133"/>
      <c r="L624" s="85"/>
      <c r="M624" s="135"/>
      <c r="N624" s="260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259"/>
      <c r="K625" s="133"/>
      <c r="L625" s="85"/>
      <c r="M625" s="135"/>
      <c r="N625" s="260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259"/>
      <c r="K626" s="133"/>
      <c r="L626" s="85"/>
      <c r="M626" s="135"/>
      <c r="N626" s="260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259"/>
      <c r="K627" s="133"/>
      <c r="L627" s="85"/>
      <c r="M627" s="135"/>
      <c r="N627" s="260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259"/>
      <c r="K628" s="133"/>
      <c r="L628" s="85"/>
      <c r="M628" s="135"/>
      <c r="N628" s="260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259"/>
      <c r="K629" s="133"/>
      <c r="L629" s="85"/>
      <c r="M629" s="135"/>
      <c r="N629" s="260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259"/>
      <c r="K630" s="133"/>
      <c r="L630" s="85"/>
      <c r="M630" s="135"/>
      <c r="N630" s="260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259"/>
      <c r="K631" s="133"/>
      <c r="L631" s="85"/>
      <c r="M631" s="135"/>
      <c r="N631" s="260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259"/>
      <c r="K632" s="133"/>
      <c r="L632" s="85"/>
      <c r="M632" s="135"/>
      <c r="N632" s="260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259"/>
      <c r="K633" s="133"/>
      <c r="L633" s="85"/>
      <c r="M633" s="135"/>
      <c r="N633" s="260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259"/>
      <c r="K634" s="133"/>
      <c r="L634" s="85"/>
      <c r="M634" s="135"/>
      <c r="N634" s="260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259"/>
      <c r="K635" s="133"/>
      <c r="L635" s="85"/>
      <c r="M635" s="135"/>
      <c r="N635" s="260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259"/>
      <c r="K636" s="133"/>
      <c r="L636" s="85"/>
      <c r="M636" s="135"/>
      <c r="N636" s="260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259"/>
      <c r="K637" s="133"/>
      <c r="L637" s="85"/>
      <c r="M637" s="135"/>
      <c r="N637" s="260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259"/>
      <c r="K638" s="133"/>
      <c r="L638" s="85"/>
      <c r="M638" s="135"/>
      <c r="N638" s="260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259"/>
      <c r="K639" s="133"/>
      <c r="L639" s="85"/>
      <c r="M639" s="135"/>
      <c r="N639" s="260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259"/>
      <c r="K640" s="133"/>
      <c r="L640" s="85"/>
      <c r="M640" s="135"/>
      <c r="N640" s="260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259"/>
      <c r="K641" s="133"/>
      <c r="L641" s="85"/>
      <c r="M641" s="135"/>
      <c r="N641" s="260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259"/>
      <c r="K642" s="133"/>
      <c r="L642" s="85"/>
      <c r="M642" s="135"/>
      <c r="N642" s="260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259"/>
      <c r="K643" s="133"/>
      <c r="L643" s="85"/>
      <c r="M643" s="135"/>
      <c r="N643" s="260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259"/>
      <c r="K644" s="133"/>
      <c r="L644" s="85"/>
      <c r="M644" s="135"/>
      <c r="N644" s="260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259"/>
      <c r="K645" s="133"/>
      <c r="L645" s="85"/>
      <c r="M645" s="135"/>
      <c r="N645" s="260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259"/>
      <c r="K646" s="133"/>
      <c r="L646" s="85"/>
      <c r="M646" s="135"/>
      <c r="N646" s="260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259"/>
      <c r="K647" s="133"/>
      <c r="L647" s="85"/>
      <c r="M647" s="135"/>
      <c r="N647" s="260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259"/>
      <c r="K648" s="133"/>
      <c r="L648" s="85"/>
      <c r="M648" s="135"/>
      <c r="N648" s="260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259"/>
      <c r="K649" s="133"/>
      <c r="L649" s="85"/>
      <c r="M649" s="135"/>
      <c r="N649" s="260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259"/>
      <c r="K650" s="133"/>
      <c r="L650" s="85"/>
      <c r="M650" s="135"/>
      <c r="N650" s="260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259"/>
      <c r="K651" s="133"/>
      <c r="L651" s="85"/>
      <c r="M651" s="135"/>
      <c r="N651" s="260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259"/>
      <c r="K652" s="133"/>
      <c r="L652" s="85"/>
      <c r="M652" s="135"/>
      <c r="N652" s="260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259"/>
      <c r="K653" s="133"/>
      <c r="L653" s="85"/>
      <c r="M653" s="135"/>
      <c r="N653" s="260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259"/>
      <c r="K654" s="133"/>
      <c r="L654" s="85"/>
      <c r="M654" s="135"/>
      <c r="N654" s="260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259"/>
      <c r="K655" s="133"/>
      <c r="L655" s="85"/>
      <c r="M655" s="135"/>
      <c r="N655" s="260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259"/>
      <c r="K656" s="133"/>
      <c r="L656" s="85"/>
      <c r="M656" s="135"/>
      <c r="N656" s="260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259"/>
      <c r="K657" s="133"/>
      <c r="L657" s="85"/>
      <c r="M657" s="135"/>
      <c r="N657" s="260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259"/>
      <c r="K658" s="133"/>
      <c r="L658" s="85"/>
      <c r="M658" s="135"/>
      <c r="N658" s="260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259"/>
      <c r="K659" s="133"/>
      <c r="L659" s="85"/>
      <c r="M659" s="135"/>
      <c r="N659" s="260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259"/>
      <c r="K660" s="133"/>
      <c r="L660" s="85"/>
      <c r="M660" s="135"/>
      <c r="N660" s="260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259"/>
      <c r="K661" s="133"/>
      <c r="L661" s="85"/>
      <c r="M661" s="135"/>
      <c r="N661" s="260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259"/>
      <c r="K662" s="133"/>
      <c r="L662" s="85"/>
      <c r="M662" s="135"/>
      <c r="N662" s="260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259"/>
      <c r="K663" s="133"/>
      <c r="L663" s="85"/>
      <c r="M663" s="135"/>
      <c r="N663" s="260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259"/>
      <c r="K664" s="133"/>
      <c r="L664" s="85"/>
      <c r="M664" s="135"/>
      <c r="N664" s="260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259"/>
      <c r="K665" s="133"/>
      <c r="L665" s="85"/>
      <c r="M665" s="135"/>
      <c r="N665" s="260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259"/>
      <c r="K666" s="133"/>
      <c r="L666" s="85"/>
      <c r="M666" s="135"/>
      <c r="N666" s="260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259"/>
      <c r="K667" s="133"/>
      <c r="L667" s="85"/>
      <c r="M667" s="135"/>
      <c r="N667" s="260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259"/>
      <c r="K668" s="133"/>
      <c r="L668" s="85"/>
      <c r="M668" s="135"/>
      <c r="N668" s="260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259"/>
      <c r="K669" s="133"/>
      <c r="L669" s="85"/>
      <c r="M669" s="135"/>
      <c r="N669" s="260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259"/>
      <c r="K670" s="133"/>
      <c r="L670" s="85"/>
      <c r="M670" s="135"/>
      <c r="N670" s="260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259"/>
      <c r="K671" s="133"/>
      <c r="L671" s="85"/>
      <c r="M671" s="135"/>
      <c r="N671" s="260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259"/>
      <c r="K672" s="133"/>
      <c r="L672" s="85"/>
      <c r="M672" s="135"/>
      <c r="N672" s="260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259"/>
      <c r="K673" s="133"/>
      <c r="L673" s="85"/>
      <c r="M673" s="135"/>
      <c r="N673" s="260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259"/>
      <c r="K674" s="133"/>
      <c r="L674" s="85"/>
      <c r="M674" s="135"/>
      <c r="N674" s="260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259"/>
      <c r="K675" s="133"/>
      <c r="L675" s="85"/>
      <c r="M675" s="135"/>
      <c r="N675" s="260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259"/>
      <c r="K676" s="133"/>
      <c r="L676" s="85"/>
      <c r="M676" s="135"/>
      <c r="N676" s="260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259"/>
      <c r="K677" s="133"/>
      <c r="L677" s="85"/>
      <c r="M677" s="135"/>
      <c r="N677" s="260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259"/>
      <c r="K678" s="133"/>
      <c r="L678" s="85"/>
      <c r="M678" s="135"/>
      <c r="N678" s="260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259"/>
      <c r="K679" s="133"/>
      <c r="L679" s="85"/>
      <c r="M679" s="135"/>
      <c r="N679" s="260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259"/>
      <c r="K680" s="133"/>
      <c r="L680" s="85"/>
      <c r="M680" s="135"/>
      <c r="N680" s="260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259"/>
      <c r="K681" s="133"/>
      <c r="L681" s="85"/>
      <c r="M681" s="135"/>
      <c r="N681" s="260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259"/>
      <c r="K682" s="133"/>
      <c r="L682" s="85"/>
      <c r="M682" s="135"/>
      <c r="N682" s="260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259"/>
      <c r="K683" s="133"/>
      <c r="L683" s="85"/>
      <c r="M683" s="135"/>
      <c r="N683" s="260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259"/>
      <c r="K684" s="133"/>
      <c r="L684" s="85"/>
      <c r="M684" s="135"/>
      <c r="N684" s="260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259"/>
      <c r="K685" s="133"/>
      <c r="L685" s="85"/>
      <c r="M685" s="135"/>
      <c r="N685" s="260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259"/>
      <c r="K686" s="133"/>
      <c r="L686" s="85"/>
      <c r="M686" s="135"/>
      <c r="N686" s="260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259"/>
      <c r="K687" s="133"/>
      <c r="L687" s="85"/>
      <c r="M687" s="135"/>
      <c r="N687" s="260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259"/>
      <c r="K688" s="133"/>
      <c r="L688" s="85"/>
      <c r="M688" s="135"/>
      <c r="N688" s="260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259"/>
      <c r="K689" s="133"/>
      <c r="L689" s="85"/>
      <c r="M689" s="135"/>
      <c r="N689" s="260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259"/>
      <c r="K690" s="133"/>
      <c r="L690" s="85"/>
      <c r="M690" s="135"/>
      <c r="N690" s="260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259"/>
      <c r="K691" s="133"/>
      <c r="L691" s="85"/>
      <c r="M691" s="135"/>
      <c r="N691" s="260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259"/>
      <c r="K692" s="133"/>
      <c r="L692" s="85"/>
      <c r="M692" s="135"/>
      <c r="N692" s="260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259"/>
      <c r="K693" s="133"/>
      <c r="L693" s="85"/>
      <c r="M693" s="135"/>
      <c r="N693" s="260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259"/>
      <c r="K694" s="133"/>
      <c r="L694" s="85"/>
      <c r="M694" s="135"/>
      <c r="N694" s="260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259"/>
      <c r="K695" s="133"/>
      <c r="L695" s="85"/>
      <c r="M695" s="135"/>
      <c r="N695" s="260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259"/>
      <c r="K696" s="133"/>
      <c r="L696" s="85"/>
      <c r="M696" s="135"/>
      <c r="N696" s="260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259"/>
      <c r="K697" s="133"/>
      <c r="L697" s="85"/>
      <c r="M697" s="135"/>
      <c r="N697" s="260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259"/>
      <c r="K698" s="133"/>
      <c r="L698" s="85"/>
      <c r="M698" s="135"/>
      <c r="N698" s="260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259"/>
      <c r="K699" s="133"/>
      <c r="L699" s="85"/>
      <c r="M699" s="135"/>
      <c r="N699" s="260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259"/>
      <c r="K700" s="133"/>
      <c r="L700" s="85"/>
      <c r="M700" s="135"/>
      <c r="N700" s="260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259"/>
      <c r="K701" s="133"/>
      <c r="L701" s="85"/>
      <c r="M701" s="135"/>
      <c r="N701" s="260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259"/>
      <c r="K702" s="133"/>
      <c r="L702" s="85"/>
      <c r="M702" s="135"/>
      <c r="N702" s="260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259"/>
      <c r="K703" s="133"/>
      <c r="L703" s="85"/>
      <c r="M703" s="135"/>
      <c r="N703" s="260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259"/>
      <c r="K704" s="133"/>
      <c r="L704" s="85"/>
      <c r="M704" s="135"/>
      <c r="N704" s="260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259"/>
      <c r="K705" s="133"/>
      <c r="L705" s="85"/>
      <c r="M705" s="135"/>
      <c r="N705" s="260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259"/>
      <c r="K706" s="133"/>
      <c r="L706" s="85"/>
      <c r="M706" s="135"/>
      <c r="N706" s="260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259"/>
      <c r="K707" s="133"/>
      <c r="L707" s="85"/>
      <c r="M707" s="135"/>
      <c r="N707" s="260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259"/>
      <c r="K708" s="133"/>
      <c r="L708" s="85"/>
      <c r="M708" s="135"/>
      <c r="N708" s="260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259"/>
      <c r="K709" s="133"/>
      <c r="L709" s="85"/>
      <c r="M709" s="135"/>
      <c r="N709" s="260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259"/>
      <c r="K710" s="133"/>
      <c r="L710" s="85"/>
      <c r="M710" s="135"/>
      <c r="N710" s="260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259"/>
      <c r="K711" s="133"/>
      <c r="L711" s="85"/>
      <c r="M711" s="135"/>
      <c r="N711" s="260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259"/>
      <c r="K712" s="133"/>
      <c r="L712" s="85"/>
      <c r="M712" s="135"/>
      <c r="N712" s="260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259"/>
      <c r="K713" s="133"/>
      <c r="L713" s="85"/>
      <c r="M713" s="135"/>
      <c r="N713" s="260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259"/>
      <c r="K714" s="133"/>
      <c r="L714" s="85"/>
      <c r="M714" s="135"/>
      <c r="N714" s="260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259"/>
      <c r="K715" s="133"/>
      <c r="L715" s="85"/>
      <c r="M715" s="135"/>
      <c r="N715" s="260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259"/>
      <c r="K716" s="133"/>
      <c r="L716" s="85"/>
      <c r="M716" s="135"/>
      <c r="N716" s="260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259"/>
      <c r="K717" s="133"/>
      <c r="L717" s="85"/>
      <c r="M717" s="135"/>
      <c r="N717" s="260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259"/>
      <c r="K718" s="133"/>
      <c r="L718" s="85"/>
      <c r="M718" s="135"/>
      <c r="N718" s="260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259"/>
      <c r="K719" s="133"/>
      <c r="L719" s="85"/>
      <c r="M719" s="135"/>
      <c r="N719" s="260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259"/>
      <c r="K720" s="133"/>
      <c r="L720" s="85"/>
      <c r="M720" s="135"/>
      <c r="N720" s="260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259"/>
      <c r="K721" s="133"/>
      <c r="L721" s="85"/>
      <c r="M721" s="135"/>
      <c r="N721" s="260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259"/>
      <c r="K722" s="133"/>
      <c r="L722" s="85"/>
      <c r="M722" s="135"/>
      <c r="N722" s="260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259"/>
      <c r="K723" s="133"/>
      <c r="L723" s="85"/>
      <c r="M723" s="135"/>
      <c r="N723" s="260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259"/>
      <c r="K724" s="133"/>
      <c r="L724" s="85"/>
      <c r="M724" s="135"/>
      <c r="N724" s="260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259"/>
      <c r="K725" s="133"/>
      <c r="L725" s="85"/>
      <c r="M725" s="135"/>
      <c r="N725" s="260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259"/>
      <c r="K726" s="133"/>
      <c r="L726" s="85"/>
      <c r="M726" s="135"/>
      <c r="N726" s="260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259"/>
      <c r="K727" s="133"/>
      <c r="L727" s="85"/>
      <c r="M727" s="135"/>
      <c r="N727" s="260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259"/>
      <c r="K728" s="133"/>
      <c r="L728" s="85"/>
      <c r="M728" s="135"/>
      <c r="N728" s="260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259"/>
      <c r="K729" s="133"/>
      <c r="L729" s="85"/>
      <c r="M729" s="135"/>
      <c r="N729" s="260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259"/>
      <c r="K730" s="133"/>
      <c r="L730" s="85"/>
      <c r="M730" s="135"/>
      <c r="N730" s="260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259"/>
      <c r="K731" s="133"/>
      <c r="L731" s="85"/>
      <c r="M731" s="135"/>
      <c r="N731" s="260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259"/>
      <c r="K732" s="133"/>
      <c r="L732" s="85"/>
      <c r="M732" s="135"/>
      <c r="N732" s="260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259"/>
      <c r="K733" s="133"/>
      <c r="L733" s="85"/>
      <c r="M733" s="135"/>
      <c r="N733" s="260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259"/>
      <c r="K734" s="133"/>
      <c r="L734" s="85"/>
      <c r="M734" s="135"/>
      <c r="N734" s="260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259"/>
      <c r="K735" s="133"/>
      <c r="L735" s="85"/>
      <c r="M735" s="135"/>
      <c r="N735" s="260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259"/>
      <c r="K736" s="133"/>
      <c r="L736" s="85"/>
      <c r="M736" s="135"/>
      <c r="N736" s="260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259"/>
      <c r="K737" s="133"/>
      <c r="L737" s="85"/>
      <c r="M737" s="135"/>
      <c r="N737" s="260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259"/>
      <c r="K738" s="133"/>
      <c r="L738" s="85"/>
      <c r="M738" s="135"/>
      <c r="N738" s="260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259"/>
      <c r="K739" s="133"/>
      <c r="L739" s="85"/>
      <c r="M739" s="135"/>
      <c r="N739" s="260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259"/>
      <c r="K740" s="133"/>
      <c r="L740" s="85"/>
      <c r="M740" s="135"/>
      <c r="N740" s="260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259"/>
      <c r="K741" s="133"/>
      <c r="L741" s="85"/>
      <c r="M741" s="135"/>
      <c r="N741" s="260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259"/>
      <c r="K742" s="133"/>
      <c r="L742" s="85"/>
      <c r="M742" s="135"/>
      <c r="N742" s="260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259"/>
      <c r="K743" s="133"/>
      <c r="L743" s="85"/>
      <c r="M743" s="135"/>
      <c r="N743" s="260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259"/>
      <c r="K744" s="133"/>
      <c r="L744" s="85"/>
      <c r="M744" s="135"/>
      <c r="N744" s="260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259"/>
      <c r="K745" s="133"/>
      <c r="L745" s="85"/>
      <c r="M745" s="135"/>
      <c r="N745" s="260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259"/>
      <c r="K746" s="133"/>
      <c r="L746" s="85"/>
      <c r="M746" s="135"/>
      <c r="N746" s="260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259"/>
      <c r="K747" s="133"/>
      <c r="L747" s="85"/>
      <c r="M747" s="135"/>
      <c r="N747" s="260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259"/>
      <c r="K748" s="133"/>
      <c r="L748" s="85"/>
      <c r="M748" s="135"/>
      <c r="N748" s="260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259"/>
      <c r="K749" s="133"/>
      <c r="L749" s="85"/>
      <c r="M749" s="135"/>
      <c r="N749" s="260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259"/>
      <c r="K750" s="133"/>
      <c r="L750" s="85"/>
      <c r="M750" s="135"/>
      <c r="N750" s="260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259"/>
      <c r="K751" s="133"/>
      <c r="L751" s="85"/>
      <c r="M751" s="135"/>
      <c r="N751" s="260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259"/>
      <c r="K752" s="133"/>
      <c r="L752" s="85"/>
      <c r="M752" s="135"/>
      <c r="N752" s="260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259"/>
      <c r="K753" s="133"/>
      <c r="L753" s="85"/>
      <c r="M753" s="135"/>
      <c r="N753" s="260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259"/>
      <c r="K754" s="133"/>
      <c r="L754" s="85"/>
      <c r="M754" s="135"/>
      <c r="N754" s="260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259"/>
      <c r="K755" s="133"/>
      <c r="L755" s="85"/>
      <c r="M755" s="135"/>
      <c r="N755" s="260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259"/>
      <c r="K756" s="133"/>
      <c r="L756" s="85"/>
      <c r="M756" s="135"/>
      <c r="N756" s="260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259"/>
      <c r="K757" s="133"/>
      <c r="L757" s="85"/>
      <c r="M757" s="135"/>
      <c r="N757" s="260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259"/>
      <c r="K758" s="133"/>
      <c r="L758" s="85"/>
      <c r="M758" s="135"/>
      <c r="N758" s="260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259"/>
      <c r="K759" s="133"/>
      <c r="L759" s="85"/>
      <c r="M759" s="135"/>
      <c r="N759" s="260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259"/>
      <c r="K760" s="133"/>
      <c r="L760" s="85"/>
      <c r="M760" s="135"/>
      <c r="N760" s="260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259"/>
      <c r="K761" s="133"/>
      <c r="L761" s="85"/>
      <c r="M761" s="135"/>
      <c r="N761" s="260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259"/>
      <c r="K762" s="133"/>
      <c r="L762" s="85"/>
      <c r="M762" s="135"/>
      <c r="N762" s="260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259"/>
      <c r="K763" s="133"/>
      <c r="L763" s="85"/>
      <c r="M763" s="135"/>
      <c r="N763" s="260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259"/>
      <c r="K764" s="133"/>
      <c r="L764" s="85"/>
      <c r="M764" s="135"/>
      <c r="N764" s="260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259"/>
      <c r="K765" s="133"/>
      <c r="L765" s="85"/>
      <c r="M765" s="135"/>
      <c r="N765" s="260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259"/>
      <c r="K766" s="133"/>
      <c r="L766" s="85"/>
      <c r="M766" s="135"/>
      <c r="N766" s="260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259"/>
      <c r="K767" s="133"/>
      <c r="L767" s="85"/>
      <c r="M767" s="135"/>
      <c r="N767" s="260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259"/>
      <c r="K768" s="133"/>
      <c r="L768" s="85"/>
      <c r="M768" s="135"/>
      <c r="N768" s="260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259"/>
      <c r="K769" s="133"/>
      <c r="L769" s="85"/>
      <c r="M769" s="135"/>
      <c r="N769" s="260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259"/>
      <c r="K770" s="133"/>
      <c r="L770" s="85"/>
      <c r="M770" s="135"/>
      <c r="N770" s="260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259"/>
      <c r="K771" s="133"/>
      <c r="L771" s="85"/>
      <c r="M771" s="135"/>
      <c r="N771" s="260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259"/>
      <c r="K772" s="133"/>
      <c r="L772" s="85"/>
      <c r="M772" s="135"/>
      <c r="N772" s="260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259"/>
      <c r="K773" s="133"/>
      <c r="L773" s="85"/>
      <c r="M773" s="135"/>
      <c r="N773" s="260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259"/>
      <c r="K774" s="133"/>
      <c r="L774" s="85"/>
      <c r="M774" s="135"/>
      <c r="N774" s="260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259"/>
      <c r="K775" s="133"/>
      <c r="L775" s="85"/>
      <c r="M775" s="135"/>
      <c r="N775" s="260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259"/>
      <c r="K776" s="133"/>
      <c r="L776" s="85"/>
      <c r="M776" s="135"/>
      <c r="N776" s="260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259"/>
      <c r="K777" s="133"/>
      <c r="L777" s="85"/>
      <c r="M777" s="135"/>
      <c r="N777" s="260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259"/>
      <c r="K778" s="133"/>
      <c r="L778" s="85"/>
      <c r="M778" s="135"/>
      <c r="N778" s="260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259"/>
      <c r="K779" s="133"/>
      <c r="L779" s="85"/>
      <c r="M779" s="135"/>
      <c r="N779" s="260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259"/>
      <c r="K780" s="133"/>
      <c r="L780" s="85"/>
      <c r="M780" s="135"/>
      <c r="N780" s="260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259"/>
      <c r="K781" s="133"/>
      <c r="L781" s="85"/>
      <c r="M781" s="135"/>
      <c r="N781" s="260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259"/>
      <c r="K782" s="133"/>
      <c r="L782" s="85"/>
      <c r="M782" s="135"/>
      <c r="N782" s="260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259"/>
      <c r="K783" s="133"/>
      <c r="L783" s="85"/>
      <c r="M783" s="135"/>
      <c r="N783" s="260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259"/>
      <c r="K784" s="133"/>
      <c r="L784" s="85"/>
      <c r="M784" s="135"/>
      <c r="N784" s="260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259"/>
      <c r="K785" s="133"/>
      <c r="L785" s="85"/>
      <c r="M785" s="135"/>
      <c r="N785" s="260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259"/>
      <c r="K786" s="133"/>
      <c r="L786" s="85"/>
      <c r="M786" s="135"/>
      <c r="N786" s="260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259"/>
      <c r="K787" s="133"/>
      <c r="L787" s="85"/>
      <c r="M787" s="135"/>
      <c r="N787" s="260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259"/>
      <c r="K788" s="133"/>
      <c r="L788" s="85"/>
      <c r="M788" s="135"/>
      <c r="N788" s="260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259"/>
      <c r="K789" s="133"/>
      <c r="L789" s="85"/>
      <c r="M789" s="135"/>
      <c r="N789" s="260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259"/>
      <c r="K790" s="133"/>
      <c r="L790" s="85"/>
      <c r="M790" s="135"/>
      <c r="N790" s="260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259"/>
      <c r="K791" s="133"/>
      <c r="L791" s="85"/>
      <c r="M791" s="135"/>
      <c r="N791" s="260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259"/>
      <c r="K792" s="133"/>
      <c r="L792" s="85"/>
      <c r="M792" s="135"/>
      <c r="N792" s="260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259"/>
      <c r="K793" s="133"/>
      <c r="L793" s="85"/>
      <c r="M793" s="135"/>
      <c r="N793" s="260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259"/>
      <c r="K794" s="133"/>
      <c r="L794" s="85"/>
      <c r="M794" s="135"/>
      <c r="N794" s="260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259"/>
      <c r="K795" s="133"/>
      <c r="L795" s="85"/>
      <c r="M795" s="135"/>
      <c r="N795" s="260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259"/>
      <c r="K796" s="133"/>
      <c r="L796" s="85"/>
      <c r="M796" s="135"/>
      <c r="N796" s="260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259"/>
      <c r="K797" s="133"/>
      <c r="L797" s="85"/>
      <c r="M797" s="135"/>
      <c r="N797" s="260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259"/>
      <c r="K798" s="133"/>
      <c r="L798" s="85"/>
      <c r="M798" s="135"/>
      <c r="N798" s="260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259"/>
      <c r="K799" s="133"/>
      <c r="L799" s="85"/>
      <c r="M799" s="135"/>
      <c r="N799" s="260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259"/>
      <c r="K800" s="133"/>
      <c r="L800" s="85"/>
      <c r="M800" s="135"/>
      <c r="N800" s="260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259"/>
      <c r="K801" s="133"/>
      <c r="L801" s="85"/>
      <c r="M801" s="135"/>
      <c r="N801" s="260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259"/>
      <c r="K802" s="133"/>
      <c r="L802" s="85"/>
      <c r="M802" s="135"/>
      <c r="N802" s="260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259"/>
      <c r="K803" s="133"/>
      <c r="L803" s="85"/>
      <c r="M803" s="135"/>
      <c r="N803" s="260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259"/>
      <c r="K804" s="133"/>
      <c r="L804" s="85"/>
      <c r="M804" s="135"/>
      <c r="N804" s="260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259"/>
      <c r="K805" s="133"/>
      <c r="L805" s="85"/>
      <c r="M805" s="135"/>
      <c r="N805" s="260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259"/>
      <c r="K806" s="133"/>
      <c r="L806" s="85"/>
      <c r="M806" s="135"/>
      <c r="N806" s="260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259"/>
      <c r="K807" s="133"/>
      <c r="L807" s="85"/>
      <c r="M807" s="135"/>
      <c r="N807" s="260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259"/>
      <c r="K808" s="133"/>
      <c r="L808" s="85"/>
      <c r="M808" s="135"/>
      <c r="N808" s="260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259"/>
      <c r="K809" s="133"/>
      <c r="L809" s="85"/>
      <c r="M809" s="135"/>
      <c r="N809" s="260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259"/>
      <c r="K810" s="133"/>
      <c r="L810" s="85"/>
      <c r="M810" s="135"/>
      <c r="N810" s="260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259"/>
      <c r="K811" s="133"/>
      <c r="L811" s="85"/>
      <c r="M811" s="135"/>
      <c r="N811" s="260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259"/>
      <c r="K812" s="133"/>
      <c r="L812" s="85"/>
      <c r="M812" s="135"/>
      <c r="N812" s="260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259"/>
      <c r="K813" s="133"/>
      <c r="L813" s="85"/>
      <c r="M813" s="135"/>
      <c r="N813" s="260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259"/>
      <c r="K814" s="133"/>
      <c r="L814" s="85"/>
      <c r="M814" s="135"/>
      <c r="N814" s="260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259"/>
      <c r="K815" s="133"/>
      <c r="L815" s="85"/>
      <c r="M815" s="135"/>
      <c r="N815" s="260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259"/>
      <c r="K816" s="133"/>
      <c r="L816" s="85"/>
      <c r="M816" s="135"/>
      <c r="N816" s="260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259"/>
      <c r="K817" s="133"/>
      <c r="L817" s="85"/>
      <c r="M817" s="135"/>
      <c r="N817" s="260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259"/>
      <c r="K818" s="133"/>
      <c r="L818" s="85"/>
      <c r="M818" s="135"/>
      <c r="N818" s="260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259"/>
      <c r="K819" s="133"/>
      <c r="L819" s="85"/>
      <c r="M819" s="135"/>
      <c r="N819" s="260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259"/>
      <c r="K820" s="133"/>
      <c r="L820" s="85"/>
      <c r="M820" s="135"/>
      <c r="N820" s="260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259"/>
      <c r="K821" s="133"/>
      <c r="L821" s="85"/>
      <c r="M821" s="135"/>
      <c r="N821" s="260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259"/>
      <c r="K822" s="133"/>
      <c r="L822" s="85"/>
      <c r="M822" s="135"/>
      <c r="N822" s="260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259"/>
      <c r="K823" s="133"/>
      <c r="L823" s="85"/>
      <c r="M823" s="135"/>
      <c r="N823" s="260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259"/>
      <c r="K824" s="133"/>
      <c r="L824" s="85"/>
      <c r="M824" s="135"/>
      <c r="N824" s="260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259"/>
      <c r="K825" s="133"/>
      <c r="L825" s="85"/>
      <c r="M825" s="135"/>
      <c r="N825" s="260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259"/>
      <c r="K826" s="133"/>
      <c r="L826" s="85"/>
      <c r="M826" s="135"/>
      <c r="N826" s="260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259"/>
      <c r="K827" s="133"/>
      <c r="L827" s="85"/>
      <c r="M827" s="135"/>
      <c r="N827" s="260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259"/>
      <c r="K828" s="133"/>
      <c r="L828" s="85"/>
      <c r="M828" s="135"/>
      <c r="N828" s="260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259"/>
      <c r="K829" s="133"/>
      <c r="L829" s="85"/>
      <c r="M829" s="135"/>
      <c r="N829" s="260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259"/>
      <c r="K830" s="133"/>
      <c r="L830" s="85"/>
      <c r="M830" s="135"/>
      <c r="N830" s="260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259"/>
      <c r="K831" s="133"/>
      <c r="L831" s="85"/>
      <c r="M831" s="135"/>
      <c r="N831" s="260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259"/>
      <c r="K832" s="133"/>
      <c r="L832" s="85"/>
      <c r="M832" s="135"/>
      <c r="N832" s="260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259"/>
      <c r="K833" s="133"/>
      <c r="L833" s="85"/>
      <c r="M833" s="135"/>
      <c r="N833" s="260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259"/>
      <c r="K834" s="133"/>
      <c r="L834" s="85"/>
      <c r="M834" s="135"/>
      <c r="N834" s="260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259"/>
      <c r="K835" s="133"/>
      <c r="L835" s="85"/>
      <c r="M835" s="135"/>
      <c r="N835" s="260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259"/>
      <c r="K836" s="133"/>
      <c r="L836" s="85"/>
      <c r="M836" s="135"/>
      <c r="N836" s="260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259"/>
      <c r="K837" s="133"/>
      <c r="L837" s="85"/>
      <c r="M837" s="135"/>
      <c r="N837" s="260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259"/>
      <c r="K838" s="133"/>
      <c r="L838" s="85"/>
      <c r="M838" s="135"/>
      <c r="N838" s="260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259"/>
      <c r="K839" s="133"/>
      <c r="L839" s="85"/>
      <c r="M839" s="135"/>
      <c r="N839" s="260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259"/>
      <c r="K840" s="133"/>
      <c r="L840" s="85"/>
      <c r="M840" s="135"/>
      <c r="N840" s="260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259"/>
      <c r="K841" s="133"/>
      <c r="L841" s="85"/>
      <c r="M841" s="135"/>
      <c r="N841" s="260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259"/>
      <c r="K842" s="133"/>
      <c r="L842" s="85"/>
      <c r="M842" s="135"/>
      <c r="N842" s="260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259"/>
      <c r="K843" s="133"/>
      <c r="L843" s="85"/>
      <c r="M843" s="135"/>
      <c r="N843" s="260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259"/>
      <c r="K844" s="133"/>
      <c r="L844" s="85"/>
      <c r="M844" s="135"/>
      <c r="N844" s="260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259"/>
      <c r="K845" s="133"/>
      <c r="L845" s="85"/>
      <c r="M845" s="135"/>
      <c r="N845" s="260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259"/>
      <c r="K846" s="133"/>
      <c r="L846" s="85"/>
      <c r="M846" s="135"/>
      <c r="N846" s="260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259"/>
      <c r="K847" s="133"/>
      <c r="L847" s="85"/>
      <c r="M847" s="135"/>
      <c r="N847" s="260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259"/>
      <c r="K848" s="133"/>
      <c r="L848" s="85"/>
      <c r="M848" s="135"/>
      <c r="N848" s="260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259"/>
      <c r="K849" s="133"/>
      <c r="L849" s="85"/>
      <c r="M849" s="135"/>
      <c r="N849" s="260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259"/>
      <c r="K850" s="133"/>
      <c r="L850" s="85"/>
      <c r="M850" s="135"/>
      <c r="N850" s="260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259"/>
      <c r="K851" s="133"/>
      <c r="L851" s="85"/>
      <c r="M851" s="135"/>
      <c r="N851" s="260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259"/>
      <c r="K852" s="133"/>
      <c r="L852" s="85"/>
      <c r="M852" s="135"/>
      <c r="N852" s="260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259"/>
      <c r="K853" s="133"/>
      <c r="L853" s="85"/>
      <c r="M853" s="135"/>
      <c r="N853" s="260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259"/>
      <c r="K854" s="133"/>
      <c r="L854" s="85"/>
      <c r="M854" s="135"/>
      <c r="N854" s="260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259"/>
      <c r="K855" s="133"/>
      <c r="L855" s="85"/>
      <c r="M855" s="135"/>
      <c r="N855" s="260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259"/>
      <c r="K856" s="133"/>
      <c r="L856" s="85"/>
      <c r="M856" s="135"/>
      <c r="N856" s="260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259"/>
      <c r="K857" s="133"/>
      <c r="L857" s="85"/>
      <c r="M857" s="135"/>
      <c r="N857" s="260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259"/>
      <c r="K858" s="133"/>
      <c r="L858" s="85"/>
      <c r="M858" s="135"/>
      <c r="N858" s="260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259"/>
      <c r="K859" s="133"/>
      <c r="L859" s="85"/>
      <c r="M859" s="135"/>
      <c r="N859" s="260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259"/>
      <c r="K860" s="133"/>
      <c r="L860" s="85"/>
      <c r="M860" s="135"/>
      <c r="N860" s="260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259"/>
      <c r="K861" s="133"/>
      <c r="L861" s="85"/>
      <c r="M861" s="135"/>
      <c r="N861" s="260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259"/>
      <c r="K862" s="133"/>
      <c r="L862" s="85"/>
      <c r="M862" s="135"/>
      <c r="N862" s="260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259"/>
      <c r="K863" s="133"/>
      <c r="L863" s="85"/>
      <c r="M863" s="135"/>
      <c r="N863" s="260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259"/>
      <c r="K864" s="133"/>
      <c r="L864" s="85"/>
      <c r="M864" s="135"/>
      <c r="N864" s="260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259"/>
      <c r="K865" s="133"/>
      <c r="L865" s="85"/>
      <c r="M865" s="135"/>
      <c r="N865" s="260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259"/>
      <c r="K866" s="133"/>
      <c r="L866" s="85"/>
      <c r="M866" s="135"/>
      <c r="N866" s="260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259"/>
      <c r="K867" s="133"/>
      <c r="L867" s="85"/>
      <c r="M867" s="135"/>
      <c r="N867" s="260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259"/>
      <c r="K868" s="133"/>
      <c r="L868" s="85"/>
      <c r="M868" s="135"/>
      <c r="N868" s="260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259"/>
      <c r="K869" s="133"/>
      <c r="L869" s="85"/>
      <c r="M869" s="135"/>
      <c r="N869" s="260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259"/>
      <c r="K870" s="133"/>
      <c r="L870" s="85"/>
      <c r="M870" s="135"/>
      <c r="N870" s="260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259"/>
      <c r="K871" s="133"/>
      <c r="L871" s="85"/>
      <c r="M871" s="135"/>
      <c r="N871" s="260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259"/>
      <c r="K872" s="133"/>
      <c r="L872" s="85"/>
      <c r="M872" s="135"/>
      <c r="N872" s="260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259"/>
      <c r="K873" s="133"/>
      <c r="L873" s="85"/>
      <c r="M873" s="135"/>
      <c r="N873" s="260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259"/>
      <c r="K874" s="133"/>
      <c r="L874" s="85"/>
      <c r="M874" s="135"/>
      <c r="N874" s="260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259"/>
      <c r="K875" s="133"/>
      <c r="L875" s="85"/>
      <c r="M875" s="135"/>
      <c r="N875" s="260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259"/>
      <c r="K876" s="133"/>
      <c r="L876" s="85"/>
      <c r="M876" s="135"/>
      <c r="N876" s="260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259"/>
      <c r="K877" s="133"/>
      <c r="L877" s="85"/>
      <c r="M877" s="135"/>
      <c r="N877" s="260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259"/>
      <c r="K878" s="133"/>
      <c r="L878" s="85"/>
      <c r="M878" s="135"/>
      <c r="N878" s="260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259"/>
      <c r="K879" s="133"/>
      <c r="L879" s="85"/>
      <c r="M879" s="135"/>
      <c r="N879" s="260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259"/>
      <c r="K880" s="133"/>
      <c r="L880" s="85"/>
      <c r="M880" s="135"/>
      <c r="N880" s="260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259"/>
      <c r="K881" s="133"/>
      <c r="L881" s="85"/>
      <c r="M881" s="135"/>
      <c r="N881" s="260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259"/>
      <c r="K882" s="133"/>
      <c r="L882" s="85"/>
      <c r="M882" s="135"/>
      <c r="N882" s="260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259"/>
      <c r="K883" s="133"/>
      <c r="L883" s="85"/>
      <c r="M883" s="135"/>
      <c r="N883" s="260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259"/>
      <c r="K884" s="133"/>
      <c r="L884" s="85"/>
      <c r="M884" s="135"/>
      <c r="N884" s="260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259"/>
      <c r="K885" s="133"/>
      <c r="L885" s="85"/>
      <c r="M885" s="135"/>
      <c r="N885" s="260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259"/>
      <c r="K886" s="133"/>
      <c r="L886" s="85"/>
      <c r="M886" s="135"/>
      <c r="N886" s="260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259"/>
      <c r="K887" s="133"/>
      <c r="L887" s="85"/>
      <c r="M887" s="135"/>
      <c r="N887" s="260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259"/>
      <c r="K888" s="133"/>
      <c r="L888" s="85"/>
      <c r="M888" s="135"/>
      <c r="N888" s="260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259"/>
      <c r="K889" s="133"/>
      <c r="L889" s="85"/>
      <c r="M889" s="135"/>
      <c r="N889" s="260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259"/>
      <c r="K890" s="133"/>
      <c r="L890" s="85"/>
      <c r="M890" s="135"/>
      <c r="N890" s="260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259"/>
      <c r="K891" s="133"/>
      <c r="L891" s="85"/>
      <c r="M891" s="135"/>
      <c r="N891" s="260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259"/>
      <c r="K892" s="133"/>
      <c r="L892" s="85"/>
      <c r="M892" s="135"/>
      <c r="N892" s="260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259"/>
      <c r="K893" s="133"/>
      <c r="L893" s="85"/>
      <c r="M893" s="135"/>
      <c r="N893" s="260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259"/>
      <c r="K894" s="133"/>
      <c r="L894" s="85"/>
      <c r="M894" s="135"/>
      <c r="N894" s="260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259"/>
      <c r="K895" s="133"/>
      <c r="L895" s="85"/>
      <c r="M895" s="135"/>
      <c r="N895" s="260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259"/>
      <c r="K896" s="133"/>
      <c r="L896" s="85"/>
      <c r="M896" s="135"/>
      <c r="N896" s="260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259"/>
      <c r="K897" s="133"/>
      <c r="L897" s="85"/>
      <c r="M897" s="135"/>
      <c r="N897" s="260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259"/>
      <c r="K898" s="133"/>
      <c r="L898" s="85"/>
      <c r="M898" s="135"/>
      <c r="N898" s="260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259"/>
      <c r="K899" s="133"/>
      <c r="L899" s="85"/>
      <c r="M899" s="135"/>
      <c r="N899" s="260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259"/>
      <c r="K900" s="133"/>
      <c r="L900" s="85"/>
      <c r="M900" s="135"/>
      <c r="N900" s="260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259"/>
      <c r="K901" s="133"/>
      <c r="L901" s="85"/>
      <c r="M901" s="135"/>
      <c r="N901" s="260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259"/>
      <c r="K902" s="133"/>
      <c r="L902" s="85"/>
      <c r="M902" s="135"/>
      <c r="N902" s="260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259"/>
      <c r="K903" s="133"/>
      <c r="L903" s="85"/>
      <c r="M903" s="135"/>
      <c r="N903" s="260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259"/>
      <c r="K904" s="133"/>
      <c r="L904" s="85"/>
      <c r="M904" s="135"/>
      <c r="N904" s="260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259"/>
      <c r="K905" s="133"/>
      <c r="L905" s="85"/>
      <c r="M905" s="135"/>
      <c r="N905" s="260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259"/>
      <c r="K906" s="133"/>
      <c r="L906" s="85"/>
      <c r="M906" s="135"/>
      <c r="N906" s="260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259"/>
      <c r="K907" s="133"/>
      <c r="L907" s="85"/>
      <c r="M907" s="135"/>
      <c r="N907" s="260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259"/>
      <c r="K908" s="133"/>
      <c r="L908" s="85"/>
      <c r="M908" s="135"/>
      <c r="N908" s="260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259"/>
      <c r="K909" s="133"/>
      <c r="L909" s="85"/>
      <c r="M909" s="135"/>
      <c r="N909" s="260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259"/>
      <c r="K910" s="133"/>
      <c r="L910" s="85"/>
      <c r="M910" s="135"/>
      <c r="N910" s="260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259"/>
      <c r="K911" s="133"/>
      <c r="L911" s="85"/>
      <c r="M911" s="135"/>
      <c r="N911" s="260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259"/>
      <c r="K912" s="133"/>
      <c r="L912" s="85"/>
      <c r="M912" s="135"/>
      <c r="N912" s="260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259"/>
      <c r="K913" s="133"/>
      <c r="L913" s="85"/>
      <c r="M913" s="135"/>
      <c r="N913" s="260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259"/>
      <c r="K914" s="133"/>
      <c r="L914" s="85"/>
      <c r="M914" s="135"/>
      <c r="N914" s="260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259"/>
      <c r="K915" s="133"/>
      <c r="L915" s="85"/>
      <c r="M915" s="135"/>
      <c r="N915" s="260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259"/>
      <c r="K916" s="133"/>
      <c r="L916" s="85"/>
      <c r="M916" s="135"/>
      <c r="N916" s="260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259"/>
      <c r="K917" s="133"/>
      <c r="L917" s="85"/>
      <c r="M917" s="135"/>
      <c r="N917" s="260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259"/>
      <c r="K918" s="133"/>
      <c r="L918" s="85"/>
      <c r="M918" s="135"/>
      <c r="N918" s="260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259"/>
      <c r="K919" s="133"/>
      <c r="L919" s="85"/>
      <c r="M919" s="135"/>
      <c r="N919" s="260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259"/>
      <c r="K920" s="133"/>
      <c r="L920" s="85"/>
      <c r="M920" s="135"/>
      <c r="N920" s="260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259"/>
      <c r="K921" s="133"/>
      <c r="L921" s="85"/>
      <c r="M921" s="135"/>
      <c r="N921" s="260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259"/>
      <c r="K922" s="133"/>
      <c r="L922" s="85"/>
      <c r="M922" s="135"/>
      <c r="N922" s="260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259"/>
      <c r="K923" s="133"/>
      <c r="L923" s="85"/>
      <c r="M923" s="135"/>
      <c r="N923" s="260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259"/>
      <c r="K924" s="133"/>
      <c r="L924" s="85"/>
      <c r="M924" s="135"/>
      <c r="N924" s="260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259"/>
      <c r="K925" s="133"/>
      <c r="L925" s="85"/>
      <c r="M925" s="135"/>
      <c r="N925" s="260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259"/>
      <c r="K926" s="133"/>
      <c r="L926" s="85"/>
      <c r="M926" s="135"/>
      <c r="N926" s="260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259"/>
      <c r="K927" s="133"/>
      <c r="L927" s="85"/>
      <c r="M927" s="135"/>
      <c r="N927" s="260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259"/>
      <c r="K928" s="133"/>
      <c r="L928" s="85"/>
      <c r="M928" s="135"/>
      <c r="N928" s="260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259"/>
      <c r="K929" s="133"/>
      <c r="L929" s="85"/>
      <c r="M929" s="135"/>
      <c r="N929" s="260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259"/>
      <c r="K930" s="133"/>
      <c r="L930" s="85"/>
      <c r="M930" s="135"/>
      <c r="N930" s="260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259"/>
      <c r="K931" s="133"/>
      <c r="L931" s="85"/>
      <c r="M931" s="135"/>
      <c r="N931" s="260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259"/>
      <c r="K932" s="133"/>
      <c r="L932" s="85"/>
      <c r="M932" s="135"/>
      <c r="N932" s="260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259"/>
      <c r="K933" s="133"/>
      <c r="L933" s="85"/>
      <c r="M933" s="135"/>
      <c r="N933" s="260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259"/>
      <c r="K934" s="133"/>
      <c r="L934" s="85"/>
      <c r="M934" s="135"/>
      <c r="N934" s="260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259"/>
      <c r="K935" s="133"/>
      <c r="L935" s="85"/>
      <c r="M935" s="135"/>
      <c r="N935" s="260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259"/>
      <c r="K936" s="133"/>
      <c r="L936" s="85"/>
      <c r="M936" s="135"/>
      <c r="N936" s="260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259"/>
      <c r="K937" s="133"/>
      <c r="L937" s="85"/>
      <c r="M937" s="135"/>
      <c r="N937" s="260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259"/>
      <c r="K938" s="133"/>
      <c r="L938" s="85"/>
      <c r="M938" s="135"/>
      <c r="N938" s="260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259"/>
      <c r="K939" s="133"/>
      <c r="L939" s="85"/>
      <c r="M939" s="135"/>
      <c r="N939" s="260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259"/>
      <c r="K940" s="133"/>
      <c r="L940" s="85"/>
      <c r="M940" s="135"/>
      <c r="N940" s="260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259"/>
      <c r="K941" s="133"/>
      <c r="L941" s="85"/>
      <c r="M941" s="135"/>
      <c r="N941" s="260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259"/>
      <c r="K942" s="133"/>
      <c r="L942" s="85"/>
      <c r="M942" s="135"/>
      <c r="N942" s="260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259"/>
      <c r="K943" s="133"/>
      <c r="L943" s="85"/>
      <c r="M943" s="135"/>
      <c r="N943" s="260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259"/>
      <c r="K944" s="133"/>
      <c r="L944" s="85"/>
      <c r="M944" s="135"/>
      <c r="N944" s="260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259"/>
      <c r="K945" s="133"/>
      <c r="L945" s="85"/>
      <c r="M945" s="135"/>
      <c r="N945" s="260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259"/>
      <c r="K946" s="133"/>
      <c r="L946" s="85"/>
      <c r="M946" s="135"/>
      <c r="N946" s="260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259"/>
      <c r="K947" s="133"/>
      <c r="L947" s="85"/>
      <c r="M947" s="135"/>
      <c r="N947" s="260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259"/>
      <c r="K948" s="133"/>
      <c r="L948" s="85"/>
      <c r="M948" s="135"/>
      <c r="N948" s="260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259"/>
      <c r="K949" s="133"/>
      <c r="L949" s="85"/>
      <c r="M949" s="135"/>
      <c r="N949" s="260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259"/>
      <c r="K950" s="133"/>
      <c r="L950" s="85"/>
      <c r="M950" s="135"/>
      <c r="N950" s="260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259"/>
      <c r="K951" s="133"/>
      <c r="L951" s="85"/>
      <c r="M951" s="135"/>
      <c r="N951" s="260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259"/>
      <c r="K952" s="133"/>
      <c r="L952" s="85"/>
      <c r="M952" s="135"/>
      <c r="N952" s="260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259"/>
      <c r="K953" s="133"/>
      <c r="L953" s="85"/>
      <c r="M953" s="135"/>
      <c r="N953" s="260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259"/>
      <c r="K954" s="133"/>
      <c r="L954" s="85"/>
      <c r="M954" s="135"/>
      <c r="N954" s="260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259"/>
      <c r="K955" s="133"/>
      <c r="L955" s="85"/>
      <c r="M955" s="135"/>
      <c r="N955" s="260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259"/>
      <c r="K956" s="133"/>
      <c r="L956" s="85"/>
      <c r="M956" s="135"/>
      <c r="N956" s="260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259"/>
      <c r="K957" s="133"/>
      <c r="L957" s="85"/>
      <c r="M957" s="135"/>
      <c r="N957" s="260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259"/>
      <c r="K958" s="133"/>
      <c r="L958" s="85"/>
      <c r="M958" s="135"/>
      <c r="N958" s="260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259"/>
      <c r="K959" s="133"/>
      <c r="L959" s="85"/>
      <c r="M959" s="135"/>
      <c r="N959" s="260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259"/>
      <c r="K960" s="133"/>
      <c r="L960" s="85"/>
      <c r="M960" s="135"/>
      <c r="N960" s="260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259"/>
      <c r="K961" s="133"/>
      <c r="L961" s="85"/>
      <c r="M961" s="135"/>
      <c r="N961" s="260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259"/>
      <c r="K962" s="133"/>
      <c r="L962" s="85"/>
      <c r="M962" s="135"/>
      <c r="N962" s="260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259"/>
      <c r="K963" s="133"/>
      <c r="L963" s="85"/>
      <c r="M963" s="135"/>
      <c r="N963" s="260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259"/>
      <c r="K964" s="133"/>
      <c r="L964" s="85"/>
      <c r="M964" s="135"/>
      <c r="N964" s="260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259"/>
      <c r="K965" s="133"/>
      <c r="L965" s="85"/>
      <c r="M965" s="135"/>
      <c r="N965" s="260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259"/>
      <c r="K966" s="133"/>
      <c r="L966" s="85"/>
      <c r="M966" s="135"/>
      <c r="N966" s="260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259"/>
      <c r="K967" s="133"/>
      <c r="L967" s="85"/>
      <c r="M967" s="135"/>
      <c r="N967" s="260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259"/>
      <c r="K968" s="133"/>
      <c r="L968" s="85"/>
      <c r="M968" s="135"/>
      <c r="N968" s="260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259"/>
      <c r="K969" s="133"/>
      <c r="L969" s="85"/>
      <c r="M969" s="135"/>
      <c r="N969" s="260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259"/>
      <c r="K970" s="133"/>
      <c r="L970" s="85"/>
      <c r="M970" s="135"/>
      <c r="N970" s="260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259"/>
      <c r="K971" s="133"/>
      <c r="L971" s="85"/>
      <c r="M971" s="135"/>
      <c r="N971" s="260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259"/>
      <c r="K972" s="133"/>
      <c r="L972" s="85"/>
      <c r="M972" s="135"/>
      <c r="N972" s="260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259"/>
      <c r="K973" s="133"/>
      <c r="L973" s="85"/>
      <c r="M973" s="135"/>
      <c r="N973" s="260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259"/>
      <c r="K974" s="133"/>
      <c r="L974" s="85"/>
      <c r="M974" s="135"/>
      <c r="N974" s="260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259"/>
      <c r="K975" s="133"/>
      <c r="L975" s="85"/>
      <c r="M975" s="135"/>
      <c r="N975" s="260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259"/>
      <c r="K976" s="133"/>
      <c r="L976" s="85"/>
      <c r="M976" s="135"/>
      <c r="N976" s="260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259"/>
      <c r="K977" s="133"/>
      <c r="L977" s="85"/>
      <c r="M977" s="135"/>
      <c r="N977" s="260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259"/>
      <c r="K978" s="133"/>
      <c r="L978" s="85"/>
      <c r="M978" s="135"/>
      <c r="N978" s="260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259"/>
      <c r="K979" s="133"/>
      <c r="L979" s="85"/>
      <c r="M979" s="135"/>
      <c r="N979" s="260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259"/>
      <c r="K980" s="133"/>
      <c r="L980" s="85"/>
      <c r="M980" s="135"/>
      <c r="N980" s="260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259"/>
      <c r="K981" s="133"/>
      <c r="L981" s="85"/>
      <c r="M981" s="135"/>
      <c r="N981" s="260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259"/>
      <c r="K982" s="133"/>
      <c r="L982" s="85"/>
      <c r="M982" s="135"/>
      <c r="N982" s="260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259"/>
      <c r="K983" s="133"/>
      <c r="L983" s="85"/>
      <c r="M983" s="135"/>
      <c r="N983" s="260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259"/>
      <c r="K984" s="133"/>
      <c r="L984" s="85"/>
      <c r="M984" s="135"/>
      <c r="N984" s="260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259"/>
      <c r="K985" s="133"/>
      <c r="L985" s="85"/>
      <c r="M985" s="135"/>
      <c r="N985" s="260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259"/>
      <c r="K986" s="133"/>
      <c r="L986" s="85"/>
      <c r="M986" s="135"/>
      <c r="N986" s="260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259"/>
      <c r="K987" s="133"/>
      <c r="L987" s="85"/>
      <c r="M987" s="135"/>
      <c r="N987" s="260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259"/>
      <c r="K988" s="133"/>
      <c r="L988" s="85"/>
      <c r="M988" s="135"/>
      <c r="N988" s="260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259"/>
      <c r="K989" s="133"/>
      <c r="L989" s="85"/>
      <c r="M989" s="135"/>
      <c r="N989" s="260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259"/>
      <c r="K990" s="133"/>
      <c r="L990" s="85"/>
      <c r="M990" s="135"/>
      <c r="N990" s="260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259"/>
      <c r="K991" s="133"/>
      <c r="L991" s="85"/>
      <c r="M991" s="135"/>
      <c r="N991" s="260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259"/>
      <c r="K992" s="133"/>
      <c r="L992" s="85"/>
      <c r="M992" s="135"/>
      <c r="N992" s="260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259"/>
      <c r="K993" s="133"/>
      <c r="L993" s="85"/>
      <c r="M993" s="135"/>
      <c r="N993" s="260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259"/>
      <c r="K994" s="133"/>
      <c r="L994" s="85"/>
      <c r="M994" s="135"/>
      <c r="N994" s="260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259"/>
      <c r="K995" s="133"/>
      <c r="L995" s="85"/>
      <c r="M995" s="135"/>
      <c r="N995" s="260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259"/>
      <c r="K996" s="133"/>
      <c r="L996" s="85"/>
      <c r="M996" s="135"/>
      <c r="N996" s="260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259"/>
      <c r="K997" s="133"/>
      <c r="L997" s="85"/>
      <c r="M997" s="135"/>
      <c r="N997" s="260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259"/>
      <c r="K998" s="133"/>
      <c r="L998" s="85"/>
      <c r="M998" s="135"/>
      <c r="N998" s="260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259"/>
      <c r="K999" s="133"/>
      <c r="L999" s="85"/>
      <c r="M999" s="135"/>
      <c r="N999" s="260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259"/>
      <c r="K1000" s="133"/>
      <c r="L1000" s="85"/>
      <c r="M1000" s="135"/>
      <c r="N1000" s="260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autoFilter ref="$A$1:$AB$1000"/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9"/>
      <c r="B1" s="2"/>
      <c r="C1" s="3" t="s">
        <v>2632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2633</v>
      </c>
      <c r="D4" s="21"/>
      <c r="E4" s="20"/>
      <c r="F4" s="21"/>
      <c r="G4" s="23" t="s">
        <v>2634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40"/>
      <c r="T4" s="76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S5" s="40"/>
      <c r="T5" s="76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40"/>
      <c r="T6" s="7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643</v>
      </c>
      <c r="D7" s="54" t="s">
        <v>16</v>
      </c>
      <c r="E7" s="29"/>
      <c r="F7" s="30"/>
      <c r="G7" s="55">
        <v>1.0</v>
      </c>
      <c r="H7" s="241">
        <v>45505.0</v>
      </c>
      <c r="I7" s="57" t="s">
        <v>644</v>
      </c>
      <c r="J7" s="58">
        <f>'7月备用金充值详情'!C13</f>
        <v>649.68</v>
      </c>
      <c r="K7" s="59"/>
      <c r="L7" s="60"/>
      <c r="M7" s="61"/>
      <c r="N7" s="62"/>
      <c r="O7" s="63"/>
      <c r="P7" s="205"/>
      <c r="Q7" s="41"/>
      <c r="R7" s="39"/>
      <c r="S7" s="109">
        <f>SUMIF(M:M,"账单户广告费",N:N)</f>
        <v>0</v>
      </c>
      <c r="T7" s="26" t="s">
        <v>1829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45505.0</v>
      </c>
      <c r="I8" s="68"/>
      <c r="J8" s="69"/>
      <c r="K8" s="70"/>
      <c r="L8" s="71"/>
      <c r="M8" s="72" t="s">
        <v>20</v>
      </c>
      <c r="N8" s="90">
        <v>415.52</v>
      </c>
      <c r="O8" s="74" t="s">
        <v>2552</v>
      </c>
      <c r="P8" s="75">
        <v>6.944444444444445E-4</v>
      </c>
      <c r="Q8" s="41"/>
      <c r="R8" s="39"/>
      <c r="S8" s="109">
        <f>SUMIF(M:M,"启航广告费",N:N)</f>
        <v>3793.42</v>
      </c>
      <c r="T8" s="26" t="s">
        <v>827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13794.68</v>
      </c>
      <c r="D9" s="30"/>
      <c r="E9" s="29"/>
      <c r="F9" s="30"/>
      <c r="G9" s="66">
        <v>3.0</v>
      </c>
      <c r="H9" s="153">
        <v>45506.0</v>
      </c>
      <c r="I9" s="68"/>
      <c r="J9" s="69"/>
      <c r="K9" s="70"/>
      <c r="L9" s="88"/>
      <c r="M9" s="72" t="s">
        <v>2635</v>
      </c>
      <c r="N9" s="90">
        <v>234.16</v>
      </c>
      <c r="O9" s="74"/>
      <c r="P9" s="94" t="s">
        <v>2402</v>
      </c>
      <c r="Q9" s="41"/>
      <c r="R9" s="39"/>
      <c r="S9" s="109">
        <f>SUMIF(M:M,"小h广告费",N:N)</f>
        <v>0</v>
      </c>
      <c r="T9" s="26" t="s">
        <v>2468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45506.0</v>
      </c>
      <c r="I10" s="68" t="s">
        <v>2636</v>
      </c>
      <c r="J10" s="69">
        <v>10000.0</v>
      </c>
      <c r="K10" s="85"/>
      <c r="L10" s="88" t="s">
        <v>2637</v>
      </c>
      <c r="M10" s="72"/>
      <c r="N10" s="90"/>
      <c r="O10" s="74"/>
      <c r="P10" s="75"/>
      <c r="Q10" s="41"/>
      <c r="R10" s="39"/>
      <c r="S10" s="109">
        <f>SUMIF(M:M,"飞书广告费",N:N)</f>
        <v>0</v>
      </c>
      <c r="T10" s="26" t="s">
        <v>2502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13794.68</v>
      </c>
      <c r="D11" s="30"/>
      <c r="E11" s="29"/>
      <c r="F11" s="30"/>
      <c r="G11" s="66">
        <v>5.0</v>
      </c>
      <c r="H11" s="153">
        <v>45507.0</v>
      </c>
      <c r="I11" s="68"/>
      <c r="J11" s="69"/>
      <c r="K11" s="87"/>
      <c r="L11" s="71"/>
      <c r="M11" s="72" t="s">
        <v>20</v>
      </c>
      <c r="N11" s="90">
        <v>632.0</v>
      </c>
      <c r="O11" s="74" t="s">
        <v>2638</v>
      </c>
      <c r="P11" s="94" t="s">
        <v>1607</v>
      </c>
      <c r="Q11" s="41"/>
      <c r="R11" s="39"/>
      <c r="S11" s="109">
        <f>SUMIF(M:M,"广告配套",N:N)</f>
        <v>2642.24</v>
      </c>
      <c r="T11" s="26" t="s">
        <v>20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45507.0</v>
      </c>
      <c r="I12" s="68"/>
      <c r="J12" s="69"/>
      <c r="K12" s="87"/>
      <c r="L12" s="88"/>
      <c r="M12" s="72" t="s">
        <v>2243</v>
      </c>
      <c r="N12" s="90">
        <v>5500.0</v>
      </c>
      <c r="O12" s="74" t="s">
        <v>2395</v>
      </c>
      <c r="P12" s="94" t="s">
        <v>2208</v>
      </c>
      <c r="Q12" s="41"/>
      <c r="R12" s="39"/>
      <c r="S12" s="109">
        <f>SUMIF(M:M,"fb广告费充值",N:N)</f>
        <v>0</v>
      </c>
      <c r="T12" s="26" t="s">
        <v>2296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0</v>
      </c>
      <c r="D13" s="30"/>
      <c r="E13" s="29"/>
      <c r="F13" s="30"/>
      <c r="G13" s="66">
        <v>7.0</v>
      </c>
      <c r="H13" s="153">
        <v>45508.0</v>
      </c>
      <c r="I13" s="68"/>
      <c r="J13" s="69"/>
      <c r="K13" s="87"/>
      <c r="L13" s="71"/>
      <c r="M13" s="72" t="s">
        <v>20</v>
      </c>
      <c r="N13" s="90">
        <v>591.0</v>
      </c>
      <c r="O13" s="74" t="s">
        <v>2638</v>
      </c>
      <c r="P13" s="94" t="s">
        <v>2639</v>
      </c>
      <c r="Q13" s="41"/>
      <c r="R13" s="39"/>
      <c r="S13" s="109">
        <f>SUMIF(M:M,"广告费",N:N)</f>
        <v>0</v>
      </c>
      <c r="T13" s="26" t="s">
        <v>2504</v>
      </c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45510.0</v>
      </c>
      <c r="I14" s="68"/>
      <c r="J14" s="69"/>
      <c r="K14" s="85"/>
      <c r="L14" s="71"/>
      <c r="M14" s="72" t="s">
        <v>20</v>
      </c>
      <c r="N14" s="90">
        <v>419.72</v>
      </c>
      <c r="O14" s="74" t="s">
        <v>2552</v>
      </c>
      <c r="P14" s="94" t="s">
        <v>2640</v>
      </c>
      <c r="Q14" s="41"/>
      <c r="R14" s="39"/>
      <c r="S14" s="40"/>
      <c r="T14" s="76"/>
      <c r="U14" s="76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45510.0</v>
      </c>
      <c r="I15" s="68"/>
      <c r="J15" s="69"/>
      <c r="K15" s="87"/>
      <c r="L15" s="71"/>
      <c r="M15" s="72" t="s">
        <v>20</v>
      </c>
      <c r="N15" s="90">
        <v>222.0</v>
      </c>
      <c r="O15" s="74" t="s">
        <v>2641</v>
      </c>
      <c r="P15" s="94" t="s">
        <v>2642</v>
      </c>
      <c r="Q15" s="41"/>
      <c r="R15" s="39"/>
      <c r="S15" s="40"/>
      <c r="T15" s="7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45513.0</v>
      </c>
      <c r="I16" s="68" t="s">
        <v>155</v>
      </c>
      <c r="J16" s="69">
        <v>105.0</v>
      </c>
      <c r="K16" s="70" t="s">
        <v>157</v>
      </c>
      <c r="L16" s="88" t="s">
        <v>2643</v>
      </c>
      <c r="M16" s="72"/>
      <c r="N16" s="90"/>
      <c r="O16" s="74"/>
      <c r="P16" s="75"/>
      <c r="Q16" s="41"/>
      <c r="R16" s="39"/>
      <c r="S16" s="40"/>
      <c r="T16" s="76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45514.0</v>
      </c>
      <c r="I17" s="68" t="s">
        <v>155</v>
      </c>
      <c r="J17" s="69">
        <v>3040.0</v>
      </c>
      <c r="K17" s="70" t="s">
        <v>2410</v>
      </c>
      <c r="L17" s="88" t="s">
        <v>971</v>
      </c>
      <c r="M17" s="72"/>
      <c r="N17" s="90"/>
      <c r="O17" s="74"/>
      <c r="P17" s="75"/>
      <c r="Q17" s="41"/>
      <c r="R17" s="39"/>
      <c r="S17" s="40"/>
      <c r="T17" s="7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45520.0</v>
      </c>
      <c r="I18" s="68"/>
      <c r="J18" s="69"/>
      <c r="K18" s="92"/>
      <c r="L18" s="71"/>
      <c r="M18" s="72" t="s">
        <v>20</v>
      </c>
      <c r="N18" s="90">
        <v>222.0</v>
      </c>
      <c r="O18" s="74" t="s">
        <v>2324</v>
      </c>
      <c r="P18" s="75">
        <v>0.6645833333333333</v>
      </c>
      <c r="Q18" s="41"/>
      <c r="R18" s="39"/>
      <c r="S18" s="40"/>
      <c r="T18" s="7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45520.0</v>
      </c>
      <c r="I19" s="154"/>
      <c r="J19" s="17"/>
      <c r="K19" s="93"/>
      <c r="L19" s="155"/>
      <c r="M19" s="72" t="s">
        <v>20</v>
      </c>
      <c r="N19" s="90">
        <v>140.0</v>
      </c>
      <c r="O19" s="74" t="s">
        <v>1265</v>
      </c>
      <c r="P19" s="75">
        <v>0.9708333333333333</v>
      </c>
      <c r="Q19" s="41"/>
      <c r="R19" s="39"/>
      <c r="S19" s="40"/>
      <c r="T19" s="76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45521.0</v>
      </c>
      <c r="I20" s="154"/>
      <c r="J20" s="17"/>
      <c r="K20" s="93"/>
      <c r="L20" s="155"/>
      <c r="M20" s="72" t="s">
        <v>827</v>
      </c>
      <c r="N20" s="90">
        <v>1268.42</v>
      </c>
      <c r="O20" s="74"/>
      <c r="P20" s="75">
        <v>0.7236111111111111</v>
      </c>
      <c r="Q20" s="41"/>
      <c r="R20" s="39"/>
      <c r="S20" s="40"/>
      <c r="T20" s="7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13794.68</v>
      </c>
      <c r="D21" s="30"/>
      <c r="E21" s="29"/>
      <c r="F21" s="30"/>
      <c r="G21" s="66">
        <v>15.0</v>
      </c>
      <c r="H21" s="153">
        <v>45524.0</v>
      </c>
      <c r="I21" s="154"/>
      <c r="J21" s="17"/>
      <c r="K21" s="93"/>
      <c r="L21" s="155"/>
      <c r="M21" s="72" t="s">
        <v>827</v>
      </c>
      <c r="N21" s="90">
        <v>2525.0</v>
      </c>
      <c r="O21" s="74"/>
      <c r="P21" s="94" t="s">
        <v>905</v>
      </c>
      <c r="Q21" s="41"/>
      <c r="R21" s="39"/>
      <c r="S21" s="76"/>
      <c r="T21" s="7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45528.0</v>
      </c>
      <c r="I22" s="68"/>
      <c r="J22" s="17"/>
      <c r="K22" s="93"/>
      <c r="L22" s="155"/>
      <c r="M22" s="72" t="s">
        <v>2474</v>
      </c>
      <c r="N22" s="90">
        <v>1624.86</v>
      </c>
      <c r="O22" s="74"/>
      <c r="P22" s="75">
        <v>0.5354166666666667</v>
      </c>
      <c r="Q22" s="41"/>
      <c r="R22" s="39"/>
      <c r="S22" s="40"/>
      <c r="T22" s="76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13794.68</v>
      </c>
      <c r="D23" s="30"/>
      <c r="E23" s="29"/>
      <c r="F23" s="30"/>
      <c r="G23" s="66">
        <v>17.0</v>
      </c>
      <c r="H23" s="153"/>
      <c r="I23" s="68"/>
      <c r="J23" s="69"/>
      <c r="K23" s="87"/>
      <c r="L23" s="71"/>
      <c r="M23" s="72"/>
      <c r="N23" s="90"/>
      <c r="O23" s="74"/>
      <c r="P23" s="75"/>
      <c r="Q23" s="41"/>
      <c r="R23" s="39"/>
      <c r="S23" s="40"/>
      <c r="T23" s="7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/>
      <c r="I24" s="68"/>
      <c r="J24" s="69"/>
      <c r="K24" s="85"/>
      <c r="L24" s="71"/>
      <c r="M24" s="72"/>
      <c r="N24" s="90"/>
      <c r="O24" s="74"/>
      <c r="P24" s="75"/>
      <c r="Q24" s="41"/>
      <c r="R24" s="39"/>
      <c r="S24" s="40"/>
      <c r="T24" s="40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0</v>
      </c>
      <c r="D25" s="30"/>
      <c r="E25" s="29"/>
      <c r="F25" s="30"/>
      <c r="G25" s="66">
        <v>19.0</v>
      </c>
      <c r="H25" s="153"/>
      <c r="I25" s="68"/>
      <c r="J25" s="69"/>
      <c r="K25" s="70"/>
      <c r="L25" s="71"/>
      <c r="M25" s="72"/>
      <c r="N25" s="90"/>
      <c r="O25" s="74"/>
      <c r="P25" s="75"/>
      <c r="Q25" s="41"/>
      <c r="R25" s="39"/>
      <c r="S25" s="40"/>
      <c r="T25" s="40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/>
      <c r="I26" s="68"/>
      <c r="J26" s="69"/>
      <c r="K26" s="70"/>
      <c r="L26" s="71"/>
      <c r="M26" s="72"/>
      <c r="N26" s="90"/>
      <c r="O26" s="74"/>
      <c r="P26" s="94"/>
      <c r="Q26" s="41"/>
      <c r="R26" s="39"/>
      <c r="S26" s="40"/>
      <c r="T26" s="40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/>
      <c r="I27" s="68"/>
      <c r="J27" s="69"/>
      <c r="K27" s="70"/>
      <c r="L27" s="71"/>
      <c r="M27" s="72"/>
      <c r="N27" s="90"/>
      <c r="O27" s="74"/>
      <c r="P27" s="75"/>
      <c r="Q27" s="41"/>
      <c r="R27" s="39"/>
      <c r="S27" s="40"/>
      <c r="T27" s="40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/>
      <c r="I28" s="68"/>
      <c r="J28" s="69"/>
      <c r="K28" s="85"/>
      <c r="L28" s="71"/>
      <c r="M28" s="72"/>
      <c r="N28" s="90"/>
      <c r="O28" s="74"/>
      <c r="P28" s="75"/>
      <c r="Q28" s="41"/>
      <c r="R28" s="39"/>
      <c r="S28" s="40"/>
      <c r="T28" s="40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69"/>
      <c r="K29" s="70"/>
      <c r="L29" s="71"/>
      <c r="M29" s="72"/>
      <c r="N29" s="90"/>
      <c r="O29" s="74"/>
      <c r="P29" s="75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69"/>
      <c r="K30" s="85"/>
      <c r="L30" s="71"/>
      <c r="M30" s="72"/>
      <c r="N30" s="90"/>
      <c r="O30" s="74"/>
      <c r="P30" s="75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69"/>
      <c r="K31" s="70"/>
      <c r="L31" s="88"/>
      <c r="M31" s="72"/>
      <c r="N31" s="90"/>
      <c r="O31" s="74"/>
      <c r="P31" s="75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17"/>
      <c r="K32" s="85"/>
      <c r="L32" s="86"/>
      <c r="M32" s="72"/>
      <c r="N32" s="90"/>
      <c r="O32" s="74"/>
      <c r="P32" s="75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69"/>
      <c r="K33" s="70"/>
      <c r="L33" s="71"/>
      <c r="M33" s="72"/>
      <c r="N33" s="90"/>
      <c r="O33" s="74"/>
      <c r="P33" s="75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69"/>
      <c r="K34" s="87"/>
      <c r="L34" s="71"/>
      <c r="M34" s="72"/>
      <c r="N34" s="90"/>
      <c r="O34" s="74"/>
      <c r="P34" s="75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69"/>
      <c r="K35" s="85"/>
      <c r="L35" s="71"/>
      <c r="M35" s="72"/>
      <c r="N35" s="90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68"/>
      <c r="J36" s="69"/>
      <c r="K36" s="70"/>
      <c r="L36" s="71"/>
      <c r="M36" s="72"/>
      <c r="N36" s="90"/>
      <c r="O36" s="74"/>
      <c r="P36" s="75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69"/>
      <c r="K37" s="70"/>
      <c r="L37" s="71"/>
      <c r="M37" s="72"/>
      <c r="N37" s="90"/>
      <c r="O37" s="74"/>
      <c r="P37" s="75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69"/>
      <c r="K38" s="70"/>
      <c r="L38" s="71"/>
      <c r="M38" s="72"/>
      <c r="N38" s="90"/>
      <c r="O38" s="74"/>
      <c r="P38" s="75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69"/>
      <c r="K39" s="70"/>
      <c r="L39" s="71"/>
      <c r="M39" s="72"/>
      <c r="N39" s="90"/>
      <c r="O39" s="74"/>
      <c r="P39" s="75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69"/>
      <c r="K40" s="70"/>
      <c r="L40" s="88"/>
      <c r="M40" s="72"/>
      <c r="N40" s="90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69"/>
      <c r="K41" s="70"/>
      <c r="L41" s="88"/>
      <c r="M41" s="72"/>
      <c r="N41" s="90"/>
      <c r="O41" s="74"/>
      <c r="P41" s="75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69"/>
      <c r="K42" s="70"/>
      <c r="L42" s="88"/>
      <c r="M42" s="72"/>
      <c r="N42" s="90"/>
      <c r="O42" s="74"/>
      <c r="P42" s="75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69"/>
      <c r="K43" s="87"/>
      <c r="L43" s="71"/>
      <c r="M43" s="72"/>
      <c r="N43" s="90"/>
      <c r="O43" s="74"/>
      <c r="P43" s="75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17"/>
      <c r="K44" s="85"/>
      <c r="L44" s="86"/>
      <c r="M44" s="72"/>
      <c r="N44" s="90"/>
      <c r="O44" s="74"/>
      <c r="P44" s="75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69"/>
      <c r="K45" s="85"/>
      <c r="L45" s="71"/>
      <c r="M45" s="72"/>
      <c r="N45" s="90"/>
      <c r="O45" s="74"/>
      <c r="P45" s="75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68"/>
      <c r="J46" s="69"/>
      <c r="K46" s="85"/>
      <c r="L46" s="71"/>
      <c r="M46" s="72"/>
      <c r="N46" s="90"/>
      <c r="O46" s="74"/>
      <c r="P46" s="75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69"/>
      <c r="K47" s="70"/>
      <c r="L47" s="71"/>
      <c r="M47" s="72"/>
      <c r="N47" s="90"/>
      <c r="O47" s="74"/>
      <c r="P47" s="75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69"/>
      <c r="K48" s="87"/>
      <c r="L48" s="71"/>
      <c r="M48" s="72"/>
      <c r="N48" s="90"/>
      <c r="O48" s="74"/>
      <c r="P48" s="75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69"/>
      <c r="K49" s="85"/>
      <c r="L49" s="71"/>
      <c r="M49" s="72"/>
      <c r="N49" s="90"/>
      <c r="O49" s="74"/>
      <c r="P49" s="75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69"/>
      <c r="K50" s="85"/>
      <c r="L50" s="71"/>
      <c r="M50" s="72"/>
      <c r="N50" s="90"/>
      <c r="O50" s="74"/>
      <c r="P50" s="75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69"/>
      <c r="K51" s="87"/>
      <c r="L51" s="71"/>
      <c r="M51" s="72"/>
      <c r="N51" s="90"/>
      <c r="O51" s="74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69"/>
      <c r="K52" s="87"/>
      <c r="L52" s="71"/>
      <c r="M52" s="72"/>
      <c r="N52" s="90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69"/>
      <c r="K53" s="70"/>
      <c r="L53" s="88"/>
      <c r="M53" s="72"/>
      <c r="N53" s="90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17"/>
      <c r="K54" s="85"/>
      <c r="L54" s="86"/>
      <c r="M54" s="72"/>
      <c r="N54" s="90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69"/>
      <c r="K55" s="87"/>
      <c r="L55" s="71"/>
      <c r="M55" s="72"/>
      <c r="N55" s="90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68"/>
      <c r="J56" s="69"/>
      <c r="K56" s="87"/>
      <c r="L56" s="71"/>
      <c r="M56" s="72"/>
      <c r="N56" s="90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69"/>
      <c r="K57" s="70"/>
      <c r="L57" s="71"/>
      <c r="M57" s="72"/>
      <c r="N57" s="90"/>
      <c r="O57" s="74"/>
      <c r="P57" s="75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69"/>
      <c r="K58" s="87"/>
      <c r="L58" s="71"/>
      <c r="M58" s="147"/>
      <c r="N58" s="90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69"/>
      <c r="K59" s="85"/>
      <c r="L59" s="71"/>
      <c r="M59" s="72"/>
      <c r="N59" s="90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69"/>
      <c r="K60" s="85"/>
      <c r="L60" s="71"/>
      <c r="M60" s="72"/>
      <c r="N60" s="90"/>
      <c r="O60" s="74"/>
      <c r="P60" s="75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69"/>
      <c r="K61" s="85"/>
      <c r="L61" s="71"/>
      <c r="M61" s="72"/>
      <c r="N61" s="90"/>
      <c r="O61" s="74"/>
      <c r="P61" s="75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69"/>
      <c r="K62" s="87"/>
      <c r="L62" s="71"/>
      <c r="M62" s="72"/>
      <c r="N62" s="90"/>
      <c r="O62" s="74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69"/>
      <c r="K63" s="87"/>
      <c r="L63" s="71"/>
      <c r="M63" s="72"/>
      <c r="N63" s="90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69"/>
      <c r="K64" s="87"/>
      <c r="L64" s="71"/>
      <c r="M64" s="72"/>
      <c r="N64" s="90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69"/>
      <c r="K65" s="70"/>
      <c r="L65" s="71"/>
      <c r="M65" s="72"/>
      <c r="N65" s="90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69"/>
      <c r="K66" s="70"/>
      <c r="L66" s="71"/>
      <c r="M66" s="147"/>
      <c r="N66" s="90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69"/>
      <c r="K67" s="87"/>
      <c r="L67" s="71"/>
      <c r="M67" s="72"/>
      <c r="N67" s="90"/>
      <c r="O67" s="74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17"/>
      <c r="K68" s="85"/>
      <c r="L68" s="86"/>
      <c r="M68" s="72"/>
      <c r="N68" s="90"/>
      <c r="O68" s="74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69"/>
      <c r="K69" s="85"/>
      <c r="L69" s="71"/>
      <c r="M69" s="72"/>
      <c r="N69" s="90"/>
      <c r="O69" s="74"/>
      <c r="P69" s="75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69"/>
      <c r="K70" s="70"/>
      <c r="L70" s="71"/>
      <c r="M70" s="72"/>
      <c r="N70" s="90"/>
      <c r="O70" s="74"/>
      <c r="P70" s="75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69"/>
      <c r="K71" s="87"/>
      <c r="L71" s="71"/>
      <c r="M71" s="72"/>
      <c r="N71" s="90"/>
      <c r="O71" s="74"/>
      <c r="P71" s="75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69"/>
      <c r="K72" s="85"/>
      <c r="L72" s="71"/>
      <c r="M72" s="72"/>
      <c r="N72" s="90"/>
      <c r="O72" s="74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68"/>
      <c r="J73" s="69"/>
      <c r="K73" s="93"/>
      <c r="L73" s="71"/>
      <c r="M73" s="72"/>
      <c r="N73" s="90"/>
      <c r="O73" s="74"/>
      <c r="P73" s="75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69"/>
      <c r="K74" s="93"/>
      <c r="L74" s="71"/>
      <c r="M74" s="72"/>
      <c r="N74" s="90"/>
      <c r="O74" s="74"/>
      <c r="P74" s="75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69"/>
      <c r="K75" s="87"/>
      <c r="L75" s="71"/>
      <c r="M75" s="72"/>
      <c r="N75" s="90"/>
      <c r="O75" s="74"/>
      <c r="P75" s="75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69"/>
      <c r="K76" s="85"/>
      <c r="L76" s="71"/>
      <c r="M76" s="72"/>
      <c r="N76" s="90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69"/>
      <c r="K77" s="87"/>
      <c r="L77" s="71"/>
      <c r="M77" s="72"/>
      <c r="N77" s="90"/>
      <c r="O77" s="74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69"/>
      <c r="K78" s="87"/>
      <c r="L78" s="71"/>
      <c r="M78" s="72"/>
      <c r="N78" s="90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69"/>
      <c r="K79" s="70"/>
      <c r="L79" s="71"/>
      <c r="M79" s="147"/>
      <c r="N79" s="90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68"/>
      <c r="J80" s="69"/>
      <c r="K80" s="92"/>
      <c r="L80" s="71"/>
      <c r="M80" s="72"/>
      <c r="N80" s="90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69"/>
      <c r="K81" s="87"/>
      <c r="L81" s="71"/>
      <c r="M81" s="72"/>
      <c r="N81" s="90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69"/>
      <c r="K82" s="87"/>
      <c r="L82" s="71"/>
      <c r="M82" s="72"/>
      <c r="N82" s="90"/>
      <c r="O82" s="74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69"/>
      <c r="K83" s="87"/>
      <c r="L83" s="71"/>
      <c r="M83" s="147"/>
      <c r="N83" s="19"/>
      <c r="O83" s="126"/>
      <c r="P83" s="172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69"/>
      <c r="K84" s="70"/>
      <c r="L84" s="88"/>
      <c r="M84" s="147"/>
      <c r="N84" s="19"/>
      <c r="O84" s="126"/>
      <c r="P84" s="172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69"/>
      <c r="K85" s="70"/>
      <c r="L85" s="71"/>
      <c r="M85" s="72"/>
      <c r="N85" s="90"/>
      <c r="O85" s="74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69"/>
      <c r="K86" s="85"/>
      <c r="L86" s="71"/>
      <c r="M86" s="72"/>
      <c r="N86" s="90"/>
      <c r="O86" s="74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69"/>
      <c r="K87" s="85"/>
      <c r="L87" s="71"/>
      <c r="M87" s="72"/>
      <c r="N87" s="90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69"/>
      <c r="K88" s="85"/>
      <c r="L88" s="71"/>
      <c r="M88" s="72"/>
      <c r="N88" s="90"/>
      <c r="O88" s="74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69"/>
      <c r="K89" s="70"/>
      <c r="L89" s="88"/>
      <c r="M89" s="72"/>
      <c r="N89" s="90"/>
      <c r="O89" s="74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17"/>
      <c r="K90" s="85"/>
      <c r="L90" s="86"/>
      <c r="M90" s="72"/>
      <c r="N90" s="90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69"/>
      <c r="K91" s="87"/>
      <c r="L91" s="71"/>
      <c r="M91" s="72"/>
      <c r="N91" s="90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68"/>
      <c r="J92" s="69"/>
      <c r="K92" s="85"/>
      <c r="L92" s="71"/>
      <c r="M92" s="72"/>
      <c r="N92" s="90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69"/>
      <c r="K93" s="70"/>
      <c r="L93" s="71"/>
      <c r="M93" s="72"/>
      <c r="N93" s="90"/>
      <c r="O93" s="74"/>
      <c r="P93" s="75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69"/>
      <c r="K94" s="70"/>
      <c r="L94" s="71"/>
      <c r="M94" s="147"/>
      <c r="N94" s="90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69"/>
      <c r="K95" s="87"/>
      <c r="L95" s="71"/>
      <c r="M95" s="72"/>
      <c r="N95" s="90"/>
      <c r="O95" s="74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69"/>
      <c r="K96" s="87"/>
      <c r="L96" s="71"/>
      <c r="M96" s="72"/>
      <c r="N96" s="90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17"/>
      <c r="K97" s="85"/>
      <c r="L97" s="86"/>
      <c r="M97" s="72"/>
      <c r="N97" s="90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17"/>
      <c r="K98" s="85"/>
      <c r="L98" s="86"/>
      <c r="M98" s="147"/>
      <c r="N98" s="90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17"/>
      <c r="K99" s="92"/>
      <c r="L99" s="173"/>
      <c r="M99" s="72"/>
      <c r="N99" s="90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17"/>
      <c r="K100" s="85"/>
      <c r="L100" s="86"/>
      <c r="M100" s="72"/>
      <c r="N100" s="90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68"/>
      <c r="J101" s="69"/>
      <c r="K101" s="87"/>
      <c r="L101" s="71"/>
      <c r="M101" s="147"/>
      <c r="N101" s="90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69"/>
      <c r="K102" s="87"/>
      <c r="L102" s="71"/>
      <c r="M102" s="72"/>
      <c r="N102" s="90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69"/>
      <c r="K103" s="87"/>
      <c r="L103" s="71"/>
      <c r="M103" s="72"/>
      <c r="N103" s="90"/>
      <c r="O103" s="74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17"/>
      <c r="K104" s="93"/>
      <c r="L104" s="155"/>
      <c r="M104" s="72"/>
      <c r="N104" s="90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69"/>
      <c r="K105" s="87"/>
      <c r="L105" s="71"/>
      <c r="M105" s="72"/>
      <c r="N105" s="90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68"/>
      <c r="J106" s="69"/>
      <c r="K106" s="93"/>
      <c r="L106" s="71"/>
      <c r="M106" s="72"/>
      <c r="N106" s="90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17"/>
      <c r="K107" s="93"/>
      <c r="L107" s="155"/>
      <c r="M107" s="147"/>
      <c r="N107" s="90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17"/>
      <c r="K108" s="85"/>
      <c r="L108" s="86"/>
      <c r="M108" s="72"/>
      <c r="N108" s="90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69"/>
      <c r="K109" s="70"/>
      <c r="L109" s="71"/>
      <c r="M109" s="72"/>
      <c r="N109" s="90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69"/>
      <c r="K110" s="70"/>
      <c r="L110" s="71"/>
      <c r="M110" s="72"/>
      <c r="N110" s="90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17"/>
      <c r="K111" s="92"/>
      <c r="L111" s="173"/>
      <c r="M111" s="147"/>
      <c r="N111" s="19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17"/>
      <c r="K112" s="85"/>
      <c r="L112" s="86"/>
      <c r="M112" s="147"/>
      <c r="N112" s="19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68"/>
      <c r="J113" s="17"/>
      <c r="K113" s="70"/>
      <c r="L113" s="155"/>
      <c r="M113" s="147"/>
      <c r="N113" s="19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17"/>
      <c r="K114" s="93"/>
      <c r="L114" s="155"/>
      <c r="M114" s="147"/>
      <c r="N114" s="19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17"/>
      <c r="K115" s="85"/>
      <c r="L115" s="86"/>
      <c r="M115" s="147"/>
      <c r="N115" s="19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17"/>
      <c r="K116" s="92"/>
      <c r="L116" s="155"/>
      <c r="M116" s="147"/>
      <c r="N116" s="19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17"/>
      <c r="K117" s="85"/>
      <c r="L117" s="155"/>
      <c r="M117" s="147"/>
      <c r="N117" s="19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17"/>
      <c r="K118" s="93"/>
      <c r="L118" s="155"/>
      <c r="M118" s="147"/>
      <c r="N118" s="19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17"/>
      <c r="K119" s="93"/>
      <c r="L119" s="155"/>
      <c r="M119" s="147"/>
      <c r="N119" s="19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69"/>
      <c r="K120" s="87"/>
      <c r="L120" s="71"/>
      <c r="M120" s="147"/>
      <c r="N120" s="90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17"/>
      <c r="K121" s="70"/>
      <c r="L121" s="88"/>
      <c r="M121" s="72"/>
      <c r="N121" s="90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69"/>
      <c r="K122" s="70"/>
      <c r="L122" s="88"/>
      <c r="M122" s="147"/>
      <c r="N122" s="90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69"/>
      <c r="K123" s="70"/>
      <c r="L123" s="71"/>
      <c r="M123" s="72"/>
      <c r="N123" s="90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69"/>
      <c r="K124" s="70"/>
      <c r="L124" s="88"/>
      <c r="M124" s="72"/>
      <c r="N124" s="90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17"/>
      <c r="K125" s="85"/>
      <c r="L125" s="86"/>
      <c r="M125" s="72"/>
      <c r="N125" s="90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17"/>
      <c r="K126" s="85"/>
      <c r="L126" s="86"/>
      <c r="M126" s="72"/>
      <c r="N126" s="90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69"/>
      <c r="K127" s="87"/>
      <c r="L127" s="88"/>
      <c r="M127" s="72"/>
      <c r="N127" s="90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69"/>
      <c r="K128" s="70"/>
      <c r="L128" s="71"/>
      <c r="M128" s="147"/>
      <c r="N128" s="90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69"/>
      <c r="K129" s="70"/>
      <c r="L129" s="71"/>
      <c r="M129" s="147"/>
      <c r="N129" s="90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17"/>
      <c r="K130" s="85"/>
      <c r="L130" s="86"/>
      <c r="M130" s="72"/>
      <c r="N130" s="90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69"/>
      <c r="K131" s="87"/>
      <c r="L131" s="71"/>
      <c r="M131" s="72"/>
      <c r="N131" s="90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17"/>
      <c r="K132" s="85"/>
      <c r="L132" s="86"/>
      <c r="M132" s="72"/>
      <c r="N132" s="90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69"/>
      <c r="K133" s="70"/>
      <c r="L133" s="88"/>
      <c r="M133" s="72"/>
      <c r="N133" s="90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69"/>
      <c r="K134" s="70"/>
      <c r="L134" s="88"/>
      <c r="M134" s="72"/>
      <c r="N134" s="90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69"/>
      <c r="K135" s="85"/>
      <c r="L135" s="71"/>
      <c r="M135" s="72"/>
      <c r="N135" s="90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69"/>
      <c r="K136" s="70"/>
      <c r="L136" s="71"/>
      <c r="M136" s="72"/>
      <c r="N136" s="90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17"/>
      <c r="K137" s="85"/>
      <c r="L137" s="86"/>
      <c r="M137" s="72"/>
      <c r="N137" s="90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69"/>
      <c r="K138" s="70"/>
      <c r="L138" s="71"/>
      <c r="M138" s="72"/>
      <c r="N138" s="90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69"/>
      <c r="K139" s="70"/>
      <c r="L139" s="71"/>
      <c r="M139" s="147"/>
      <c r="N139" s="90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69"/>
      <c r="K140" s="70"/>
      <c r="L140" s="88"/>
      <c r="M140" s="72"/>
      <c r="N140" s="90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17"/>
      <c r="K141" s="85"/>
      <c r="L141" s="86"/>
      <c r="M141" s="147"/>
      <c r="N141" s="90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69"/>
      <c r="K142" s="85"/>
      <c r="L142" s="71"/>
      <c r="M142" s="72"/>
      <c r="N142" s="90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69"/>
      <c r="K143" s="85"/>
      <c r="L143" s="71"/>
      <c r="M143" s="147"/>
      <c r="N143" s="90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69"/>
      <c r="K144" s="85"/>
      <c r="L144" s="71"/>
      <c r="M144" s="72"/>
      <c r="N144" s="90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69"/>
      <c r="K145" s="87"/>
      <c r="L145" s="71"/>
      <c r="M145" s="72"/>
      <c r="N145" s="90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69"/>
      <c r="K146" s="87"/>
      <c r="L146" s="71"/>
      <c r="M146" s="147"/>
      <c r="N146" s="90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17"/>
      <c r="K147" s="85"/>
      <c r="L147" s="86"/>
      <c r="M147" s="72"/>
      <c r="N147" s="90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17"/>
      <c r="K148" s="85"/>
      <c r="L148" s="86"/>
      <c r="M148" s="72"/>
      <c r="N148" s="90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17"/>
      <c r="K149" s="85"/>
      <c r="L149" s="86"/>
      <c r="M149" s="147"/>
      <c r="N149" s="90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17"/>
      <c r="K150" s="85"/>
      <c r="L150" s="86"/>
      <c r="M150" s="72"/>
      <c r="N150" s="90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69"/>
      <c r="K151" s="70"/>
      <c r="L151" s="88"/>
      <c r="M151" s="147"/>
      <c r="N151" s="90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69"/>
      <c r="K152" s="87"/>
      <c r="L152" s="71"/>
      <c r="M152" s="72"/>
      <c r="N152" s="90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69"/>
      <c r="K153" s="85"/>
      <c r="L153" s="71"/>
      <c r="M153" s="72"/>
      <c r="N153" s="90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17"/>
      <c r="K154" s="85"/>
      <c r="L154" s="86"/>
      <c r="M154" s="147"/>
      <c r="N154" s="19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69"/>
      <c r="K155" s="85"/>
      <c r="L155" s="71"/>
      <c r="M155" s="72"/>
      <c r="N155" s="90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17"/>
      <c r="K156" s="85"/>
      <c r="L156" s="86"/>
      <c r="M156" s="147"/>
      <c r="N156" s="90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69"/>
      <c r="K157" s="87"/>
      <c r="L157" s="71"/>
      <c r="M157" s="72"/>
      <c r="N157" s="90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69"/>
      <c r="K158" s="87"/>
      <c r="L158" s="71"/>
      <c r="M158" s="72"/>
      <c r="N158" s="90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69"/>
      <c r="K159" s="85"/>
      <c r="L159" s="71"/>
      <c r="M159" s="147"/>
      <c r="N159" s="90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17"/>
      <c r="K160" s="93"/>
      <c r="L160" s="155"/>
      <c r="M160" s="72"/>
      <c r="N160" s="90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17"/>
      <c r="K161" s="93"/>
      <c r="L161" s="155"/>
      <c r="M161" s="72"/>
      <c r="N161" s="90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69"/>
      <c r="K162" s="87"/>
      <c r="L162" s="71"/>
      <c r="M162" s="147"/>
      <c r="N162" s="90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69"/>
      <c r="K163" s="87"/>
      <c r="L163" s="71"/>
      <c r="M163" s="72"/>
      <c r="N163" s="90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69"/>
      <c r="K165" s="87"/>
      <c r="L165" s="71"/>
      <c r="M165" s="147"/>
      <c r="N165" s="90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69"/>
      <c r="K166" s="87"/>
      <c r="L166" s="71"/>
      <c r="M166" s="147"/>
      <c r="N166" s="90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17"/>
      <c r="K167" s="85"/>
      <c r="L167" s="86"/>
      <c r="M167" s="72"/>
      <c r="N167" s="90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17"/>
      <c r="K168" s="85"/>
      <c r="L168" s="86"/>
      <c r="M168" s="72"/>
      <c r="N168" s="90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17"/>
      <c r="K169" s="85"/>
      <c r="L169" s="86"/>
      <c r="M169" s="72"/>
      <c r="N169" s="90"/>
      <c r="O169" s="74"/>
      <c r="P169" s="75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17"/>
      <c r="K170" s="85"/>
      <c r="L170" s="86"/>
      <c r="M170" s="72"/>
      <c r="N170" s="90"/>
      <c r="O170" s="74"/>
      <c r="P170" s="75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17"/>
      <c r="K171" s="85"/>
      <c r="L171" s="86"/>
      <c r="M171" s="147"/>
      <c r="N171" s="90"/>
      <c r="O171" s="126"/>
      <c r="P171" s="75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69"/>
      <c r="K172" s="87"/>
      <c r="L172" s="71"/>
      <c r="M172" s="72"/>
      <c r="N172" s="90"/>
      <c r="O172" s="74"/>
      <c r="P172" s="75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154"/>
      <c r="J173" s="17"/>
      <c r="K173" s="87"/>
      <c r="L173" s="71"/>
      <c r="M173" s="72"/>
      <c r="N173" s="90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84"/>
      <c r="J174" s="69"/>
      <c r="K174" s="87"/>
      <c r="L174" s="71"/>
      <c r="M174" s="147"/>
      <c r="N174" s="90"/>
      <c r="O174" s="126"/>
      <c r="P174" s="75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68"/>
      <c r="J175" s="69"/>
      <c r="K175" s="85"/>
      <c r="L175" s="71"/>
      <c r="M175" s="72"/>
      <c r="N175" s="90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69"/>
      <c r="K176" s="70"/>
      <c r="L176" s="71"/>
      <c r="M176" s="72"/>
      <c r="N176" s="90"/>
      <c r="O176" s="74"/>
      <c r="P176" s="75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17"/>
      <c r="K177" s="85"/>
      <c r="L177" s="86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69"/>
      <c r="K178" s="87"/>
      <c r="L178" s="71"/>
      <c r="M178" s="72"/>
      <c r="N178" s="90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69"/>
      <c r="K179" s="87"/>
      <c r="L179" s="71"/>
      <c r="M179" s="72"/>
      <c r="N179" s="90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17"/>
      <c r="K180" s="85"/>
      <c r="L180" s="86"/>
      <c r="M180" s="72"/>
      <c r="N180" s="90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autoFilter ref="$A$1:$AB$1"/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4" width="13.25"/>
    <col customWidth="1" min="15" max="15" width="3.38"/>
    <col customWidth="1" min="16" max="16" width="4.25"/>
    <col customWidth="1" min="17" max="18" width="24.13"/>
    <col customWidth="1" min="19" max="26" width="6.88"/>
  </cols>
  <sheetData>
    <row r="1" ht="48.75" customHeight="1">
      <c r="A1" s="9"/>
      <c r="B1" s="2"/>
      <c r="C1" s="3" t="s">
        <v>2644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3"/>
      <c r="M2" s="14"/>
      <c r="N2" s="13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8"/>
      <c r="M3" s="19"/>
      <c r="N3" s="1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57.0" customHeight="1">
      <c r="A4" s="20"/>
      <c r="B4" s="21"/>
      <c r="C4" s="22" t="s">
        <v>2645</v>
      </c>
      <c r="D4" s="21"/>
      <c r="E4" s="20"/>
      <c r="F4" s="21"/>
      <c r="G4" s="23" t="s">
        <v>2646</v>
      </c>
      <c r="H4" s="4"/>
      <c r="I4" s="4"/>
      <c r="J4" s="4"/>
      <c r="K4" s="4"/>
      <c r="L4" s="4"/>
      <c r="M4" s="4"/>
      <c r="N4" s="4"/>
      <c r="O4" s="21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04" t="s">
        <v>2496</v>
      </c>
      <c r="J5" s="34"/>
      <c r="K5" s="35"/>
      <c r="L5" s="305" t="s">
        <v>2497</v>
      </c>
      <c r="M5" s="37"/>
      <c r="N5" s="38"/>
      <c r="O5" s="30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306" t="s">
        <v>2498</v>
      </c>
      <c r="K6" s="48" t="s">
        <v>12</v>
      </c>
      <c r="L6" s="49" t="s">
        <v>10</v>
      </c>
      <c r="M6" s="307" t="s">
        <v>2498</v>
      </c>
      <c r="N6" s="51" t="s">
        <v>12</v>
      </c>
      <c r="O6" s="30"/>
      <c r="P6" s="29"/>
      <c r="Q6" s="109">
        <f>SUMIF(L:L,"账单户广告费",M:M)</f>
        <v>111000.64</v>
      </c>
      <c r="R6" s="26" t="s">
        <v>1829</v>
      </c>
      <c r="S6" s="30"/>
      <c r="T6" s="30"/>
      <c r="U6" s="30"/>
      <c r="V6" s="30"/>
      <c r="W6" s="30"/>
      <c r="X6" s="30"/>
      <c r="Y6" s="30"/>
      <c r="Z6" s="30"/>
    </row>
    <row r="7" ht="27.75" customHeight="1">
      <c r="A7" s="29"/>
      <c r="B7" s="30"/>
      <c r="C7" s="308" t="s">
        <v>999</v>
      </c>
      <c r="D7" s="54"/>
      <c r="E7" s="29"/>
      <c r="F7" s="30"/>
      <c r="G7" s="55">
        <v>1.0</v>
      </c>
      <c r="H7" s="241">
        <v>45444.0</v>
      </c>
      <c r="I7" s="57" t="s">
        <v>1000</v>
      </c>
      <c r="J7" s="58">
        <f>'5月启航小h充值详情'!C13</f>
        <v>12134.17</v>
      </c>
      <c r="K7" s="310"/>
      <c r="L7" s="311"/>
      <c r="M7" s="62"/>
      <c r="N7" s="322"/>
      <c r="O7" s="30"/>
      <c r="P7" s="29"/>
      <c r="Q7" s="109">
        <f>SUMIF(L:L,"启航广告费",M:M)</f>
        <v>125873.28</v>
      </c>
      <c r="R7" s="26" t="s">
        <v>827</v>
      </c>
      <c r="S7" s="30"/>
      <c r="T7" s="30"/>
      <c r="U7" s="30"/>
      <c r="V7" s="30"/>
      <c r="W7" s="30"/>
      <c r="X7" s="30"/>
      <c r="Y7" s="30"/>
      <c r="Z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45444.0</v>
      </c>
      <c r="I8" s="84"/>
      <c r="J8" s="17"/>
      <c r="K8" s="314"/>
      <c r="L8" s="315" t="s">
        <v>1829</v>
      </c>
      <c r="M8" s="90">
        <v>10000.0</v>
      </c>
      <c r="N8" s="317">
        <v>0.5680555555555555</v>
      </c>
      <c r="O8" s="30"/>
      <c r="P8" s="29"/>
      <c r="Q8" s="109">
        <f>SUMIF(L:L,"小h广告费",M:M)</f>
        <v>0</v>
      </c>
      <c r="R8" s="26" t="s">
        <v>2468</v>
      </c>
      <c r="S8" s="30"/>
      <c r="T8" s="30"/>
      <c r="U8" s="30"/>
      <c r="V8" s="30"/>
      <c r="W8" s="30"/>
      <c r="X8" s="30"/>
      <c r="Y8" s="30"/>
      <c r="Z8" s="30"/>
    </row>
    <row r="9" ht="27.75" customHeight="1">
      <c r="A9" s="29"/>
      <c r="B9" s="30"/>
      <c r="C9" s="77">
        <f>SUM(J7:J110)</f>
        <v>271134.17</v>
      </c>
      <c r="D9" s="30"/>
      <c r="E9" s="29"/>
      <c r="F9" s="30"/>
      <c r="G9" s="66">
        <v>3.0</v>
      </c>
      <c r="H9" s="153">
        <v>45444.0</v>
      </c>
      <c r="I9" s="68" t="s">
        <v>2636</v>
      </c>
      <c r="J9" s="69">
        <v>10000.0</v>
      </c>
      <c r="K9" s="314" t="s">
        <v>2647</v>
      </c>
      <c r="L9" s="315"/>
      <c r="M9" s="90"/>
      <c r="N9" s="315"/>
      <c r="O9" s="30"/>
      <c r="P9" s="29"/>
      <c r="Q9" s="109">
        <f>SUMIF(L:L,"飞书广告费",M:M)</f>
        <v>10000</v>
      </c>
      <c r="R9" s="26" t="s">
        <v>2502</v>
      </c>
      <c r="S9" s="30"/>
      <c r="T9" s="30"/>
      <c r="U9" s="30"/>
      <c r="V9" s="30"/>
      <c r="W9" s="30"/>
      <c r="X9" s="30"/>
      <c r="Y9" s="30"/>
      <c r="Z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45444.0</v>
      </c>
      <c r="I10" s="84"/>
      <c r="J10" s="17"/>
      <c r="K10" s="318"/>
      <c r="L10" s="315" t="s">
        <v>20</v>
      </c>
      <c r="M10" s="90">
        <v>3470.0</v>
      </c>
      <c r="N10" s="317" t="s">
        <v>2648</v>
      </c>
      <c r="O10" s="30"/>
      <c r="P10" s="29"/>
      <c r="Q10" s="109">
        <f>SUMIF(L:L,"广告配套",M:M)</f>
        <v>5967</v>
      </c>
      <c r="R10" s="26" t="s">
        <v>20</v>
      </c>
      <c r="S10" s="30"/>
      <c r="T10" s="30"/>
      <c r="U10" s="30"/>
      <c r="V10" s="30"/>
      <c r="W10" s="30"/>
      <c r="X10" s="30"/>
      <c r="Y10" s="30"/>
      <c r="Z10" s="30"/>
    </row>
    <row r="11" ht="27.75" customHeight="1">
      <c r="A11" s="29"/>
      <c r="B11" s="30"/>
      <c r="C11" s="79">
        <f>SUM(M7:M110)</f>
        <v>252840.92</v>
      </c>
      <c r="D11" s="30"/>
      <c r="E11" s="29"/>
      <c r="F11" s="30"/>
      <c r="G11" s="66">
        <v>5.0</v>
      </c>
      <c r="H11" s="153">
        <v>45445.0</v>
      </c>
      <c r="I11" s="84"/>
      <c r="J11" s="17"/>
      <c r="K11" s="314"/>
      <c r="L11" s="315" t="s">
        <v>1829</v>
      </c>
      <c r="M11" s="90">
        <v>6000.0</v>
      </c>
      <c r="N11" s="317">
        <v>0.7659722222222223</v>
      </c>
      <c r="O11" s="30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45446.0</v>
      </c>
      <c r="I12" s="68" t="s">
        <v>2636</v>
      </c>
      <c r="J12" s="69">
        <v>10000.0</v>
      </c>
      <c r="K12" s="314" t="s">
        <v>2649</v>
      </c>
      <c r="L12" s="315"/>
      <c r="M12" s="90"/>
      <c r="N12" s="317"/>
      <c r="O12" s="30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7.75" customHeight="1">
      <c r="A13" s="29"/>
      <c r="B13" s="30"/>
      <c r="C13" s="82">
        <f>C9-C11</f>
        <v>18293.25</v>
      </c>
      <c r="D13" s="30"/>
      <c r="E13" s="29"/>
      <c r="F13" s="30"/>
      <c r="G13" s="66">
        <v>7.0</v>
      </c>
      <c r="H13" s="153">
        <v>45446.0</v>
      </c>
      <c r="I13" s="84"/>
      <c r="J13" s="17"/>
      <c r="K13" s="133"/>
      <c r="L13" s="315" t="s">
        <v>827</v>
      </c>
      <c r="M13" s="90">
        <v>1515.0</v>
      </c>
      <c r="N13" s="315" t="s">
        <v>2650</v>
      </c>
      <c r="O13" s="30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45446.0</v>
      </c>
      <c r="I14" s="84"/>
      <c r="J14" s="17"/>
      <c r="K14" s="133"/>
      <c r="L14" s="315" t="s">
        <v>827</v>
      </c>
      <c r="M14" s="90">
        <v>221.39</v>
      </c>
      <c r="N14" s="315" t="s">
        <v>119</v>
      </c>
      <c r="O14" s="30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7.75" customHeight="1">
      <c r="A15" s="29"/>
      <c r="B15" s="29"/>
      <c r="C15" s="29"/>
      <c r="D15" s="29"/>
      <c r="E15" s="29"/>
      <c r="F15" s="30"/>
      <c r="G15" s="66">
        <v>9.0</v>
      </c>
      <c r="H15" s="153">
        <v>45446.0</v>
      </c>
      <c r="I15" s="154"/>
      <c r="J15" s="17"/>
      <c r="K15" s="133"/>
      <c r="L15" s="315" t="s">
        <v>827</v>
      </c>
      <c r="M15" s="90">
        <v>1010.0</v>
      </c>
      <c r="N15" s="315" t="s">
        <v>2642</v>
      </c>
      <c r="O15" s="30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7.75" customHeight="1">
      <c r="A16" s="29"/>
      <c r="B16" s="29"/>
      <c r="C16" s="29"/>
      <c r="D16" s="29"/>
      <c r="E16" s="29"/>
      <c r="F16" s="30"/>
      <c r="G16" s="66">
        <v>10.0</v>
      </c>
      <c r="H16" s="153">
        <v>45446.0</v>
      </c>
      <c r="I16" s="84"/>
      <c r="J16" s="17"/>
      <c r="K16" s="133"/>
      <c r="L16" s="315" t="s">
        <v>827</v>
      </c>
      <c r="M16" s="90">
        <v>1515.0</v>
      </c>
      <c r="N16" s="315" t="s">
        <v>2651</v>
      </c>
      <c r="O16" s="30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7.75" customHeight="1">
      <c r="A17" s="29"/>
      <c r="B17" s="29"/>
      <c r="C17" s="29"/>
      <c r="D17" s="29"/>
      <c r="E17" s="29"/>
      <c r="F17" s="30"/>
      <c r="G17" s="66">
        <v>11.0</v>
      </c>
      <c r="H17" s="153">
        <v>45446.0</v>
      </c>
      <c r="I17" s="84"/>
      <c r="J17" s="17"/>
      <c r="K17" s="133"/>
      <c r="L17" s="315" t="s">
        <v>827</v>
      </c>
      <c r="M17" s="90">
        <v>1010.0</v>
      </c>
      <c r="N17" s="315" t="s">
        <v>2652</v>
      </c>
      <c r="O17" s="30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7.75" customHeight="1">
      <c r="A18" s="29"/>
      <c r="B18" s="29"/>
      <c r="C18" s="29"/>
      <c r="D18" s="29"/>
      <c r="E18" s="29"/>
      <c r="F18" s="30"/>
      <c r="G18" s="66">
        <v>12.0</v>
      </c>
      <c r="H18" s="153">
        <v>45446.0</v>
      </c>
      <c r="I18" s="84"/>
      <c r="J18" s="69"/>
      <c r="K18" s="318"/>
      <c r="L18" s="315" t="s">
        <v>827</v>
      </c>
      <c r="M18" s="90">
        <v>1515.0</v>
      </c>
      <c r="N18" s="315" t="s">
        <v>2653</v>
      </c>
      <c r="O18" s="30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7.75" customHeight="1">
      <c r="A19" s="29"/>
      <c r="B19" s="29"/>
      <c r="C19" s="29"/>
      <c r="D19" s="29"/>
      <c r="E19" s="29"/>
      <c r="F19" s="30"/>
      <c r="G19" s="66">
        <v>13.0</v>
      </c>
      <c r="H19" s="153">
        <v>45446.0</v>
      </c>
      <c r="I19" s="84"/>
      <c r="J19" s="17"/>
      <c r="K19" s="133"/>
      <c r="L19" s="315" t="s">
        <v>827</v>
      </c>
      <c r="M19" s="90">
        <v>505.0</v>
      </c>
      <c r="N19" s="315" t="s">
        <v>2654</v>
      </c>
      <c r="O19" s="3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7.75" customHeight="1">
      <c r="A20" s="29"/>
      <c r="B20" s="29"/>
      <c r="C20" s="29"/>
      <c r="D20" s="29"/>
      <c r="E20" s="29"/>
      <c r="F20" s="30"/>
      <c r="G20" s="66">
        <v>14.0</v>
      </c>
      <c r="H20" s="153">
        <v>45446.0</v>
      </c>
      <c r="I20" s="154"/>
      <c r="J20" s="17"/>
      <c r="K20" s="133"/>
      <c r="L20" s="315" t="s">
        <v>827</v>
      </c>
      <c r="M20" s="90">
        <v>1010.0</v>
      </c>
      <c r="N20" s="315" t="s">
        <v>357</v>
      </c>
      <c r="O20" s="30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7.75" customHeight="1">
      <c r="A21" s="29"/>
      <c r="B21" s="29"/>
      <c r="C21" s="29"/>
      <c r="D21" s="29"/>
      <c r="E21" s="29"/>
      <c r="F21" s="30"/>
      <c r="G21" s="66">
        <v>15.0</v>
      </c>
      <c r="H21" s="153">
        <v>45446.0</v>
      </c>
      <c r="I21" s="84"/>
      <c r="J21" s="17"/>
      <c r="K21" s="133"/>
      <c r="L21" s="315" t="s">
        <v>827</v>
      </c>
      <c r="M21" s="90">
        <v>3030.0</v>
      </c>
      <c r="N21" s="315" t="s">
        <v>2655</v>
      </c>
      <c r="O21" s="30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7.75" customHeight="1">
      <c r="A22" s="29"/>
      <c r="B22" s="29"/>
      <c r="C22" s="29"/>
      <c r="D22" s="29"/>
      <c r="E22" s="29"/>
      <c r="F22" s="30"/>
      <c r="G22" s="66">
        <v>16.0</v>
      </c>
      <c r="H22" s="153">
        <v>45446.0</v>
      </c>
      <c r="I22" s="68" t="s">
        <v>2636</v>
      </c>
      <c r="J22" s="69">
        <v>15000.0</v>
      </c>
      <c r="K22" s="133"/>
      <c r="L22" s="315"/>
      <c r="M22" s="90"/>
      <c r="N22" s="317"/>
      <c r="O22" s="30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7.75" customHeight="1">
      <c r="A23" s="29"/>
      <c r="B23" s="29"/>
      <c r="C23" s="29"/>
      <c r="D23" s="29"/>
      <c r="E23" s="29"/>
      <c r="F23" s="30"/>
      <c r="G23" s="66">
        <v>17.0</v>
      </c>
      <c r="H23" s="153">
        <v>45446.0</v>
      </c>
      <c r="I23" s="84"/>
      <c r="J23" s="17"/>
      <c r="K23" s="133"/>
      <c r="L23" s="315" t="s">
        <v>827</v>
      </c>
      <c r="M23" s="90">
        <v>1010.0</v>
      </c>
      <c r="N23" s="315" t="s">
        <v>2656</v>
      </c>
      <c r="O23" s="30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7.75" customHeight="1">
      <c r="A24" s="29"/>
      <c r="B24" s="29"/>
      <c r="C24" s="29"/>
      <c r="D24" s="29"/>
      <c r="E24" s="29"/>
      <c r="F24" s="30"/>
      <c r="G24" s="66">
        <v>18.0</v>
      </c>
      <c r="H24" s="153">
        <v>45447.0</v>
      </c>
      <c r="I24" s="84"/>
      <c r="J24" s="17"/>
      <c r="K24" s="133"/>
      <c r="L24" s="315" t="s">
        <v>827</v>
      </c>
      <c r="M24" s="90">
        <v>2020.0</v>
      </c>
      <c r="N24" s="316" t="s">
        <v>2657</v>
      </c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29"/>
      <c r="B25" s="29"/>
      <c r="C25" s="29"/>
      <c r="D25" s="29"/>
      <c r="E25" s="29"/>
      <c r="F25" s="30"/>
      <c r="G25" s="122">
        <v>19.0</v>
      </c>
      <c r="H25" s="153">
        <v>45447.0</v>
      </c>
      <c r="I25" s="84"/>
      <c r="J25" s="17"/>
      <c r="K25" s="133"/>
      <c r="L25" s="315" t="s">
        <v>827</v>
      </c>
      <c r="M25" s="90">
        <v>2020.0</v>
      </c>
      <c r="N25" s="316" t="s">
        <v>2658</v>
      </c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29"/>
      <c r="B26" s="29"/>
      <c r="C26" s="29"/>
      <c r="D26" s="29"/>
      <c r="E26" s="29"/>
      <c r="F26" s="30"/>
      <c r="G26" s="122">
        <v>20.0</v>
      </c>
      <c r="H26" s="153">
        <v>45447.0</v>
      </c>
      <c r="I26" s="84"/>
      <c r="J26" s="17"/>
      <c r="K26" s="133"/>
      <c r="L26" s="315" t="s">
        <v>827</v>
      </c>
      <c r="M26" s="90">
        <v>1010.0</v>
      </c>
      <c r="N26" s="316" t="s">
        <v>586</v>
      </c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7.75" customHeight="1">
      <c r="A27" s="29"/>
      <c r="B27" s="29"/>
      <c r="C27" s="29"/>
      <c r="D27" s="29"/>
      <c r="E27" s="29"/>
      <c r="F27" s="30"/>
      <c r="G27" s="122">
        <v>21.0</v>
      </c>
      <c r="H27" s="153">
        <v>45447.0</v>
      </c>
      <c r="I27" s="68"/>
      <c r="J27" s="69"/>
      <c r="K27" s="133"/>
      <c r="L27" s="315" t="s">
        <v>827</v>
      </c>
      <c r="M27" s="90">
        <v>2020.0</v>
      </c>
      <c r="N27" s="316" t="s">
        <v>2659</v>
      </c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122">
        <v>22.0</v>
      </c>
      <c r="H28" s="153">
        <v>45447.0</v>
      </c>
      <c r="I28" s="84"/>
      <c r="J28" s="17"/>
      <c r="K28" s="133"/>
      <c r="L28" s="315" t="s">
        <v>827</v>
      </c>
      <c r="M28" s="90">
        <v>2020.0</v>
      </c>
      <c r="N28" s="316" t="s">
        <v>2660</v>
      </c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7.75" customHeight="1">
      <c r="A29" s="29"/>
      <c r="B29" s="29"/>
      <c r="C29" s="29"/>
      <c r="D29" s="29"/>
      <c r="E29" s="29"/>
      <c r="F29" s="30"/>
      <c r="G29" s="122">
        <v>23.0</v>
      </c>
      <c r="H29" s="153">
        <v>45447.0</v>
      </c>
      <c r="I29" s="84"/>
      <c r="J29" s="17"/>
      <c r="K29" s="133"/>
      <c r="L29" s="315" t="s">
        <v>827</v>
      </c>
      <c r="M29" s="90">
        <v>505.0</v>
      </c>
      <c r="N29" s="316" t="s">
        <v>2661</v>
      </c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7.75" customHeight="1">
      <c r="A30" s="29"/>
      <c r="B30" s="29"/>
      <c r="C30" s="29"/>
      <c r="D30" s="29"/>
      <c r="E30" s="29"/>
      <c r="F30" s="30"/>
      <c r="G30" s="122">
        <v>24.0</v>
      </c>
      <c r="H30" s="153">
        <v>45447.0</v>
      </c>
      <c r="I30" s="68" t="s">
        <v>2636</v>
      </c>
      <c r="J30" s="69">
        <v>20000.0</v>
      </c>
      <c r="K30" s="133"/>
      <c r="L30" s="315"/>
      <c r="M30" s="90"/>
      <c r="N30" s="316"/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7.75" customHeight="1">
      <c r="A31" s="29"/>
      <c r="B31" s="29"/>
      <c r="C31" s="29"/>
      <c r="D31" s="29"/>
      <c r="E31" s="29"/>
      <c r="F31" s="30"/>
      <c r="G31" s="122">
        <v>25.0</v>
      </c>
      <c r="H31" s="153">
        <v>45447.0</v>
      </c>
      <c r="I31" s="68"/>
      <c r="J31" s="17"/>
      <c r="K31" s="314"/>
      <c r="L31" s="315" t="s">
        <v>827</v>
      </c>
      <c r="M31" s="90">
        <v>7575.0</v>
      </c>
      <c r="N31" s="316" t="s">
        <v>793</v>
      </c>
      <c r="O31" s="30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7.75" customHeight="1">
      <c r="A32" s="29"/>
      <c r="B32" s="29"/>
      <c r="C32" s="29"/>
      <c r="D32" s="29"/>
      <c r="E32" s="29"/>
      <c r="F32" s="30"/>
      <c r="G32" s="122">
        <v>26.0</v>
      </c>
      <c r="H32" s="153">
        <v>45447.0</v>
      </c>
      <c r="I32" s="84"/>
      <c r="J32" s="17"/>
      <c r="K32" s="133"/>
      <c r="L32" s="315" t="s">
        <v>827</v>
      </c>
      <c r="M32" s="90">
        <v>1010.0</v>
      </c>
      <c r="N32" s="316" t="s">
        <v>2662</v>
      </c>
      <c r="O32" s="30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7.75" customHeight="1">
      <c r="A33" s="29"/>
      <c r="B33" s="29"/>
      <c r="C33" s="29"/>
      <c r="D33" s="29"/>
      <c r="E33" s="29"/>
      <c r="F33" s="30"/>
      <c r="G33" s="122">
        <v>27.0</v>
      </c>
      <c r="H33" s="153">
        <v>45447.0</v>
      </c>
      <c r="I33" s="84"/>
      <c r="J33" s="17"/>
      <c r="K33" s="133"/>
      <c r="L33" s="315" t="s">
        <v>827</v>
      </c>
      <c r="M33" s="90">
        <v>4545.0</v>
      </c>
      <c r="N33" s="316" t="s">
        <v>2347</v>
      </c>
      <c r="O33" s="30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75" customHeight="1">
      <c r="A34" s="29"/>
      <c r="B34" s="29"/>
      <c r="C34" s="29"/>
      <c r="D34" s="29"/>
      <c r="E34" s="29"/>
      <c r="F34" s="30"/>
      <c r="G34" s="122">
        <v>28.0</v>
      </c>
      <c r="H34" s="153">
        <v>45447.0</v>
      </c>
      <c r="I34" s="84"/>
      <c r="J34" s="17"/>
      <c r="K34" s="133"/>
      <c r="L34" s="315" t="s">
        <v>827</v>
      </c>
      <c r="M34" s="90">
        <v>1515.0</v>
      </c>
      <c r="N34" s="316" t="s">
        <v>2663</v>
      </c>
      <c r="O34" s="30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7.75" customHeight="1">
      <c r="A35" s="29"/>
      <c r="B35" s="29"/>
      <c r="C35" s="29"/>
      <c r="D35" s="29"/>
      <c r="E35" s="29"/>
      <c r="F35" s="30"/>
      <c r="G35" s="122">
        <v>29.0</v>
      </c>
      <c r="H35" s="153">
        <v>45448.0</v>
      </c>
      <c r="I35" s="84"/>
      <c r="J35" s="17"/>
      <c r="K35" s="133"/>
      <c r="L35" s="315" t="s">
        <v>827</v>
      </c>
      <c r="M35" s="90">
        <v>505.0</v>
      </c>
      <c r="N35" s="316" t="s">
        <v>2664</v>
      </c>
      <c r="O35" s="30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7.75" customHeight="1">
      <c r="A36" s="29"/>
      <c r="B36" s="29"/>
      <c r="C36" s="29"/>
      <c r="D36" s="29"/>
      <c r="E36" s="29"/>
      <c r="F36" s="30"/>
      <c r="G36" s="122">
        <v>30.0</v>
      </c>
      <c r="H36" s="153">
        <v>45448.0</v>
      </c>
      <c r="I36" s="84"/>
      <c r="J36" s="103"/>
      <c r="K36" s="133"/>
      <c r="L36" s="315" t="s">
        <v>827</v>
      </c>
      <c r="M36" s="90">
        <v>2020.0</v>
      </c>
      <c r="N36" s="316" t="s">
        <v>426</v>
      </c>
      <c r="O36" s="30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7.75" customHeight="1">
      <c r="A37" s="29"/>
      <c r="B37" s="29"/>
      <c r="C37" s="29"/>
      <c r="D37" s="29"/>
      <c r="E37" s="29"/>
      <c r="F37" s="30"/>
      <c r="G37" s="122">
        <v>31.0</v>
      </c>
      <c r="H37" s="153">
        <v>45448.0</v>
      </c>
      <c r="I37" s="84"/>
      <c r="J37" s="17"/>
      <c r="K37" s="133"/>
      <c r="L37" s="315" t="s">
        <v>827</v>
      </c>
      <c r="M37" s="90">
        <v>2525.0</v>
      </c>
      <c r="N37" s="316" t="s">
        <v>2665</v>
      </c>
      <c r="O37" s="30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7.75" customHeight="1">
      <c r="A38" s="29"/>
      <c r="B38" s="29"/>
      <c r="C38" s="29"/>
      <c r="D38" s="29"/>
      <c r="E38" s="29"/>
      <c r="F38" s="30"/>
      <c r="G38" s="122">
        <v>32.0</v>
      </c>
      <c r="H38" s="153">
        <v>45448.0</v>
      </c>
      <c r="I38" s="84"/>
      <c r="J38" s="17"/>
      <c r="K38" s="133"/>
      <c r="L38" s="315" t="s">
        <v>827</v>
      </c>
      <c r="M38" s="90">
        <v>505.0</v>
      </c>
      <c r="N38" s="316" t="s">
        <v>2660</v>
      </c>
      <c r="O38" s="30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7.75" customHeight="1">
      <c r="A39" s="29"/>
      <c r="B39" s="29"/>
      <c r="C39" s="29"/>
      <c r="D39" s="29"/>
      <c r="E39" s="29"/>
      <c r="F39" s="30"/>
      <c r="G39" s="122">
        <v>33.0</v>
      </c>
      <c r="H39" s="153">
        <v>45448.0</v>
      </c>
      <c r="I39" s="68" t="s">
        <v>2636</v>
      </c>
      <c r="J39" s="69">
        <v>30000.0</v>
      </c>
      <c r="K39" s="314" t="s">
        <v>2666</v>
      </c>
      <c r="L39" s="315"/>
      <c r="M39" s="90"/>
      <c r="N39" s="320"/>
      <c r="O39" s="30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7.75" customHeight="1">
      <c r="A40" s="29"/>
      <c r="B40" s="29"/>
      <c r="C40" s="29"/>
      <c r="D40" s="29"/>
      <c r="E40" s="29"/>
      <c r="F40" s="30"/>
      <c r="G40" s="122">
        <v>34.0</v>
      </c>
      <c r="H40" s="153">
        <v>45448.0</v>
      </c>
      <c r="I40" s="84"/>
      <c r="J40" s="17"/>
      <c r="K40" s="133"/>
      <c r="L40" s="315" t="s">
        <v>827</v>
      </c>
      <c r="M40" s="90">
        <v>6060.0</v>
      </c>
      <c r="N40" s="316" t="s">
        <v>740</v>
      </c>
      <c r="O40" s="30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75" customHeight="1">
      <c r="A41" s="29"/>
      <c r="B41" s="29"/>
      <c r="C41" s="29"/>
      <c r="D41" s="29"/>
      <c r="E41" s="29"/>
      <c r="F41" s="30"/>
      <c r="G41" s="122">
        <v>35.0</v>
      </c>
      <c r="H41" s="153">
        <v>45448.0</v>
      </c>
      <c r="I41" s="84"/>
      <c r="J41" s="17"/>
      <c r="K41" s="133"/>
      <c r="L41" s="315" t="s">
        <v>827</v>
      </c>
      <c r="M41" s="90">
        <v>1515.0</v>
      </c>
      <c r="N41" s="316" t="s">
        <v>2667</v>
      </c>
      <c r="O41" s="30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7.75" customHeight="1">
      <c r="A42" s="29"/>
      <c r="B42" s="29"/>
      <c r="C42" s="29"/>
      <c r="D42" s="29"/>
      <c r="E42" s="29"/>
      <c r="F42" s="30"/>
      <c r="G42" s="122">
        <v>36.0</v>
      </c>
      <c r="H42" s="153">
        <v>45448.0</v>
      </c>
      <c r="I42" s="84"/>
      <c r="J42" s="17"/>
      <c r="K42" s="133"/>
      <c r="L42" s="315" t="s">
        <v>827</v>
      </c>
      <c r="M42" s="90">
        <v>2020.0</v>
      </c>
      <c r="N42" s="316" t="s">
        <v>2668</v>
      </c>
      <c r="O42" s="30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75" customHeight="1">
      <c r="A43" s="29"/>
      <c r="B43" s="29"/>
      <c r="C43" s="29"/>
      <c r="D43" s="29"/>
      <c r="E43" s="29"/>
      <c r="F43" s="30"/>
      <c r="G43" s="122">
        <v>37.0</v>
      </c>
      <c r="H43" s="153">
        <v>45448.0</v>
      </c>
      <c r="I43" s="84"/>
      <c r="J43" s="17"/>
      <c r="K43" s="133"/>
      <c r="L43" s="315" t="s">
        <v>827</v>
      </c>
      <c r="M43" s="90">
        <v>4040.0</v>
      </c>
      <c r="N43" s="316" t="s">
        <v>2669</v>
      </c>
      <c r="O43" s="30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7.75" customHeight="1">
      <c r="A44" s="29"/>
      <c r="B44" s="29"/>
      <c r="C44" s="29"/>
      <c r="D44" s="29"/>
      <c r="E44" s="29"/>
      <c r="F44" s="30"/>
      <c r="G44" s="122">
        <v>38.0</v>
      </c>
      <c r="H44" s="153">
        <v>45448.0</v>
      </c>
      <c r="I44" s="84"/>
      <c r="J44" s="69"/>
      <c r="K44" s="314"/>
      <c r="L44" s="315" t="s">
        <v>827</v>
      </c>
      <c r="M44" s="90">
        <v>3030.0</v>
      </c>
      <c r="N44" s="316" t="s">
        <v>2670</v>
      </c>
      <c r="O44" s="30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7.75" customHeight="1">
      <c r="A45" s="29"/>
      <c r="B45" s="29"/>
      <c r="C45" s="29"/>
      <c r="D45" s="29"/>
      <c r="E45" s="29"/>
      <c r="F45" s="30"/>
      <c r="G45" s="122">
        <v>39.0</v>
      </c>
      <c r="H45" s="153">
        <v>45449.0</v>
      </c>
      <c r="I45" s="84"/>
      <c r="J45" s="17"/>
      <c r="K45" s="133"/>
      <c r="L45" s="315" t="s">
        <v>827</v>
      </c>
      <c r="M45" s="90">
        <v>1122.82</v>
      </c>
      <c r="N45" s="316" t="s">
        <v>357</v>
      </c>
      <c r="O45" s="30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7.75" customHeight="1">
      <c r="A46" s="29"/>
      <c r="B46" s="29"/>
      <c r="C46" s="29"/>
      <c r="D46" s="29"/>
      <c r="E46" s="29"/>
      <c r="F46" s="30"/>
      <c r="G46" s="122">
        <v>40.0</v>
      </c>
      <c r="H46" s="153">
        <v>45449.0</v>
      </c>
      <c r="I46" s="84"/>
      <c r="J46" s="17"/>
      <c r="K46" s="133"/>
      <c r="L46" s="315" t="s">
        <v>827</v>
      </c>
      <c r="M46" s="90">
        <v>808.0</v>
      </c>
      <c r="N46" s="316" t="s">
        <v>2671</v>
      </c>
      <c r="O46" s="30"/>
      <c r="P46" s="29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27.75" customHeight="1">
      <c r="A47" s="29"/>
      <c r="B47" s="29"/>
      <c r="C47" s="29"/>
      <c r="D47" s="29"/>
      <c r="E47" s="29"/>
      <c r="F47" s="30"/>
      <c r="G47" s="122">
        <v>41.0</v>
      </c>
      <c r="H47" s="153">
        <v>45449.0</v>
      </c>
      <c r="I47" s="84"/>
      <c r="J47" s="17"/>
      <c r="K47" s="133"/>
      <c r="L47" s="315" t="s">
        <v>827</v>
      </c>
      <c r="M47" s="90">
        <v>1010.0</v>
      </c>
      <c r="N47" s="316" t="s">
        <v>2672</v>
      </c>
      <c r="O47" s="30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7.75" customHeight="1">
      <c r="A48" s="29"/>
      <c r="B48" s="29"/>
      <c r="C48" s="29"/>
      <c r="D48" s="29"/>
      <c r="E48" s="29"/>
      <c r="F48" s="30"/>
      <c r="G48" s="122">
        <v>42.0</v>
      </c>
      <c r="H48" s="153">
        <v>45450.0</v>
      </c>
      <c r="I48" s="84"/>
      <c r="J48" s="17"/>
      <c r="K48" s="133"/>
      <c r="L48" s="315" t="s">
        <v>1829</v>
      </c>
      <c r="M48" s="90">
        <v>10000.0</v>
      </c>
      <c r="N48" s="316" t="s">
        <v>2673</v>
      </c>
      <c r="O48" s="30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27.75" customHeight="1">
      <c r="A49" s="29"/>
      <c r="B49" s="29"/>
      <c r="C49" s="29"/>
      <c r="D49" s="29"/>
      <c r="E49" s="29"/>
      <c r="F49" s="30"/>
      <c r="G49" s="122">
        <v>43.0</v>
      </c>
      <c r="H49" s="153">
        <v>45450.0</v>
      </c>
      <c r="I49" s="84"/>
      <c r="J49" s="17"/>
      <c r="K49" s="133"/>
      <c r="L49" s="315" t="s">
        <v>827</v>
      </c>
      <c r="M49" s="90">
        <v>1515.0</v>
      </c>
      <c r="N49" s="316" t="s">
        <v>2674</v>
      </c>
      <c r="O49" s="30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7.75" customHeight="1">
      <c r="A50" s="29"/>
      <c r="B50" s="29"/>
      <c r="C50" s="29"/>
      <c r="D50" s="29"/>
      <c r="E50" s="29"/>
      <c r="F50" s="30"/>
      <c r="G50" s="122">
        <v>44.0</v>
      </c>
      <c r="H50" s="153">
        <v>45450.0</v>
      </c>
      <c r="I50" s="68" t="s">
        <v>2636</v>
      </c>
      <c r="J50" s="69">
        <v>20000.0</v>
      </c>
      <c r="K50" s="314" t="s">
        <v>2675</v>
      </c>
      <c r="L50" s="315"/>
      <c r="M50" s="90"/>
      <c r="N50" s="316"/>
      <c r="O50" s="30"/>
      <c r="P50" s="29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27.75" customHeight="1">
      <c r="A51" s="29"/>
      <c r="B51" s="29"/>
      <c r="C51" s="29"/>
      <c r="D51" s="29"/>
      <c r="E51" s="29"/>
      <c r="F51" s="30"/>
      <c r="G51" s="122">
        <v>45.0</v>
      </c>
      <c r="H51" s="153">
        <v>45450.0</v>
      </c>
      <c r="I51" s="84"/>
      <c r="J51" s="17"/>
      <c r="K51" s="133"/>
      <c r="L51" s="315" t="s">
        <v>827</v>
      </c>
      <c r="M51" s="90">
        <v>4040.0</v>
      </c>
      <c r="N51" s="316" t="s">
        <v>2676</v>
      </c>
      <c r="O51" s="30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7.75" customHeight="1">
      <c r="A52" s="29"/>
      <c r="B52" s="29"/>
      <c r="C52" s="29"/>
      <c r="D52" s="29"/>
      <c r="E52" s="29"/>
      <c r="F52" s="30"/>
      <c r="G52" s="122">
        <v>46.0</v>
      </c>
      <c r="H52" s="153">
        <v>45450.0</v>
      </c>
      <c r="I52" s="84"/>
      <c r="J52" s="17"/>
      <c r="K52" s="133"/>
      <c r="L52" s="315" t="s">
        <v>1829</v>
      </c>
      <c r="M52" s="90">
        <v>20000.0</v>
      </c>
      <c r="N52" s="316" t="s">
        <v>726</v>
      </c>
      <c r="O52" s="30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7.75" customHeight="1">
      <c r="A53" s="29"/>
      <c r="B53" s="29"/>
      <c r="C53" s="29"/>
      <c r="D53" s="29"/>
      <c r="E53" s="29"/>
      <c r="F53" s="30"/>
      <c r="G53" s="122">
        <v>47.0</v>
      </c>
      <c r="H53" s="153">
        <v>45450.0</v>
      </c>
      <c r="I53" s="68" t="s">
        <v>2636</v>
      </c>
      <c r="J53" s="69">
        <v>9000.0</v>
      </c>
      <c r="K53" s="314" t="s">
        <v>2677</v>
      </c>
      <c r="L53" s="315"/>
      <c r="M53" s="90"/>
      <c r="N53" s="320"/>
      <c r="O53" s="30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7.75" customHeight="1">
      <c r="A54" s="29"/>
      <c r="B54" s="29"/>
      <c r="C54" s="29"/>
      <c r="D54" s="29"/>
      <c r="E54" s="29"/>
      <c r="F54" s="30"/>
      <c r="G54" s="122">
        <v>48.0</v>
      </c>
      <c r="H54" s="153">
        <v>45450.0</v>
      </c>
      <c r="I54" s="84"/>
      <c r="J54" s="69"/>
      <c r="K54" s="314"/>
      <c r="L54" s="315" t="s">
        <v>827</v>
      </c>
      <c r="M54" s="90">
        <v>1096.41</v>
      </c>
      <c r="N54" s="316" t="s">
        <v>2677</v>
      </c>
      <c r="O54" s="30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7.75" customHeight="1">
      <c r="A55" s="29"/>
      <c r="B55" s="29"/>
      <c r="C55" s="29"/>
      <c r="D55" s="29"/>
      <c r="E55" s="29"/>
      <c r="F55" s="30"/>
      <c r="G55" s="122">
        <v>49.0</v>
      </c>
      <c r="H55" s="153">
        <v>45450.0</v>
      </c>
      <c r="I55" s="84"/>
      <c r="J55" s="17"/>
      <c r="K55" s="133"/>
      <c r="L55" s="315" t="s">
        <v>827</v>
      </c>
      <c r="M55" s="90">
        <v>505.0</v>
      </c>
      <c r="N55" s="316" t="s">
        <v>2678</v>
      </c>
      <c r="O55" s="30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27.75" customHeight="1">
      <c r="A56" s="29"/>
      <c r="B56" s="29"/>
      <c r="C56" s="29"/>
      <c r="D56" s="29"/>
      <c r="E56" s="29"/>
      <c r="F56" s="30"/>
      <c r="G56" s="122">
        <v>50.0</v>
      </c>
      <c r="H56" s="153">
        <v>45450.0</v>
      </c>
      <c r="I56" s="84"/>
      <c r="J56" s="17"/>
      <c r="K56" s="133"/>
      <c r="L56" s="315" t="s">
        <v>827</v>
      </c>
      <c r="M56" s="90">
        <v>2020.0</v>
      </c>
      <c r="N56" s="316" t="s">
        <v>2210</v>
      </c>
      <c r="O56" s="30"/>
      <c r="P56" s="29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27.75" customHeight="1">
      <c r="A57" s="29"/>
      <c r="B57" s="29"/>
      <c r="C57" s="29"/>
      <c r="D57" s="29"/>
      <c r="E57" s="29"/>
      <c r="F57" s="30"/>
      <c r="G57" s="122">
        <v>51.0</v>
      </c>
      <c r="H57" s="153">
        <v>45450.0</v>
      </c>
      <c r="I57" s="84"/>
      <c r="J57" s="17"/>
      <c r="K57" s="133"/>
      <c r="L57" s="315" t="s">
        <v>827</v>
      </c>
      <c r="M57" s="90">
        <v>2525.0</v>
      </c>
      <c r="N57" s="316" t="s">
        <v>2679</v>
      </c>
      <c r="O57" s="30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7.75" customHeight="1">
      <c r="A58" s="29"/>
      <c r="B58" s="29"/>
      <c r="C58" s="29"/>
      <c r="D58" s="29"/>
      <c r="E58" s="29"/>
      <c r="F58" s="30"/>
      <c r="G58" s="122">
        <v>52.0</v>
      </c>
      <c r="H58" s="153">
        <v>45450.0</v>
      </c>
      <c r="I58" s="84"/>
      <c r="J58" s="17"/>
      <c r="K58" s="314"/>
      <c r="L58" s="315" t="s">
        <v>827</v>
      </c>
      <c r="M58" s="90">
        <v>1515.0</v>
      </c>
      <c r="N58" s="316" t="s">
        <v>2680</v>
      </c>
      <c r="O58" s="30"/>
      <c r="P58" s="29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7.75" customHeight="1">
      <c r="A59" s="29"/>
      <c r="B59" s="29"/>
      <c r="C59" s="29"/>
      <c r="D59" s="29"/>
      <c r="E59" s="29"/>
      <c r="F59" s="30"/>
      <c r="G59" s="122">
        <v>53.0</v>
      </c>
      <c r="H59" s="153">
        <v>45450.0</v>
      </c>
      <c r="I59" s="68" t="s">
        <v>2636</v>
      </c>
      <c r="J59" s="69">
        <v>30000.0</v>
      </c>
      <c r="K59" s="314" t="s">
        <v>2681</v>
      </c>
      <c r="L59" s="315"/>
      <c r="M59" s="90"/>
      <c r="N59" s="316"/>
      <c r="O59" s="30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7.75" customHeight="1">
      <c r="A60" s="29"/>
      <c r="B60" s="29"/>
      <c r="C60" s="29"/>
      <c r="D60" s="29"/>
      <c r="E60" s="29"/>
      <c r="F60" s="30"/>
      <c r="G60" s="122">
        <v>54.0</v>
      </c>
      <c r="H60" s="153">
        <v>45450.0</v>
      </c>
      <c r="I60" s="84"/>
      <c r="J60" s="17"/>
      <c r="K60" s="133"/>
      <c r="L60" s="315" t="s">
        <v>827</v>
      </c>
      <c r="M60" s="90">
        <v>2020.0</v>
      </c>
      <c r="N60" s="316" t="s">
        <v>2542</v>
      </c>
      <c r="O60" s="30"/>
      <c r="P60" s="29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7.75" customHeight="1">
      <c r="A61" s="29"/>
      <c r="B61" s="29"/>
      <c r="C61" s="29"/>
      <c r="D61" s="29"/>
      <c r="E61" s="29"/>
      <c r="F61" s="30"/>
      <c r="G61" s="122">
        <v>55.0</v>
      </c>
      <c r="H61" s="153">
        <v>45451.0</v>
      </c>
      <c r="I61" s="84"/>
      <c r="J61" s="17"/>
      <c r="K61" s="133"/>
      <c r="L61" s="315" t="s">
        <v>827</v>
      </c>
      <c r="M61" s="90">
        <v>2020.0</v>
      </c>
      <c r="N61" s="316" t="s">
        <v>66</v>
      </c>
      <c r="O61" s="3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75" customHeight="1">
      <c r="A62" s="29"/>
      <c r="B62" s="29"/>
      <c r="C62" s="29"/>
      <c r="D62" s="29"/>
      <c r="E62" s="29"/>
      <c r="F62" s="30"/>
      <c r="G62" s="122">
        <v>56.0</v>
      </c>
      <c r="H62" s="153">
        <v>45451.0</v>
      </c>
      <c r="I62" s="84"/>
      <c r="J62" s="17"/>
      <c r="K62" s="133"/>
      <c r="L62" s="315" t="s">
        <v>1829</v>
      </c>
      <c r="M62" s="90">
        <v>20000.0</v>
      </c>
      <c r="N62" s="316" t="s">
        <v>2682</v>
      </c>
      <c r="O62" s="30"/>
      <c r="P62" s="29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7.75" customHeight="1">
      <c r="A63" s="29"/>
      <c r="B63" s="29"/>
      <c r="C63" s="29"/>
      <c r="D63" s="29"/>
      <c r="E63" s="29"/>
      <c r="F63" s="30"/>
      <c r="G63" s="122">
        <v>57.0</v>
      </c>
      <c r="H63" s="153">
        <v>45451.0</v>
      </c>
      <c r="I63" s="68"/>
      <c r="J63" s="69"/>
      <c r="K63" s="314"/>
      <c r="L63" s="315" t="s">
        <v>827</v>
      </c>
      <c r="M63" s="90">
        <v>5555.0</v>
      </c>
      <c r="N63" s="316" t="s">
        <v>2683</v>
      </c>
      <c r="O63" s="30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7.75" customHeight="1">
      <c r="A64" s="29"/>
      <c r="B64" s="29"/>
      <c r="C64" s="29"/>
      <c r="D64" s="29"/>
      <c r="E64" s="29"/>
      <c r="F64" s="30"/>
      <c r="G64" s="122">
        <v>58.0</v>
      </c>
      <c r="H64" s="153">
        <v>45451.0</v>
      </c>
      <c r="I64" s="68" t="s">
        <v>2636</v>
      </c>
      <c r="J64" s="69">
        <v>20000.0</v>
      </c>
      <c r="K64" s="314" t="s">
        <v>2684</v>
      </c>
      <c r="L64" s="315"/>
      <c r="M64" s="90"/>
      <c r="N64" s="316"/>
      <c r="O64" s="30"/>
      <c r="P64" s="29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7.75" customHeight="1">
      <c r="A65" s="29"/>
      <c r="B65" s="29"/>
      <c r="C65" s="29"/>
      <c r="D65" s="29"/>
      <c r="E65" s="29"/>
      <c r="F65" s="30"/>
      <c r="G65" s="122">
        <v>59.0</v>
      </c>
      <c r="H65" s="153">
        <v>45451.0</v>
      </c>
      <c r="I65" s="84"/>
      <c r="J65" s="17"/>
      <c r="K65" s="314"/>
      <c r="L65" s="315" t="s">
        <v>827</v>
      </c>
      <c r="M65" s="90">
        <v>3500.0</v>
      </c>
      <c r="N65" s="316" t="s">
        <v>2685</v>
      </c>
      <c r="O65" s="30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7.75" customHeight="1">
      <c r="A66" s="29"/>
      <c r="B66" s="29"/>
      <c r="C66" s="29"/>
      <c r="D66" s="29"/>
      <c r="E66" s="29"/>
      <c r="F66" s="30"/>
      <c r="G66" s="122">
        <v>60.0</v>
      </c>
      <c r="H66" s="153">
        <v>45451.0</v>
      </c>
      <c r="I66" s="84"/>
      <c r="J66" s="17"/>
      <c r="K66" s="133"/>
      <c r="L66" s="315" t="s">
        <v>827</v>
      </c>
      <c r="M66" s="90">
        <v>1045.0</v>
      </c>
      <c r="N66" s="316" t="s">
        <v>2686</v>
      </c>
      <c r="O66" s="30"/>
      <c r="P66" s="29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7.75" customHeight="1">
      <c r="A67" s="29"/>
      <c r="B67" s="29"/>
      <c r="C67" s="29"/>
      <c r="D67" s="29"/>
      <c r="E67" s="29"/>
      <c r="F67" s="30"/>
      <c r="G67" s="122">
        <v>61.0</v>
      </c>
      <c r="H67" s="153">
        <v>45451.0</v>
      </c>
      <c r="I67" s="84"/>
      <c r="J67" s="17"/>
      <c r="K67" s="133"/>
      <c r="L67" s="315" t="s">
        <v>827</v>
      </c>
      <c r="M67" s="90">
        <v>1010.0</v>
      </c>
      <c r="N67" s="316" t="s">
        <v>971</v>
      </c>
      <c r="O67" s="30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7.75" customHeight="1">
      <c r="A68" s="29"/>
      <c r="B68" s="29"/>
      <c r="C68" s="29"/>
      <c r="D68" s="29"/>
      <c r="E68" s="29"/>
      <c r="F68" s="30"/>
      <c r="G68" s="122">
        <v>62.0</v>
      </c>
      <c r="H68" s="153">
        <v>45451.0</v>
      </c>
      <c r="I68" s="84"/>
      <c r="J68" s="17"/>
      <c r="K68" s="133"/>
      <c r="L68" s="315" t="s">
        <v>827</v>
      </c>
      <c r="M68" s="90">
        <v>2020.0</v>
      </c>
      <c r="N68" s="316" t="s">
        <v>2687</v>
      </c>
      <c r="O68" s="30"/>
      <c r="P68" s="29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7.75" customHeight="1">
      <c r="A69" s="29"/>
      <c r="B69" s="29"/>
      <c r="C69" s="29"/>
      <c r="D69" s="29"/>
      <c r="E69" s="29"/>
      <c r="F69" s="30"/>
      <c r="G69" s="122">
        <v>63.0</v>
      </c>
      <c r="H69" s="153">
        <v>45451.0</v>
      </c>
      <c r="I69" s="84"/>
      <c r="J69" s="17"/>
      <c r="K69" s="133"/>
      <c r="L69" s="315" t="s">
        <v>827</v>
      </c>
      <c r="M69" s="90">
        <v>3535.0</v>
      </c>
      <c r="N69" s="320">
        <v>0.8777777777777778</v>
      </c>
      <c r="O69" s="30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7.75" customHeight="1">
      <c r="A70" s="29"/>
      <c r="B70" s="29"/>
      <c r="C70" s="29"/>
      <c r="D70" s="29"/>
      <c r="E70" s="29"/>
      <c r="F70" s="30"/>
      <c r="G70" s="122">
        <v>64.0</v>
      </c>
      <c r="H70" s="153">
        <v>45453.0</v>
      </c>
      <c r="I70" s="84"/>
      <c r="J70" s="17"/>
      <c r="K70" s="133"/>
      <c r="L70" s="315" t="s">
        <v>827</v>
      </c>
      <c r="M70" s="90">
        <v>1964.31</v>
      </c>
      <c r="N70" s="320">
        <v>0.3611111111111111</v>
      </c>
      <c r="O70" s="30"/>
      <c r="P70" s="29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7.75" customHeight="1">
      <c r="A71" s="29"/>
      <c r="B71" s="29"/>
      <c r="C71" s="29"/>
      <c r="D71" s="29"/>
      <c r="E71" s="29"/>
      <c r="F71" s="30"/>
      <c r="G71" s="122">
        <v>65.0</v>
      </c>
      <c r="H71" s="153">
        <v>45453.0</v>
      </c>
      <c r="I71" s="84"/>
      <c r="J71" s="17"/>
      <c r="K71" s="133"/>
      <c r="L71" s="315" t="s">
        <v>827</v>
      </c>
      <c r="M71" s="90">
        <v>4040.0</v>
      </c>
      <c r="N71" s="316" t="s">
        <v>2688</v>
      </c>
      <c r="O71" s="30"/>
      <c r="P71" s="29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27.75" customHeight="1">
      <c r="A72" s="29"/>
      <c r="B72" s="29"/>
      <c r="C72" s="29"/>
      <c r="D72" s="29"/>
      <c r="E72" s="29"/>
      <c r="F72" s="30"/>
      <c r="G72" s="122">
        <v>66.0</v>
      </c>
      <c r="H72" s="153">
        <v>45453.0</v>
      </c>
      <c r="I72" s="68" t="s">
        <v>2636</v>
      </c>
      <c r="J72" s="69">
        <v>15000.0</v>
      </c>
      <c r="K72" s="314" t="s">
        <v>2589</v>
      </c>
      <c r="L72" s="135"/>
      <c r="M72" s="19"/>
      <c r="N72" s="131"/>
      <c r="O72" s="30"/>
      <c r="P72" s="29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27.75" customHeight="1">
      <c r="A73" s="29"/>
      <c r="B73" s="29"/>
      <c r="C73" s="29"/>
      <c r="D73" s="29"/>
      <c r="E73" s="29"/>
      <c r="F73" s="30"/>
      <c r="G73" s="122">
        <v>67.0</v>
      </c>
      <c r="H73" s="153">
        <v>45454.0</v>
      </c>
      <c r="I73" s="84"/>
      <c r="J73" s="17"/>
      <c r="K73" s="133"/>
      <c r="L73" s="315" t="s">
        <v>827</v>
      </c>
      <c r="M73" s="90">
        <v>4193.21</v>
      </c>
      <c r="N73" s="320">
        <v>0.7131944444444445</v>
      </c>
      <c r="O73" s="30"/>
      <c r="P73" s="29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27.75" customHeight="1">
      <c r="A74" s="29"/>
      <c r="B74" s="29"/>
      <c r="C74" s="29"/>
      <c r="D74" s="29"/>
      <c r="E74" s="29"/>
      <c r="F74" s="30"/>
      <c r="G74" s="122">
        <v>68.0</v>
      </c>
      <c r="H74" s="153">
        <v>45454.0</v>
      </c>
      <c r="I74" s="84"/>
      <c r="J74" s="17"/>
      <c r="K74" s="133"/>
      <c r="L74" s="315" t="s">
        <v>827</v>
      </c>
      <c r="M74" s="90">
        <v>2525.0</v>
      </c>
      <c r="N74" s="320" t="s">
        <v>2689</v>
      </c>
      <c r="O74" s="30"/>
      <c r="P74" s="29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7.75" customHeight="1">
      <c r="A75" s="29"/>
      <c r="B75" s="29"/>
      <c r="C75" s="29"/>
      <c r="D75" s="29"/>
      <c r="E75" s="29"/>
      <c r="F75" s="30"/>
      <c r="G75" s="122">
        <v>69.0</v>
      </c>
      <c r="H75" s="153">
        <v>45455.0</v>
      </c>
      <c r="I75" s="84"/>
      <c r="J75" s="17"/>
      <c r="K75" s="133"/>
      <c r="L75" s="315" t="s">
        <v>827</v>
      </c>
      <c r="M75" s="90">
        <v>3030.0</v>
      </c>
      <c r="N75" s="316" t="s">
        <v>2690</v>
      </c>
      <c r="O75" s="30"/>
      <c r="P75" s="29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7.75" customHeight="1">
      <c r="A76" s="29"/>
      <c r="B76" s="29"/>
      <c r="C76" s="29"/>
      <c r="D76" s="29"/>
      <c r="E76" s="29"/>
      <c r="F76" s="30"/>
      <c r="G76" s="122">
        <v>70.0</v>
      </c>
      <c r="H76" s="153">
        <v>45455.0</v>
      </c>
      <c r="I76" s="84"/>
      <c r="J76" s="17"/>
      <c r="K76" s="133"/>
      <c r="L76" s="315" t="s">
        <v>2502</v>
      </c>
      <c r="M76" s="90">
        <v>10000.0</v>
      </c>
      <c r="N76" s="316" t="s">
        <v>958</v>
      </c>
      <c r="O76" s="30"/>
      <c r="P76" s="29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7.75" customHeight="1">
      <c r="A77" s="29"/>
      <c r="B77" s="29"/>
      <c r="C77" s="29"/>
      <c r="D77" s="29"/>
      <c r="E77" s="29"/>
      <c r="F77" s="30"/>
      <c r="G77" s="122">
        <v>71.0</v>
      </c>
      <c r="H77" s="153">
        <v>45455.0</v>
      </c>
      <c r="I77" s="68" t="s">
        <v>2636</v>
      </c>
      <c r="J77" s="69">
        <v>20000.0</v>
      </c>
      <c r="K77" s="314" t="s">
        <v>2625</v>
      </c>
      <c r="L77" s="315"/>
      <c r="M77" s="90"/>
      <c r="N77" s="320"/>
      <c r="O77" s="30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7.75" customHeight="1">
      <c r="A78" s="29"/>
      <c r="B78" s="29"/>
      <c r="C78" s="29"/>
      <c r="D78" s="29"/>
      <c r="E78" s="29"/>
      <c r="F78" s="30"/>
      <c r="G78" s="122">
        <v>72.0</v>
      </c>
      <c r="H78" s="153">
        <v>45455.0</v>
      </c>
      <c r="I78" s="84"/>
      <c r="J78" s="17"/>
      <c r="K78" s="133"/>
      <c r="L78" s="315" t="s">
        <v>1829</v>
      </c>
      <c r="M78" s="90">
        <v>10000.0</v>
      </c>
      <c r="N78" s="316" t="s">
        <v>2691</v>
      </c>
      <c r="O78" s="30"/>
      <c r="P78" s="29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7.75" customHeight="1">
      <c r="A79" s="29"/>
      <c r="B79" s="29"/>
      <c r="C79" s="29"/>
      <c r="D79" s="29"/>
      <c r="E79" s="29"/>
      <c r="F79" s="30"/>
      <c r="G79" s="122">
        <v>73.0</v>
      </c>
      <c r="H79" s="153">
        <v>45456.0</v>
      </c>
      <c r="I79" s="84"/>
      <c r="J79" s="17"/>
      <c r="K79" s="133"/>
      <c r="L79" s="315" t="s">
        <v>1829</v>
      </c>
      <c r="M79" s="90">
        <v>10000.0</v>
      </c>
      <c r="N79" s="316" t="s">
        <v>2692</v>
      </c>
      <c r="O79" s="30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7.75" customHeight="1">
      <c r="A80" s="29"/>
      <c r="B80" s="29"/>
      <c r="C80" s="29"/>
      <c r="D80" s="29"/>
      <c r="E80" s="29"/>
      <c r="F80" s="30"/>
      <c r="G80" s="122">
        <v>74.0</v>
      </c>
      <c r="H80" s="153">
        <v>45462.0</v>
      </c>
      <c r="I80" s="68" t="s">
        <v>2636</v>
      </c>
      <c r="J80" s="69">
        <v>10000.0</v>
      </c>
      <c r="K80" s="314" t="s">
        <v>2693</v>
      </c>
      <c r="L80" s="135"/>
      <c r="M80" s="19"/>
      <c r="N80" s="131"/>
      <c r="O80" s="30"/>
      <c r="P80" s="29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7.75" customHeight="1">
      <c r="A81" s="29"/>
      <c r="B81" s="29"/>
      <c r="C81" s="29"/>
      <c r="D81" s="29"/>
      <c r="E81" s="29"/>
      <c r="F81" s="30"/>
      <c r="G81" s="122">
        <v>75.0</v>
      </c>
      <c r="H81" s="153">
        <v>45462.0</v>
      </c>
      <c r="I81" s="84"/>
      <c r="J81" s="17"/>
      <c r="K81" s="133"/>
      <c r="L81" s="315" t="s">
        <v>827</v>
      </c>
      <c r="M81" s="90">
        <v>1010.0</v>
      </c>
      <c r="N81" s="316" t="s">
        <v>2694</v>
      </c>
      <c r="O81" s="30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7.75" customHeight="1">
      <c r="A82" s="29"/>
      <c r="B82" s="29"/>
      <c r="C82" s="29"/>
      <c r="D82" s="29"/>
      <c r="E82" s="29"/>
      <c r="F82" s="30"/>
      <c r="G82" s="122">
        <v>76.0</v>
      </c>
      <c r="H82" s="153">
        <v>45462.0</v>
      </c>
      <c r="I82" s="84"/>
      <c r="J82" s="17"/>
      <c r="K82" s="133"/>
      <c r="L82" s="315" t="s">
        <v>827</v>
      </c>
      <c r="M82" s="90">
        <v>2525.0</v>
      </c>
      <c r="N82" s="316" t="s">
        <v>270</v>
      </c>
      <c r="O82" s="30"/>
      <c r="P82" s="29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7.75" customHeight="1">
      <c r="A83" s="29"/>
      <c r="B83" s="29"/>
      <c r="C83" s="29"/>
      <c r="D83" s="29"/>
      <c r="E83" s="29"/>
      <c r="F83" s="30"/>
      <c r="G83" s="122">
        <v>77.0</v>
      </c>
      <c r="H83" s="153">
        <v>45464.0</v>
      </c>
      <c r="I83" s="84"/>
      <c r="J83" s="17"/>
      <c r="K83" s="133"/>
      <c r="L83" s="315" t="s">
        <v>827</v>
      </c>
      <c r="M83" s="90">
        <v>3249.98</v>
      </c>
      <c r="N83" s="316" t="s">
        <v>2593</v>
      </c>
      <c r="O83" s="30"/>
      <c r="P83" s="29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27.75" customHeight="1">
      <c r="A84" s="29"/>
      <c r="B84" s="29"/>
      <c r="C84" s="29"/>
      <c r="D84" s="29"/>
      <c r="E84" s="29"/>
      <c r="F84" s="30"/>
      <c r="G84" s="122">
        <v>78.0</v>
      </c>
      <c r="H84" s="153">
        <v>45464.0</v>
      </c>
      <c r="I84" s="84"/>
      <c r="J84" s="17"/>
      <c r="K84" s="133"/>
      <c r="L84" s="315" t="s">
        <v>827</v>
      </c>
      <c r="M84" s="90">
        <v>1010.0</v>
      </c>
      <c r="N84" s="316" t="s">
        <v>2684</v>
      </c>
      <c r="O84" s="30"/>
      <c r="P84" s="29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7.75" customHeight="1">
      <c r="A85" s="29"/>
      <c r="B85" s="29"/>
      <c r="C85" s="29"/>
      <c r="D85" s="29"/>
      <c r="E85" s="29"/>
      <c r="F85" s="30"/>
      <c r="G85" s="122">
        <v>79.0</v>
      </c>
      <c r="H85" s="153">
        <v>45464.0</v>
      </c>
      <c r="I85" s="68" t="s">
        <v>2636</v>
      </c>
      <c r="J85" s="69">
        <v>10000.0</v>
      </c>
      <c r="K85" s="314" t="s">
        <v>2695</v>
      </c>
      <c r="L85" s="135"/>
      <c r="M85" s="19"/>
      <c r="N85" s="131"/>
      <c r="O85" s="30"/>
      <c r="P85" s="29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27.75" customHeight="1">
      <c r="A86" s="29"/>
      <c r="B86" s="29"/>
      <c r="C86" s="29"/>
      <c r="D86" s="29"/>
      <c r="E86" s="29"/>
      <c r="F86" s="30"/>
      <c r="G86" s="122">
        <v>80.0</v>
      </c>
      <c r="H86" s="153">
        <v>45466.0</v>
      </c>
      <c r="I86" s="84"/>
      <c r="J86" s="17"/>
      <c r="K86" s="133"/>
      <c r="L86" s="315" t="s">
        <v>827</v>
      </c>
      <c r="M86" s="90">
        <v>1612.16</v>
      </c>
      <c r="N86" s="316" t="s">
        <v>2696</v>
      </c>
      <c r="O86" s="30"/>
      <c r="P86" s="29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7.75" customHeight="1">
      <c r="A87" s="29"/>
      <c r="B87" s="29"/>
      <c r="C87" s="29"/>
      <c r="D87" s="29"/>
      <c r="E87" s="29"/>
      <c r="F87" s="30"/>
      <c r="G87" s="122">
        <v>81.0</v>
      </c>
      <c r="H87" s="153">
        <v>45466.0</v>
      </c>
      <c r="I87" s="84"/>
      <c r="J87" s="17"/>
      <c r="K87" s="133"/>
      <c r="L87" s="315" t="s">
        <v>827</v>
      </c>
      <c r="M87" s="90">
        <v>5050.0</v>
      </c>
      <c r="N87" s="316" t="s">
        <v>2697</v>
      </c>
      <c r="O87" s="30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7.75" customHeight="1">
      <c r="A88" s="29"/>
      <c r="B88" s="29"/>
      <c r="C88" s="29"/>
      <c r="D88" s="29"/>
      <c r="E88" s="29"/>
      <c r="F88" s="30"/>
      <c r="G88" s="122">
        <v>82.0</v>
      </c>
      <c r="H88" s="153">
        <v>45467.0</v>
      </c>
      <c r="I88" s="68" t="s">
        <v>2636</v>
      </c>
      <c r="J88" s="69">
        <v>20000.0</v>
      </c>
      <c r="K88" s="133"/>
      <c r="L88" s="135"/>
      <c r="M88" s="19"/>
      <c r="N88" s="131"/>
      <c r="O88" s="30"/>
      <c r="P88" s="29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27.75" customHeight="1">
      <c r="A89" s="29"/>
      <c r="B89" s="29"/>
      <c r="C89" s="29"/>
      <c r="D89" s="29"/>
      <c r="E89" s="29"/>
      <c r="F89" s="30"/>
      <c r="G89" s="122">
        <v>83.0</v>
      </c>
      <c r="H89" s="153">
        <v>45469.0</v>
      </c>
      <c r="I89" s="84"/>
      <c r="J89" s="17"/>
      <c r="K89" s="133"/>
      <c r="L89" s="315" t="s">
        <v>1829</v>
      </c>
      <c r="M89" s="90">
        <v>25000.64</v>
      </c>
      <c r="N89" s="320">
        <v>0.03333333333333333</v>
      </c>
      <c r="O89" s="30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75" customHeight="1">
      <c r="A90" s="29"/>
      <c r="B90" s="29"/>
      <c r="C90" s="29"/>
      <c r="D90" s="29"/>
      <c r="E90" s="29"/>
      <c r="F90" s="30"/>
      <c r="G90" s="122">
        <v>84.0</v>
      </c>
      <c r="H90" s="153">
        <v>45469.0</v>
      </c>
      <c r="I90" s="68" t="s">
        <v>2636</v>
      </c>
      <c r="J90" s="69">
        <v>20000.0</v>
      </c>
      <c r="K90" s="133"/>
      <c r="L90" s="135"/>
      <c r="M90" s="19"/>
      <c r="N90" s="131"/>
      <c r="O90" s="30"/>
      <c r="P90" s="29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27.75" customHeight="1">
      <c r="A91" s="29"/>
      <c r="B91" s="29"/>
      <c r="C91" s="29"/>
      <c r="D91" s="29"/>
      <c r="E91" s="29"/>
      <c r="F91" s="30"/>
      <c r="G91" s="122">
        <v>85.0</v>
      </c>
      <c r="H91" s="153">
        <v>45470.0</v>
      </c>
      <c r="I91" s="84"/>
      <c r="J91" s="17"/>
      <c r="K91" s="133"/>
      <c r="L91" s="315" t="s">
        <v>20</v>
      </c>
      <c r="M91" s="90">
        <v>2497.0</v>
      </c>
      <c r="N91" s="320" t="s">
        <v>2698</v>
      </c>
      <c r="O91" s="30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7.75" customHeight="1">
      <c r="A92" s="29"/>
      <c r="B92" s="29"/>
      <c r="C92" s="29"/>
      <c r="D92" s="29"/>
      <c r="E92" s="29"/>
      <c r="F92" s="30"/>
      <c r="G92" s="122">
        <v>86.0</v>
      </c>
      <c r="H92" s="130"/>
      <c r="I92" s="84"/>
      <c r="J92" s="17"/>
      <c r="K92" s="133"/>
      <c r="L92" s="135"/>
      <c r="M92" s="19"/>
      <c r="N92" s="131"/>
      <c r="O92" s="30"/>
      <c r="P92" s="29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7.75" customHeight="1">
      <c r="A93" s="29"/>
      <c r="B93" s="29"/>
      <c r="C93" s="29"/>
      <c r="D93" s="29"/>
      <c r="E93" s="29"/>
      <c r="F93" s="30"/>
      <c r="G93" s="122">
        <v>87.0</v>
      </c>
      <c r="H93" s="130"/>
      <c r="I93" s="84"/>
      <c r="J93" s="17"/>
      <c r="K93" s="133"/>
      <c r="L93" s="135"/>
      <c r="M93" s="19"/>
      <c r="N93" s="131"/>
      <c r="O93" s="30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7.75" customHeight="1">
      <c r="A94" s="29"/>
      <c r="B94" s="29"/>
      <c r="C94" s="29"/>
      <c r="D94" s="29"/>
      <c r="E94" s="29"/>
      <c r="F94" s="30"/>
      <c r="G94" s="122">
        <v>88.0</v>
      </c>
      <c r="H94" s="130"/>
      <c r="I94" s="84"/>
      <c r="J94" s="17"/>
      <c r="K94" s="133"/>
      <c r="L94" s="135"/>
      <c r="M94" s="19"/>
      <c r="N94" s="131"/>
      <c r="O94" s="30"/>
      <c r="P94" s="29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7.75" customHeight="1">
      <c r="A95" s="29"/>
      <c r="B95" s="29"/>
      <c r="C95" s="29"/>
      <c r="D95" s="29"/>
      <c r="E95" s="29"/>
      <c r="F95" s="30"/>
      <c r="G95" s="122">
        <v>89.0</v>
      </c>
      <c r="H95" s="130"/>
      <c r="I95" s="84"/>
      <c r="J95" s="17"/>
      <c r="K95" s="133"/>
      <c r="L95" s="135"/>
      <c r="M95" s="19"/>
      <c r="N95" s="131"/>
      <c r="O95" s="30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7.75" customHeight="1">
      <c r="A96" s="29"/>
      <c r="B96" s="29"/>
      <c r="C96" s="29"/>
      <c r="D96" s="29"/>
      <c r="E96" s="29"/>
      <c r="F96" s="30"/>
      <c r="G96" s="122">
        <v>90.0</v>
      </c>
      <c r="H96" s="130"/>
      <c r="I96" s="84"/>
      <c r="J96" s="17"/>
      <c r="K96" s="133"/>
      <c r="L96" s="135"/>
      <c r="M96" s="19"/>
      <c r="N96" s="131"/>
      <c r="O96" s="30"/>
      <c r="P96" s="29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7.75" customHeight="1">
      <c r="A97" s="29"/>
      <c r="B97" s="29"/>
      <c r="C97" s="29"/>
      <c r="D97" s="29"/>
      <c r="E97" s="29"/>
      <c r="F97" s="30"/>
      <c r="G97" s="122">
        <v>91.0</v>
      </c>
      <c r="H97" s="130"/>
      <c r="I97" s="84"/>
      <c r="J97" s="17"/>
      <c r="K97" s="133"/>
      <c r="L97" s="135"/>
      <c r="M97" s="19"/>
      <c r="N97" s="131"/>
      <c r="O97" s="30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7.75" customHeight="1">
      <c r="A98" s="29"/>
      <c r="B98" s="29"/>
      <c r="C98" s="29"/>
      <c r="D98" s="29"/>
      <c r="E98" s="29"/>
      <c r="F98" s="30"/>
      <c r="G98" s="122">
        <v>92.0</v>
      </c>
      <c r="H98" s="130"/>
      <c r="I98" s="84"/>
      <c r="J98" s="17"/>
      <c r="K98" s="133"/>
      <c r="L98" s="135"/>
      <c r="M98" s="19"/>
      <c r="N98" s="131"/>
      <c r="O98" s="30"/>
      <c r="P98" s="29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7.75" customHeight="1">
      <c r="A99" s="29"/>
      <c r="B99" s="29"/>
      <c r="C99" s="29"/>
      <c r="D99" s="29"/>
      <c r="E99" s="29"/>
      <c r="F99" s="30"/>
      <c r="G99" s="122">
        <v>93.0</v>
      </c>
      <c r="H99" s="130"/>
      <c r="I99" s="84"/>
      <c r="J99" s="17"/>
      <c r="K99" s="133"/>
      <c r="L99" s="135"/>
      <c r="M99" s="19"/>
      <c r="N99" s="131"/>
      <c r="O99" s="30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7.75" customHeight="1">
      <c r="A100" s="29"/>
      <c r="B100" s="29"/>
      <c r="C100" s="29"/>
      <c r="D100" s="29"/>
      <c r="E100" s="29"/>
      <c r="F100" s="30"/>
      <c r="G100" s="122">
        <v>94.0</v>
      </c>
      <c r="H100" s="130"/>
      <c r="I100" s="84"/>
      <c r="J100" s="17"/>
      <c r="K100" s="133"/>
      <c r="L100" s="135"/>
      <c r="M100" s="19"/>
      <c r="N100" s="131"/>
      <c r="O100" s="30"/>
      <c r="P100" s="29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7.75" customHeight="1">
      <c r="A101" s="29"/>
      <c r="B101" s="29"/>
      <c r="C101" s="29"/>
      <c r="D101" s="29"/>
      <c r="E101" s="29"/>
      <c r="F101" s="30"/>
      <c r="G101" s="122">
        <v>95.0</v>
      </c>
      <c r="H101" s="130"/>
      <c r="I101" s="84"/>
      <c r="J101" s="17"/>
      <c r="K101" s="133"/>
      <c r="L101" s="135"/>
      <c r="M101" s="19"/>
      <c r="N101" s="131"/>
      <c r="O101" s="30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7.75" customHeight="1">
      <c r="A102" s="29"/>
      <c r="B102" s="29"/>
      <c r="C102" s="29"/>
      <c r="D102" s="29"/>
      <c r="E102" s="29"/>
      <c r="F102" s="30"/>
      <c r="G102" s="122">
        <v>96.0</v>
      </c>
      <c r="H102" s="130"/>
      <c r="I102" s="84"/>
      <c r="J102" s="17"/>
      <c r="K102" s="133"/>
      <c r="L102" s="135"/>
      <c r="M102" s="19"/>
      <c r="N102" s="131"/>
      <c r="O102" s="30"/>
      <c r="P102" s="29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7.75" customHeight="1">
      <c r="A103" s="29"/>
      <c r="B103" s="29"/>
      <c r="C103" s="29"/>
      <c r="D103" s="29"/>
      <c r="E103" s="29"/>
      <c r="F103" s="30"/>
      <c r="G103" s="122">
        <v>97.0</v>
      </c>
      <c r="H103" s="130"/>
      <c r="I103" s="84"/>
      <c r="J103" s="17"/>
      <c r="K103" s="133"/>
      <c r="L103" s="135"/>
      <c r="M103" s="19"/>
      <c r="N103" s="131"/>
      <c r="O103" s="30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7.75" customHeight="1">
      <c r="A104" s="29"/>
      <c r="B104" s="29"/>
      <c r="C104" s="29"/>
      <c r="D104" s="29"/>
      <c r="E104" s="29"/>
      <c r="F104" s="30"/>
      <c r="G104" s="122">
        <v>98.0</v>
      </c>
      <c r="H104" s="130"/>
      <c r="I104" s="84"/>
      <c r="J104" s="17"/>
      <c r="K104" s="133"/>
      <c r="L104" s="135"/>
      <c r="M104" s="19"/>
      <c r="N104" s="131"/>
      <c r="O104" s="30"/>
      <c r="P104" s="29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7.75" customHeight="1">
      <c r="A105" s="29"/>
      <c r="B105" s="29"/>
      <c r="C105" s="29"/>
      <c r="D105" s="29"/>
      <c r="E105" s="29"/>
      <c r="F105" s="30"/>
      <c r="G105" s="122">
        <v>99.0</v>
      </c>
      <c r="H105" s="130"/>
      <c r="I105" s="84"/>
      <c r="J105" s="17"/>
      <c r="K105" s="133"/>
      <c r="L105" s="135"/>
      <c r="M105" s="19"/>
      <c r="N105" s="131"/>
      <c r="O105" s="30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7.75" customHeight="1">
      <c r="A106" s="29"/>
      <c r="B106" s="29"/>
      <c r="C106" s="29"/>
      <c r="D106" s="29"/>
      <c r="E106" s="29"/>
      <c r="F106" s="30"/>
      <c r="G106" s="122">
        <v>100.0</v>
      </c>
      <c r="H106" s="130"/>
      <c r="I106" s="84"/>
      <c r="J106" s="17"/>
      <c r="K106" s="133"/>
      <c r="L106" s="135"/>
      <c r="M106" s="19"/>
      <c r="N106" s="131"/>
      <c r="O106" s="30"/>
      <c r="P106" s="29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7.75" customHeight="1">
      <c r="A107" s="29"/>
      <c r="B107" s="29"/>
      <c r="C107" s="29"/>
      <c r="D107" s="29"/>
      <c r="E107" s="29"/>
      <c r="F107" s="30"/>
      <c r="G107" s="66"/>
      <c r="H107" s="130"/>
      <c r="I107" s="84"/>
      <c r="J107" s="17"/>
      <c r="K107" s="133"/>
      <c r="L107" s="135"/>
      <c r="M107" s="19"/>
      <c r="N107" s="131"/>
      <c r="O107" s="30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7.75" customHeight="1">
      <c r="A108" s="29"/>
      <c r="B108" s="29"/>
      <c r="C108" s="29"/>
      <c r="D108" s="29"/>
      <c r="E108" s="29"/>
      <c r="F108" s="30"/>
      <c r="G108" s="66"/>
      <c r="H108" s="130"/>
      <c r="I108" s="84"/>
      <c r="J108" s="17"/>
      <c r="K108" s="133"/>
      <c r="L108" s="135"/>
      <c r="M108" s="19"/>
      <c r="N108" s="131"/>
      <c r="O108" s="30"/>
      <c r="P108" s="29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7.75" customHeight="1">
      <c r="A109" s="29"/>
      <c r="B109" s="29"/>
      <c r="C109" s="29"/>
      <c r="D109" s="29"/>
      <c r="E109" s="29"/>
      <c r="F109" s="30"/>
      <c r="G109" s="66"/>
      <c r="H109" s="130"/>
      <c r="I109" s="84"/>
      <c r="J109" s="17"/>
      <c r="K109" s="133"/>
      <c r="L109" s="135"/>
      <c r="M109" s="19"/>
      <c r="N109" s="131"/>
      <c r="O109" s="30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7.75" customHeight="1">
      <c r="A110" s="29"/>
      <c r="B110" s="29"/>
      <c r="C110" s="29"/>
      <c r="D110" s="29"/>
      <c r="E110" s="29"/>
      <c r="F110" s="30"/>
      <c r="G110" s="66"/>
      <c r="H110" s="130"/>
      <c r="I110" s="84"/>
      <c r="J110" s="17"/>
      <c r="K110" s="133"/>
      <c r="L110" s="135"/>
      <c r="M110" s="19"/>
      <c r="N110" s="131"/>
      <c r="O110" s="30"/>
      <c r="P110" s="29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7.75" customHeight="1">
      <c r="A111" s="29"/>
      <c r="B111" s="29"/>
      <c r="C111" s="29"/>
      <c r="D111" s="29"/>
      <c r="E111" s="29"/>
      <c r="F111" s="30"/>
      <c r="G111" s="66"/>
      <c r="H111" s="130"/>
      <c r="I111" s="84"/>
      <c r="J111" s="17"/>
      <c r="K111" s="133"/>
      <c r="L111" s="135"/>
      <c r="M111" s="19"/>
      <c r="N111" s="131"/>
      <c r="O111" s="30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7.75" customHeight="1">
      <c r="A112" s="29"/>
      <c r="B112" s="29"/>
      <c r="C112" s="29"/>
      <c r="D112" s="29"/>
      <c r="E112" s="29"/>
      <c r="F112" s="30"/>
      <c r="G112" s="66"/>
      <c r="H112" s="130"/>
      <c r="I112" s="84"/>
      <c r="J112" s="17"/>
      <c r="K112" s="133"/>
      <c r="L112" s="135"/>
      <c r="M112" s="19"/>
      <c r="N112" s="131"/>
      <c r="O112" s="30"/>
      <c r="P112" s="29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7.75" customHeight="1">
      <c r="A113" s="29"/>
      <c r="B113" s="29"/>
      <c r="C113" s="29"/>
      <c r="D113" s="29"/>
      <c r="E113" s="29"/>
      <c r="F113" s="30"/>
      <c r="G113" s="66"/>
      <c r="H113" s="130"/>
      <c r="I113" s="84"/>
      <c r="J113" s="17"/>
      <c r="K113" s="133"/>
      <c r="L113" s="135"/>
      <c r="M113" s="19"/>
      <c r="N113" s="131"/>
      <c r="O113" s="30"/>
      <c r="P113" s="29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27.75" customHeight="1">
      <c r="A114" s="29"/>
      <c r="B114" s="29"/>
      <c r="C114" s="29"/>
      <c r="D114" s="29"/>
      <c r="E114" s="29"/>
      <c r="F114" s="30"/>
      <c r="G114" s="66"/>
      <c r="H114" s="130"/>
      <c r="I114" s="84"/>
      <c r="J114" s="17"/>
      <c r="K114" s="133"/>
      <c r="L114" s="135"/>
      <c r="M114" s="19"/>
      <c r="N114" s="131"/>
      <c r="O114" s="30"/>
      <c r="P114" s="29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7.75" customHeight="1">
      <c r="A115" s="29"/>
      <c r="B115" s="29"/>
      <c r="C115" s="29"/>
      <c r="D115" s="29"/>
      <c r="E115" s="29"/>
      <c r="F115" s="30"/>
      <c r="G115" s="66"/>
      <c r="H115" s="130"/>
      <c r="I115" s="84"/>
      <c r="J115" s="17"/>
      <c r="K115" s="133"/>
      <c r="L115" s="135"/>
      <c r="M115" s="19"/>
      <c r="N115" s="131"/>
      <c r="O115" s="30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7.75" customHeight="1">
      <c r="A116" s="29"/>
      <c r="B116" s="29"/>
      <c r="C116" s="29"/>
      <c r="D116" s="29"/>
      <c r="E116" s="29"/>
      <c r="F116" s="30"/>
      <c r="G116" s="66"/>
      <c r="H116" s="130"/>
      <c r="I116" s="84"/>
      <c r="J116" s="17"/>
      <c r="K116" s="133"/>
      <c r="L116" s="135"/>
      <c r="M116" s="19"/>
      <c r="N116" s="131"/>
      <c r="O116" s="30"/>
      <c r="P116" s="29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7.75" customHeight="1">
      <c r="A117" s="29"/>
      <c r="B117" s="29"/>
      <c r="C117" s="29"/>
      <c r="D117" s="29"/>
      <c r="E117" s="29"/>
      <c r="F117" s="30"/>
      <c r="G117" s="66"/>
      <c r="H117" s="130"/>
      <c r="I117" s="84"/>
      <c r="J117" s="17"/>
      <c r="K117" s="133"/>
      <c r="L117" s="135"/>
      <c r="M117" s="19"/>
      <c r="N117" s="131"/>
      <c r="O117" s="30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75" customHeight="1">
      <c r="A118" s="29"/>
      <c r="B118" s="29"/>
      <c r="C118" s="29"/>
      <c r="D118" s="29"/>
      <c r="E118" s="29"/>
      <c r="F118" s="30"/>
      <c r="G118" s="66"/>
      <c r="H118" s="130"/>
      <c r="I118" s="84"/>
      <c r="J118" s="17"/>
      <c r="K118" s="133"/>
      <c r="L118" s="135"/>
      <c r="M118" s="19"/>
      <c r="N118" s="131"/>
      <c r="O118" s="30"/>
      <c r="P118" s="29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7.75" customHeight="1">
      <c r="A119" s="29"/>
      <c r="B119" s="29"/>
      <c r="C119" s="29"/>
      <c r="D119" s="29"/>
      <c r="E119" s="29"/>
      <c r="F119" s="30"/>
      <c r="G119" s="66"/>
      <c r="H119" s="130"/>
      <c r="I119" s="84"/>
      <c r="J119" s="17"/>
      <c r="K119" s="133"/>
      <c r="L119" s="135"/>
      <c r="M119" s="19"/>
      <c r="N119" s="131"/>
      <c r="O119" s="30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7.75" customHeight="1">
      <c r="A120" s="29"/>
      <c r="B120" s="29"/>
      <c r="C120" s="29"/>
      <c r="D120" s="29"/>
      <c r="E120" s="29"/>
      <c r="F120" s="30"/>
      <c r="G120" s="66"/>
      <c r="H120" s="130"/>
      <c r="I120" s="84"/>
      <c r="J120" s="17"/>
      <c r="K120" s="133"/>
      <c r="L120" s="135"/>
      <c r="M120" s="19"/>
      <c r="N120" s="131"/>
      <c r="O120" s="30"/>
      <c r="P120" s="29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7.75" customHeight="1">
      <c r="A121" s="29"/>
      <c r="B121" s="29"/>
      <c r="C121" s="29"/>
      <c r="D121" s="29"/>
      <c r="E121" s="29"/>
      <c r="F121" s="30"/>
      <c r="G121" s="66"/>
      <c r="H121" s="130"/>
      <c r="I121" s="84"/>
      <c r="J121" s="17"/>
      <c r="K121" s="133"/>
      <c r="L121" s="135"/>
      <c r="M121" s="19"/>
      <c r="N121" s="131"/>
      <c r="O121" s="30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7.75" customHeight="1">
      <c r="A122" s="29"/>
      <c r="B122" s="29"/>
      <c r="C122" s="29"/>
      <c r="D122" s="29"/>
      <c r="E122" s="29"/>
      <c r="F122" s="30"/>
      <c r="G122" s="66"/>
      <c r="H122" s="130"/>
      <c r="I122" s="84"/>
      <c r="J122" s="17"/>
      <c r="K122" s="133"/>
      <c r="L122" s="135"/>
      <c r="M122" s="19"/>
      <c r="N122" s="131"/>
      <c r="O122" s="30"/>
      <c r="P122" s="29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7.75" customHeight="1">
      <c r="A123" s="29"/>
      <c r="B123" s="29"/>
      <c r="C123" s="29"/>
      <c r="D123" s="29"/>
      <c r="E123" s="29"/>
      <c r="F123" s="30"/>
      <c r="G123" s="66"/>
      <c r="H123" s="130"/>
      <c r="I123" s="84"/>
      <c r="J123" s="17"/>
      <c r="K123" s="133"/>
      <c r="L123" s="135"/>
      <c r="M123" s="19"/>
      <c r="N123" s="131"/>
      <c r="O123" s="30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7.75" customHeight="1">
      <c r="A124" s="29"/>
      <c r="B124" s="29"/>
      <c r="C124" s="29"/>
      <c r="D124" s="29"/>
      <c r="E124" s="29"/>
      <c r="F124" s="30"/>
      <c r="G124" s="66"/>
      <c r="H124" s="130"/>
      <c r="I124" s="84"/>
      <c r="J124" s="17"/>
      <c r="K124" s="133"/>
      <c r="L124" s="135"/>
      <c r="M124" s="19"/>
      <c r="N124" s="131"/>
      <c r="O124" s="30"/>
      <c r="P124" s="29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75" customHeight="1">
      <c r="A125" s="29"/>
      <c r="B125" s="29"/>
      <c r="C125" s="29"/>
      <c r="D125" s="29"/>
      <c r="E125" s="29"/>
      <c r="F125" s="30"/>
      <c r="G125" s="66"/>
      <c r="H125" s="130"/>
      <c r="I125" s="84"/>
      <c r="J125" s="17"/>
      <c r="K125" s="133"/>
      <c r="L125" s="135"/>
      <c r="M125" s="19"/>
      <c r="N125" s="131"/>
      <c r="O125" s="30"/>
      <c r="P125" s="29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7.75" customHeight="1">
      <c r="A126" s="29"/>
      <c r="B126" s="29"/>
      <c r="C126" s="29"/>
      <c r="D126" s="29"/>
      <c r="E126" s="29"/>
      <c r="F126" s="30"/>
      <c r="G126" s="66"/>
      <c r="H126" s="130"/>
      <c r="I126" s="84"/>
      <c r="J126" s="17"/>
      <c r="K126" s="133"/>
      <c r="L126" s="135"/>
      <c r="M126" s="19"/>
      <c r="N126" s="131"/>
      <c r="O126" s="30"/>
      <c r="P126" s="29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7.75" customHeight="1">
      <c r="A127" s="29"/>
      <c r="B127" s="29"/>
      <c r="C127" s="29"/>
      <c r="D127" s="29"/>
      <c r="E127" s="29"/>
      <c r="F127" s="30"/>
      <c r="G127" s="66"/>
      <c r="H127" s="130"/>
      <c r="I127" s="84"/>
      <c r="J127" s="17"/>
      <c r="K127" s="133"/>
      <c r="L127" s="135"/>
      <c r="M127" s="19"/>
      <c r="N127" s="131"/>
      <c r="O127" s="30"/>
      <c r="P127" s="29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7.75" customHeight="1">
      <c r="A128" s="29"/>
      <c r="B128" s="29"/>
      <c r="C128" s="29"/>
      <c r="D128" s="29"/>
      <c r="E128" s="29"/>
      <c r="F128" s="30"/>
      <c r="G128" s="66"/>
      <c r="H128" s="130"/>
      <c r="I128" s="84"/>
      <c r="J128" s="17"/>
      <c r="K128" s="133"/>
      <c r="L128" s="135"/>
      <c r="M128" s="19"/>
      <c r="N128" s="131"/>
      <c r="O128" s="30"/>
      <c r="P128" s="29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7.75" customHeight="1">
      <c r="A129" s="29"/>
      <c r="B129" s="29"/>
      <c r="C129" s="29"/>
      <c r="D129" s="29"/>
      <c r="E129" s="29"/>
      <c r="F129" s="30"/>
      <c r="G129" s="66"/>
      <c r="H129" s="130"/>
      <c r="I129" s="84"/>
      <c r="J129" s="17"/>
      <c r="K129" s="133"/>
      <c r="L129" s="135"/>
      <c r="M129" s="19"/>
      <c r="N129" s="131"/>
      <c r="O129" s="30"/>
      <c r="P129" s="29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7.75" customHeight="1">
      <c r="A130" s="29"/>
      <c r="B130" s="29"/>
      <c r="C130" s="29"/>
      <c r="D130" s="29"/>
      <c r="E130" s="29"/>
      <c r="F130" s="30"/>
      <c r="G130" s="66"/>
      <c r="H130" s="130"/>
      <c r="I130" s="84"/>
      <c r="J130" s="17"/>
      <c r="K130" s="133"/>
      <c r="L130" s="135"/>
      <c r="M130" s="19"/>
      <c r="N130" s="131"/>
      <c r="O130" s="30"/>
      <c r="P130" s="29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7.75" customHeight="1">
      <c r="A131" s="29"/>
      <c r="B131" s="29"/>
      <c r="C131" s="29"/>
      <c r="D131" s="29"/>
      <c r="E131" s="29"/>
      <c r="F131" s="30"/>
      <c r="G131" s="66"/>
      <c r="H131" s="130"/>
      <c r="I131" s="84"/>
      <c r="J131" s="17"/>
      <c r="K131" s="133"/>
      <c r="L131" s="135"/>
      <c r="M131" s="19"/>
      <c r="N131" s="131"/>
      <c r="O131" s="30"/>
      <c r="P131" s="29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75" customHeight="1">
      <c r="A132" s="29"/>
      <c r="B132" s="29"/>
      <c r="C132" s="29"/>
      <c r="D132" s="29"/>
      <c r="E132" s="29"/>
      <c r="F132" s="30"/>
      <c r="G132" s="66"/>
      <c r="H132" s="130"/>
      <c r="I132" s="84"/>
      <c r="J132" s="17"/>
      <c r="K132" s="133"/>
      <c r="L132" s="135"/>
      <c r="M132" s="19"/>
      <c r="N132" s="131"/>
      <c r="O132" s="30"/>
      <c r="P132" s="29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7.75" customHeight="1">
      <c r="A133" s="29"/>
      <c r="B133" s="29"/>
      <c r="C133" s="29"/>
      <c r="D133" s="29"/>
      <c r="E133" s="29"/>
      <c r="F133" s="30"/>
      <c r="G133" s="66"/>
      <c r="H133" s="130"/>
      <c r="I133" s="84"/>
      <c r="J133" s="17"/>
      <c r="K133" s="133"/>
      <c r="L133" s="135"/>
      <c r="M133" s="19"/>
      <c r="N133" s="131"/>
      <c r="O133" s="30"/>
      <c r="P133" s="29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7.75" customHeight="1">
      <c r="A134" s="29"/>
      <c r="B134" s="29"/>
      <c r="C134" s="29"/>
      <c r="D134" s="29"/>
      <c r="E134" s="29"/>
      <c r="F134" s="30"/>
      <c r="G134" s="66"/>
      <c r="H134" s="130"/>
      <c r="I134" s="84"/>
      <c r="J134" s="17"/>
      <c r="K134" s="133"/>
      <c r="L134" s="135"/>
      <c r="M134" s="19"/>
      <c r="N134" s="131"/>
      <c r="O134" s="30"/>
      <c r="P134" s="29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7.75" customHeight="1">
      <c r="A135" s="29"/>
      <c r="B135" s="29"/>
      <c r="C135" s="29"/>
      <c r="D135" s="29"/>
      <c r="E135" s="29"/>
      <c r="F135" s="30"/>
      <c r="G135" s="66"/>
      <c r="H135" s="130"/>
      <c r="I135" s="84"/>
      <c r="J135" s="17"/>
      <c r="K135" s="133"/>
      <c r="L135" s="135"/>
      <c r="M135" s="19"/>
      <c r="N135" s="131"/>
      <c r="O135" s="30"/>
      <c r="P135" s="29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7.75" customHeight="1">
      <c r="A136" s="29"/>
      <c r="B136" s="29"/>
      <c r="C136" s="29"/>
      <c r="D136" s="29"/>
      <c r="E136" s="29"/>
      <c r="F136" s="30"/>
      <c r="G136" s="66"/>
      <c r="H136" s="130"/>
      <c r="I136" s="84"/>
      <c r="J136" s="17"/>
      <c r="K136" s="133"/>
      <c r="L136" s="135"/>
      <c r="M136" s="19"/>
      <c r="N136" s="131"/>
      <c r="O136" s="30"/>
      <c r="P136" s="29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7.75" customHeight="1">
      <c r="A137" s="29"/>
      <c r="B137" s="29"/>
      <c r="C137" s="29"/>
      <c r="D137" s="29"/>
      <c r="E137" s="29"/>
      <c r="F137" s="30"/>
      <c r="G137" s="66"/>
      <c r="H137" s="130"/>
      <c r="I137" s="84"/>
      <c r="J137" s="17"/>
      <c r="K137" s="133"/>
      <c r="L137" s="135"/>
      <c r="M137" s="19"/>
      <c r="N137" s="131"/>
      <c r="O137" s="30"/>
      <c r="P137" s="29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7.75" customHeight="1">
      <c r="A138" s="29"/>
      <c r="B138" s="29"/>
      <c r="C138" s="29"/>
      <c r="D138" s="29"/>
      <c r="E138" s="29"/>
      <c r="F138" s="30"/>
      <c r="G138" s="66"/>
      <c r="H138" s="130"/>
      <c r="I138" s="84"/>
      <c r="J138" s="17"/>
      <c r="K138" s="133"/>
      <c r="L138" s="135"/>
      <c r="M138" s="19"/>
      <c r="N138" s="131"/>
      <c r="O138" s="30"/>
      <c r="P138" s="29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7.75" customHeight="1">
      <c r="A139" s="29"/>
      <c r="B139" s="29"/>
      <c r="C139" s="29"/>
      <c r="D139" s="29"/>
      <c r="E139" s="29"/>
      <c r="F139" s="30"/>
      <c r="G139" s="66"/>
      <c r="H139" s="130"/>
      <c r="I139" s="84"/>
      <c r="J139" s="17"/>
      <c r="K139" s="133"/>
      <c r="L139" s="135"/>
      <c r="M139" s="19"/>
      <c r="N139" s="131"/>
      <c r="O139" s="30"/>
      <c r="P139" s="29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7.75" customHeight="1">
      <c r="A140" s="29"/>
      <c r="B140" s="29"/>
      <c r="C140" s="29"/>
      <c r="D140" s="29"/>
      <c r="E140" s="29"/>
      <c r="F140" s="30"/>
      <c r="G140" s="66"/>
      <c r="H140" s="130"/>
      <c r="I140" s="84"/>
      <c r="J140" s="17"/>
      <c r="K140" s="133"/>
      <c r="L140" s="135"/>
      <c r="M140" s="19"/>
      <c r="N140" s="131"/>
      <c r="O140" s="30"/>
      <c r="P140" s="29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7.75" customHeight="1">
      <c r="A141" s="29"/>
      <c r="B141" s="29"/>
      <c r="C141" s="29"/>
      <c r="D141" s="29"/>
      <c r="E141" s="29"/>
      <c r="F141" s="30"/>
      <c r="G141" s="66"/>
      <c r="H141" s="130"/>
      <c r="I141" s="84"/>
      <c r="J141" s="17"/>
      <c r="K141" s="133"/>
      <c r="L141" s="135"/>
      <c r="M141" s="19"/>
      <c r="N141" s="131"/>
      <c r="O141" s="30"/>
      <c r="P141" s="29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7.75" customHeight="1">
      <c r="A142" s="29"/>
      <c r="B142" s="29"/>
      <c r="C142" s="29"/>
      <c r="D142" s="29"/>
      <c r="E142" s="29"/>
      <c r="F142" s="30"/>
      <c r="G142" s="66"/>
      <c r="H142" s="130"/>
      <c r="I142" s="84"/>
      <c r="J142" s="17"/>
      <c r="K142" s="133"/>
      <c r="L142" s="135"/>
      <c r="M142" s="19"/>
      <c r="N142" s="131"/>
      <c r="O142" s="30"/>
      <c r="P142" s="29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7.75" customHeight="1">
      <c r="A143" s="29"/>
      <c r="B143" s="29"/>
      <c r="C143" s="29"/>
      <c r="D143" s="29"/>
      <c r="E143" s="29"/>
      <c r="F143" s="30"/>
      <c r="G143" s="66"/>
      <c r="H143" s="130"/>
      <c r="I143" s="84"/>
      <c r="J143" s="17"/>
      <c r="K143" s="133"/>
      <c r="L143" s="135"/>
      <c r="M143" s="19"/>
      <c r="N143" s="131"/>
      <c r="O143" s="30"/>
      <c r="P143" s="29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7.75" customHeight="1">
      <c r="A144" s="29"/>
      <c r="B144" s="29"/>
      <c r="C144" s="29"/>
      <c r="D144" s="29"/>
      <c r="E144" s="29"/>
      <c r="F144" s="30"/>
      <c r="G144" s="66"/>
      <c r="H144" s="130"/>
      <c r="I144" s="84"/>
      <c r="J144" s="17"/>
      <c r="K144" s="133"/>
      <c r="L144" s="135"/>
      <c r="M144" s="19"/>
      <c r="N144" s="131"/>
      <c r="O144" s="30"/>
      <c r="P144" s="29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7.75" customHeight="1">
      <c r="A145" s="29"/>
      <c r="B145" s="29"/>
      <c r="C145" s="29"/>
      <c r="D145" s="29"/>
      <c r="E145" s="29"/>
      <c r="F145" s="30"/>
      <c r="G145" s="66"/>
      <c r="H145" s="130"/>
      <c r="I145" s="84"/>
      <c r="J145" s="17"/>
      <c r="K145" s="133"/>
      <c r="L145" s="135"/>
      <c r="M145" s="19"/>
      <c r="N145" s="131"/>
      <c r="O145" s="30"/>
      <c r="P145" s="29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75" customHeight="1">
      <c r="A146" s="29"/>
      <c r="B146" s="29"/>
      <c r="C146" s="29"/>
      <c r="D146" s="29"/>
      <c r="E146" s="29"/>
      <c r="F146" s="30"/>
      <c r="G146" s="66"/>
      <c r="H146" s="130"/>
      <c r="I146" s="84"/>
      <c r="J146" s="17"/>
      <c r="K146" s="133"/>
      <c r="L146" s="135"/>
      <c r="M146" s="19"/>
      <c r="N146" s="131"/>
      <c r="O146" s="30"/>
      <c r="P146" s="29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7.75" customHeight="1">
      <c r="A147" s="29"/>
      <c r="B147" s="29"/>
      <c r="C147" s="29"/>
      <c r="D147" s="29"/>
      <c r="E147" s="29"/>
      <c r="F147" s="30"/>
      <c r="G147" s="66"/>
      <c r="H147" s="130"/>
      <c r="I147" s="84"/>
      <c r="J147" s="17"/>
      <c r="K147" s="133"/>
      <c r="L147" s="135"/>
      <c r="M147" s="19"/>
      <c r="N147" s="131"/>
      <c r="O147" s="30"/>
      <c r="P147" s="29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7.75" customHeight="1">
      <c r="A148" s="29"/>
      <c r="B148" s="29"/>
      <c r="C148" s="29"/>
      <c r="D148" s="29"/>
      <c r="E148" s="29"/>
      <c r="F148" s="30"/>
      <c r="G148" s="66"/>
      <c r="H148" s="130"/>
      <c r="I148" s="84"/>
      <c r="J148" s="17"/>
      <c r="K148" s="133"/>
      <c r="L148" s="135"/>
      <c r="M148" s="19"/>
      <c r="N148" s="131"/>
      <c r="O148" s="30"/>
      <c r="P148" s="29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7.75" customHeight="1">
      <c r="A149" s="29"/>
      <c r="B149" s="29"/>
      <c r="C149" s="29"/>
      <c r="D149" s="29"/>
      <c r="E149" s="29"/>
      <c r="F149" s="30"/>
      <c r="G149" s="66"/>
      <c r="H149" s="130"/>
      <c r="I149" s="84"/>
      <c r="J149" s="17"/>
      <c r="K149" s="133"/>
      <c r="L149" s="135"/>
      <c r="M149" s="19"/>
      <c r="N149" s="131"/>
      <c r="O149" s="30"/>
      <c r="P149" s="29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7.75" customHeight="1">
      <c r="A150" s="29"/>
      <c r="B150" s="29"/>
      <c r="C150" s="29"/>
      <c r="D150" s="29"/>
      <c r="E150" s="29"/>
      <c r="F150" s="30"/>
      <c r="G150" s="66"/>
      <c r="H150" s="130"/>
      <c r="I150" s="84"/>
      <c r="J150" s="17"/>
      <c r="K150" s="133"/>
      <c r="L150" s="135"/>
      <c r="M150" s="19"/>
      <c r="N150" s="131"/>
      <c r="O150" s="30"/>
      <c r="P150" s="29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7.75" customHeight="1">
      <c r="A151" s="29"/>
      <c r="B151" s="29"/>
      <c r="C151" s="29"/>
      <c r="D151" s="29"/>
      <c r="E151" s="29"/>
      <c r="F151" s="30"/>
      <c r="G151" s="66"/>
      <c r="H151" s="130"/>
      <c r="I151" s="84"/>
      <c r="J151" s="17"/>
      <c r="K151" s="133"/>
      <c r="L151" s="135"/>
      <c r="M151" s="19"/>
      <c r="N151" s="131"/>
      <c r="O151" s="30"/>
      <c r="P151" s="29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7.75" customHeight="1">
      <c r="A152" s="29"/>
      <c r="B152" s="29"/>
      <c r="C152" s="29"/>
      <c r="D152" s="29"/>
      <c r="E152" s="29"/>
      <c r="F152" s="30"/>
      <c r="G152" s="66"/>
      <c r="H152" s="130"/>
      <c r="I152" s="84"/>
      <c r="J152" s="17"/>
      <c r="K152" s="133"/>
      <c r="L152" s="135"/>
      <c r="M152" s="19"/>
      <c r="N152" s="131"/>
      <c r="O152" s="30"/>
      <c r="P152" s="29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75" customHeight="1">
      <c r="A153" s="29"/>
      <c r="B153" s="29"/>
      <c r="C153" s="29"/>
      <c r="D153" s="29"/>
      <c r="E153" s="29"/>
      <c r="F153" s="30"/>
      <c r="G153" s="66"/>
      <c r="H153" s="130"/>
      <c r="I153" s="84"/>
      <c r="J153" s="17"/>
      <c r="K153" s="133"/>
      <c r="L153" s="135"/>
      <c r="M153" s="19"/>
      <c r="N153" s="131"/>
      <c r="O153" s="30"/>
      <c r="P153" s="29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7.75" customHeight="1">
      <c r="A154" s="29"/>
      <c r="B154" s="29"/>
      <c r="C154" s="29"/>
      <c r="D154" s="29"/>
      <c r="E154" s="29"/>
      <c r="F154" s="30"/>
      <c r="G154" s="66"/>
      <c r="H154" s="130"/>
      <c r="I154" s="84"/>
      <c r="J154" s="17"/>
      <c r="K154" s="133"/>
      <c r="L154" s="135"/>
      <c r="M154" s="19"/>
      <c r="N154" s="131"/>
      <c r="O154" s="30"/>
      <c r="P154" s="29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7.75" customHeight="1">
      <c r="A155" s="29"/>
      <c r="B155" s="29"/>
      <c r="C155" s="29"/>
      <c r="D155" s="29"/>
      <c r="E155" s="29"/>
      <c r="F155" s="30"/>
      <c r="G155" s="66"/>
      <c r="H155" s="130"/>
      <c r="I155" s="84"/>
      <c r="J155" s="17"/>
      <c r="K155" s="133"/>
      <c r="L155" s="135"/>
      <c r="M155" s="19"/>
      <c r="N155" s="131"/>
      <c r="O155" s="30"/>
      <c r="P155" s="29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7.75" customHeight="1">
      <c r="A156" s="29"/>
      <c r="B156" s="29"/>
      <c r="C156" s="29"/>
      <c r="D156" s="29"/>
      <c r="E156" s="29"/>
      <c r="F156" s="30"/>
      <c r="G156" s="66"/>
      <c r="H156" s="130"/>
      <c r="I156" s="84"/>
      <c r="J156" s="17"/>
      <c r="K156" s="133"/>
      <c r="L156" s="135"/>
      <c r="M156" s="19"/>
      <c r="N156" s="131"/>
      <c r="O156" s="30"/>
      <c r="P156" s="29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7.75" customHeight="1">
      <c r="A157" s="29"/>
      <c r="B157" s="29"/>
      <c r="C157" s="29"/>
      <c r="D157" s="29"/>
      <c r="E157" s="29"/>
      <c r="F157" s="30"/>
      <c r="G157" s="66"/>
      <c r="H157" s="130"/>
      <c r="I157" s="84"/>
      <c r="J157" s="17"/>
      <c r="K157" s="133"/>
      <c r="L157" s="135"/>
      <c r="M157" s="19"/>
      <c r="N157" s="131"/>
      <c r="O157" s="30"/>
      <c r="P157" s="29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7.75" customHeight="1">
      <c r="A158" s="29"/>
      <c r="B158" s="29"/>
      <c r="C158" s="29"/>
      <c r="D158" s="29"/>
      <c r="E158" s="29"/>
      <c r="F158" s="30"/>
      <c r="G158" s="66"/>
      <c r="H158" s="130"/>
      <c r="I158" s="84"/>
      <c r="J158" s="17"/>
      <c r="K158" s="133"/>
      <c r="L158" s="135"/>
      <c r="M158" s="19"/>
      <c r="N158" s="131"/>
      <c r="O158" s="30"/>
      <c r="P158" s="29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7.75" customHeight="1">
      <c r="A159" s="29"/>
      <c r="B159" s="29"/>
      <c r="C159" s="29"/>
      <c r="D159" s="29"/>
      <c r="E159" s="29"/>
      <c r="F159" s="30"/>
      <c r="G159" s="66"/>
      <c r="H159" s="130"/>
      <c r="I159" s="84"/>
      <c r="J159" s="17"/>
      <c r="K159" s="133"/>
      <c r="L159" s="135"/>
      <c r="M159" s="19"/>
      <c r="N159" s="131"/>
      <c r="O159" s="30"/>
      <c r="P159" s="29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7.75" customHeight="1">
      <c r="A160" s="29"/>
      <c r="B160" s="29"/>
      <c r="C160" s="29"/>
      <c r="D160" s="29"/>
      <c r="E160" s="29"/>
      <c r="F160" s="30"/>
      <c r="G160" s="66"/>
      <c r="H160" s="130"/>
      <c r="I160" s="84"/>
      <c r="J160" s="17"/>
      <c r="K160" s="133"/>
      <c r="L160" s="135"/>
      <c r="M160" s="19"/>
      <c r="N160" s="131"/>
      <c r="O160" s="30"/>
      <c r="P160" s="29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7.75" customHeight="1">
      <c r="A161" s="29"/>
      <c r="B161" s="29"/>
      <c r="C161" s="29"/>
      <c r="D161" s="29"/>
      <c r="E161" s="29"/>
      <c r="F161" s="30"/>
      <c r="G161" s="66"/>
      <c r="H161" s="130"/>
      <c r="I161" s="84"/>
      <c r="J161" s="17"/>
      <c r="K161" s="133"/>
      <c r="L161" s="135"/>
      <c r="M161" s="19"/>
      <c r="N161" s="131"/>
      <c r="O161" s="30"/>
      <c r="P161" s="29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7.75" customHeight="1">
      <c r="A162" s="29"/>
      <c r="B162" s="29"/>
      <c r="C162" s="29"/>
      <c r="D162" s="29"/>
      <c r="E162" s="29"/>
      <c r="F162" s="30"/>
      <c r="G162" s="66"/>
      <c r="H162" s="130"/>
      <c r="I162" s="84"/>
      <c r="J162" s="17"/>
      <c r="K162" s="133"/>
      <c r="L162" s="135"/>
      <c r="M162" s="19"/>
      <c r="N162" s="131"/>
      <c r="O162" s="30"/>
      <c r="P162" s="29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7.75" customHeight="1">
      <c r="A163" s="29"/>
      <c r="B163" s="29"/>
      <c r="C163" s="29"/>
      <c r="D163" s="29"/>
      <c r="E163" s="29"/>
      <c r="F163" s="30"/>
      <c r="G163" s="66"/>
      <c r="H163" s="130"/>
      <c r="I163" s="84"/>
      <c r="J163" s="17"/>
      <c r="K163" s="133"/>
      <c r="L163" s="135"/>
      <c r="M163" s="19"/>
      <c r="N163" s="131"/>
      <c r="O163" s="30"/>
      <c r="P163" s="29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7.75" customHeight="1">
      <c r="A164" s="29"/>
      <c r="B164" s="29"/>
      <c r="C164" s="29"/>
      <c r="D164" s="29"/>
      <c r="E164" s="29"/>
      <c r="F164" s="30"/>
      <c r="G164" s="66"/>
      <c r="H164" s="130"/>
      <c r="I164" s="84"/>
      <c r="J164" s="17"/>
      <c r="K164" s="133"/>
      <c r="L164" s="135"/>
      <c r="M164" s="19"/>
      <c r="N164" s="131"/>
      <c r="O164" s="30"/>
      <c r="P164" s="29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7.75" customHeight="1">
      <c r="A165" s="29"/>
      <c r="B165" s="29"/>
      <c r="C165" s="29"/>
      <c r="D165" s="29"/>
      <c r="E165" s="29"/>
      <c r="F165" s="30"/>
      <c r="G165" s="66"/>
      <c r="H165" s="130"/>
      <c r="I165" s="84"/>
      <c r="J165" s="17"/>
      <c r="K165" s="133"/>
      <c r="L165" s="135"/>
      <c r="M165" s="19"/>
      <c r="N165" s="131"/>
      <c r="O165" s="30"/>
      <c r="P165" s="29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7.75" customHeight="1">
      <c r="A166" s="29"/>
      <c r="B166" s="29"/>
      <c r="C166" s="29"/>
      <c r="D166" s="29"/>
      <c r="E166" s="29"/>
      <c r="F166" s="30"/>
      <c r="G166" s="66"/>
      <c r="H166" s="130"/>
      <c r="I166" s="84"/>
      <c r="J166" s="17"/>
      <c r="K166" s="133"/>
      <c r="L166" s="135"/>
      <c r="M166" s="19"/>
      <c r="N166" s="131"/>
      <c r="O166" s="30"/>
      <c r="P166" s="29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75" customHeight="1">
      <c r="A167" s="29"/>
      <c r="B167" s="29"/>
      <c r="C167" s="29"/>
      <c r="D167" s="29"/>
      <c r="E167" s="29"/>
      <c r="F167" s="30"/>
      <c r="G167" s="66"/>
      <c r="H167" s="130"/>
      <c r="I167" s="84"/>
      <c r="J167" s="17"/>
      <c r="K167" s="133"/>
      <c r="L167" s="135"/>
      <c r="M167" s="19"/>
      <c r="N167" s="131"/>
      <c r="O167" s="30"/>
      <c r="P167" s="29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7.75" customHeight="1">
      <c r="A168" s="29"/>
      <c r="B168" s="29"/>
      <c r="C168" s="29"/>
      <c r="D168" s="29"/>
      <c r="E168" s="29"/>
      <c r="F168" s="30"/>
      <c r="G168" s="66"/>
      <c r="H168" s="130"/>
      <c r="I168" s="84"/>
      <c r="J168" s="17"/>
      <c r="K168" s="133"/>
      <c r="L168" s="135"/>
      <c r="M168" s="19"/>
      <c r="N168" s="131"/>
      <c r="O168" s="30"/>
      <c r="P168" s="29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7.75" customHeight="1">
      <c r="A169" s="29"/>
      <c r="B169" s="29"/>
      <c r="C169" s="29"/>
      <c r="D169" s="29"/>
      <c r="E169" s="29"/>
      <c r="F169" s="30"/>
      <c r="G169" s="66"/>
      <c r="H169" s="130"/>
      <c r="I169" s="84"/>
      <c r="J169" s="17"/>
      <c r="K169" s="133"/>
      <c r="L169" s="135"/>
      <c r="M169" s="19"/>
      <c r="N169" s="131"/>
      <c r="O169" s="30"/>
      <c r="P169" s="29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7.75" customHeight="1">
      <c r="A170" s="29"/>
      <c r="B170" s="29"/>
      <c r="C170" s="29"/>
      <c r="D170" s="29"/>
      <c r="E170" s="29"/>
      <c r="F170" s="30"/>
      <c r="G170" s="66"/>
      <c r="H170" s="130"/>
      <c r="I170" s="84"/>
      <c r="J170" s="17"/>
      <c r="K170" s="133"/>
      <c r="L170" s="135"/>
      <c r="M170" s="19"/>
      <c r="N170" s="131"/>
      <c r="O170" s="30"/>
      <c r="P170" s="29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7.75" customHeight="1">
      <c r="A171" s="29"/>
      <c r="B171" s="29"/>
      <c r="C171" s="29"/>
      <c r="D171" s="29"/>
      <c r="E171" s="29"/>
      <c r="F171" s="30"/>
      <c r="G171" s="66"/>
      <c r="H171" s="130"/>
      <c r="I171" s="84"/>
      <c r="J171" s="17"/>
      <c r="K171" s="133"/>
      <c r="L171" s="135"/>
      <c r="M171" s="19"/>
      <c r="N171" s="131"/>
      <c r="O171" s="30"/>
      <c r="P171" s="29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7.75" customHeight="1">
      <c r="A172" s="29"/>
      <c r="B172" s="29"/>
      <c r="C172" s="29"/>
      <c r="D172" s="29"/>
      <c r="E172" s="29"/>
      <c r="F172" s="30"/>
      <c r="G172" s="66"/>
      <c r="H172" s="130"/>
      <c r="I172" s="84"/>
      <c r="J172" s="17"/>
      <c r="K172" s="133"/>
      <c r="L172" s="135"/>
      <c r="M172" s="19"/>
      <c r="N172" s="131"/>
      <c r="O172" s="30"/>
      <c r="P172" s="29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7.75" customHeight="1">
      <c r="A173" s="29"/>
      <c r="B173" s="29"/>
      <c r="C173" s="29"/>
      <c r="D173" s="29"/>
      <c r="E173" s="29"/>
      <c r="F173" s="30"/>
      <c r="G173" s="66"/>
      <c r="H173" s="130"/>
      <c r="I173" s="84"/>
      <c r="J173" s="17"/>
      <c r="K173" s="133"/>
      <c r="L173" s="135"/>
      <c r="M173" s="19"/>
      <c r="N173" s="131"/>
      <c r="O173" s="30"/>
      <c r="P173" s="29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75" customHeight="1">
      <c r="A174" s="29"/>
      <c r="B174" s="29"/>
      <c r="C174" s="29"/>
      <c r="D174" s="29"/>
      <c r="E174" s="29"/>
      <c r="F174" s="30"/>
      <c r="G174" s="66"/>
      <c r="H174" s="130"/>
      <c r="I174" s="84"/>
      <c r="J174" s="17"/>
      <c r="K174" s="133"/>
      <c r="L174" s="135"/>
      <c r="M174" s="19"/>
      <c r="N174" s="131"/>
      <c r="O174" s="30"/>
      <c r="P174" s="29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7.75" customHeight="1">
      <c r="A175" s="29"/>
      <c r="B175" s="29"/>
      <c r="C175" s="29"/>
      <c r="D175" s="29"/>
      <c r="E175" s="29"/>
      <c r="F175" s="30"/>
      <c r="G175" s="66"/>
      <c r="H175" s="130"/>
      <c r="I175" s="84"/>
      <c r="J175" s="17"/>
      <c r="K175" s="133"/>
      <c r="L175" s="135"/>
      <c r="M175" s="19"/>
      <c r="N175" s="131"/>
      <c r="O175" s="30"/>
      <c r="P175" s="29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7.75" customHeight="1">
      <c r="A176" s="29"/>
      <c r="B176" s="29"/>
      <c r="C176" s="29"/>
      <c r="D176" s="29"/>
      <c r="E176" s="29"/>
      <c r="F176" s="30"/>
      <c r="G176" s="66"/>
      <c r="H176" s="130"/>
      <c r="I176" s="84"/>
      <c r="J176" s="17"/>
      <c r="K176" s="133"/>
      <c r="L176" s="135"/>
      <c r="M176" s="19"/>
      <c r="N176" s="131"/>
      <c r="O176" s="30"/>
      <c r="P176" s="29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7.75" customHeight="1">
      <c r="A177" s="29"/>
      <c r="B177" s="29"/>
      <c r="C177" s="29"/>
      <c r="D177" s="29"/>
      <c r="E177" s="29"/>
      <c r="F177" s="30"/>
      <c r="G177" s="66"/>
      <c r="H177" s="130"/>
      <c r="I177" s="84"/>
      <c r="J177" s="17"/>
      <c r="K177" s="133"/>
      <c r="L177" s="135"/>
      <c r="M177" s="19"/>
      <c r="N177" s="131"/>
      <c r="O177" s="30"/>
      <c r="P177" s="29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7.75" customHeight="1">
      <c r="A178" s="29"/>
      <c r="B178" s="29"/>
      <c r="C178" s="29"/>
      <c r="D178" s="29"/>
      <c r="E178" s="29"/>
      <c r="F178" s="30"/>
      <c r="G178" s="66"/>
      <c r="H178" s="130"/>
      <c r="I178" s="84"/>
      <c r="J178" s="17"/>
      <c r="K178" s="133"/>
      <c r="L178" s="135"/>
      <c r="M178" s="19"/>
      <c r="N178" s="131"/>
      <c r="O178" s="30"/>
      <c r="P178" s="29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7.75" customHeight="1">
      <c r="A179" s="29"/>
      <c r="B179" s="29"/>
      <c r="C179" s="29"/>
      <c r="D179" s="29"/>
      <c r="E179" s="29"/>
      <c r="F179" s="30"/>
      <c r="G179" s="66"/>
      <c r="H179" s="130"/>
      <c r="I179" s="84"/>
      <c r="J179" s="17"/>
      <c r="K179" s="133"/>
      <c r="L179" s="135"/>
      <c r="M179" s="19"/>
      <c r="N179" s="131"/>
      <c r="O179" s="30"/>
      <c r="P179" s="29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7.75" customHeight="1">
      <c r="A180" s="29"/>
      <c r="B180" s="29"/>
      <c r="C180" s="29"/>
      <c r="D180" s="29"/>
      <c r="E180" s="29"/>
      <c r="F180" s="30"/>
      <c r="G180" s="66"/>
      <c r="H180" s="130"/>
      <c r="I180" s="84"/>
      <c r="J180" s="17"/>
      <c r="K180" s="133"/>
      <c r="L180" s="135"/>
      <c r="M180" s="19"/>
      <c r="N180" s="131"/>
      <c r="O180" s="30"/>
      <c r="P180" s="29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75" customHeight="1">
      <c r="A181" s="29"/>
      <c r="B181" s="29"/>
      <c r="C181" s="29"/>
      <c r="D181" s="29"/>
      <c r="E181" s="29"/>
      <c r="F181" s="30"/>
      <c r="G181" s="66"/>
      <c r="H181" s="130"/>
      <c r="I181" s="84"/>
      <c r="J181" s="17"/>
      <c r="K181" s="133"/>
      <c r="L181" s="135"/>
      <c r="M181" s="19"/>
      <c r="N181" s="131"/>
      <c r="O181" s="30"/>
      <c r="P181" s="29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7.75" customHeight="1">
      <c r="A182" s="29"/>
      <c r="B182" s="29"/>
      <c r="C182" s="29"/>
      <c r="D182" s="29"/>
      <c r="E182" s="29"/>
      <c r="F182" s="30"/>
      <c r="G182" s="66"/>
      <c r="H182" s="130"/>
      <c r="I182" s="84"/>
      <c r="J182" s="17"/>
      <c r="K182" s="133"/>
      <c r="L182" s="135"/>
      <c r="M182" s="19"/>
      <c r="N182" s="131"/>
      <c r="O182" s="30"/>
      <c r="P182" s="29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7.75" customHeight="1">
      <c r="A183" s="29"/>
      <c r="B183" s="29"/>
      <c r="C183" s="29"/>
      <c r="D183" s="29"/>
      <c r="E183" s="29"/>
      <c r="F183" s="30"/>
      <c r="G183" s="66"/>
      <c r="H183" s="130"/>
      <c r="I183" s="84"/>
      <c r="J183" s="17"/>
      <c r="K183" s="133"/>
      <c r="L183" s="135"/>
      <c r="M183" s="19"/>
      <c r="N183" s="131"/>
      <c r="O183" s="30"/>
      <c r="P183" s="29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7.75" customHeight="1">
      <c r="A184" s="29"/>
      <c r="B184" s="29"/>
      <c r="C184" s="29"/>
      <c r="D184" s="29"/>
      <c r="E184" s="29"/>
      <c r="F184" s="30"/>
      <c r="G184" s="66"/>
      <c r="H184" s="130"/>
      <c r="I184" s="84"/>
      <c r="J184" s="17"/>
      <c r="K184" s="133"/>
      <c r="L184" s="135"/>
      <c r="M184" s="19"/>
      <c r="N184" s="131"/>
      <c r="O184" s="30"/>
      <c r="P184" s="29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7.75" customHeight="1">
      <c r="A185" s="29"/>
      <c r="B185" s="29"/>
      <c r="C185" s="29"/>
      <c r="D185" s="29"/>
      <c r="E185" s="29"/>
      <c r="F185" s="30"/>
      <c r="G185" s="66"/>
      <c r="H185" s="130"/>
      <c r="I185" s="84"/>
      <c r="J185" s="17"/>
      <c r="K185" s="133"/>
      <c r="L185" s="135"/>
      <c r="M185" s="19"/>
      <c r="N185" s="131"/>
      <c r="O185" s="30"/>
      <c r="P185" s="29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7.75" customHeight="1">
      <c r="A186" s="29"/>
      <c r="B186" s="29"/>
      <c r="C186" s="29"/>
      <c r="D186" s="29"/>
      <c r="E186" s="29"/>
      <c r="F186" s="30"/>
      <c r="G186" s="66"/>
      <c r="H186" s="130"/>
      <c r="I186" s="84"/>
      <c r="J186" s="17"/>
      <c r="K186" s="133"/>
      <c r="L186" s="135"/>
      <c r="M186" s="19"/>
      <c r="N186" s="131"/>
      <c r="O186" s="30"/>
      <c r="P186" s="29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7.75" customHeight="1">
      <c r="A187" s="29"/>
      <c r="B187" s="29"/>
      <c r="C187" s="29"/>
      <c r="D187" s="29"/>
      <c r="E187" s="29"/>
      <c r="F187" s="30"/>
      <c r="G187" s="66"/>
      <c r="H187" s="130"/>
      <c r="I187" s="84"/>
      <c r="J187" s="17"/>
      <c r="K187" s="133"/>
      <c r="L187" s="135"/>
      <c r="M187" s="19"/>
      <c r="N187" s="131"/>
      <c r="O187" s="30"/>
      <c r="P187" s="29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75" customHeight="1">
      <c r="A188" s="29"/>
      <c r="B188" s="29"/>
      <c r="C188" s="29"/>
      <c r="D188" s="29"/>
      <c r="E188" s="29"/>
      <c r="F188" s="30"/>
      <c r="G188" s="66"/>
      <c r="H188" s="130"/>
      <c r="I188" s="84"/>
      <c r="J188" s="17"/>
      <c r="K188" s="133"/>
      <c r="L188" s="135"/>
      <c r="M188" s="19"/>
      <c r="N188" s="131"/>
      <c r="O188" s="30"/>
      <c r="P188" s="29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7.75" customHeight="1">
      <c r="A189" s="29"/>
      <c r="B189" s="29"/>
      <c r="C189" s="29"/>
      <c r="D189" s="29"/>
      <c r="E189" s="29"/>
      <c r="F189" s="30"/>
      <c r="G189" s="66"/>
      <c r="H189" s="130"/>
      <c r="I189" s="84"/>
      <c r="J189" s="17"/>
      <c r="K189" s="133"/>
      <c r="L189" s="135"/>
      <c r="M189" s="19"/>
      <c r="N189" s="131"/>
      <c r="O189" s="30"/>
      <c r="P189" s="29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7.75" customHeight="1">
      <c r="A190" s="29"/>
      <c r="B190" s="29"/>
      <c r="C190" s="29"/>
      <c r="D190" s="29"/>
      <c r="E190" s="29"/>
      <c r="F190" s="30"/>
      <c r="G190" s="66"/>
      <c r="H190" s="130"/>
      <c r="I190" s="84"/>
      <c r="J190" s="17"/>
      <c r="K190" s="133"/>
      <c r="L190" s="135"/>
      <c r="M190" s="19"/>
      <c r="N190" s="131"/>
      <c r="O190" s="30"/>
      <c r="P190" s="29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7.75" customHeight="1">
      <c r="A191" s="29"/>
      <c r="B191" s="29"/>
      <c r="C191" s="29"/>
      <c r="D191" s="29"/>
      <c r="E191" s="29"/>
      <c r="F191" s="30"/>
      <c r="G191" s="66"/>
      <c r="H191" s="130"/>
      <c r="I191" s="84"/>
      <c r="J191" s="17"/>
      <c r="K191" s="133"/>
      <c r="L191" s="135"/>
      <c r="M191" s="19"/>
      <c r="N191" s="131"/>
      <c r="O191" s="30"/>
      <c r="P191" s="29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7.75" customHeight="1">
      <c r="A192" s="29"/>
      <c r="B192" s="29"/>
      <c r="C192" s="29"/>
      <c r="D192" s="29"/>
      <c r="E192" s="29"/>
      <c r="F192" s="30"/>
      <c r="G192" s="66"/>
      <c r="H192" s="130"/>
      <c r="I192" s="84"/>
      <c r="J192" s="17"/>
      <c r="K192" s="133"/>
      <c r="L192" s="135"/>
      <c r="M192" s="19"/>
      <c r="N192" s="131"/>
      <c r="O192" s="30"/>
      <c r="P192" s="29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7.75" customHeight="1">
      <c r="A193" s="29"/>
      <c r="B193" s="29"/>
      <c r="C193" s="29"/>
      <c r="D193" s="29"/>
      <c r="E193" s="29"/>
      <c r="F193" s="30"/>
      <c r="G193" s="66"/>
      <c r="H193" s="130"/>
      <c r="I193" s="84"/>
      <c r="J193" s="17"/>
      <c r="K193" s="133"/>
      <c r="L193" s="135"/>
      <c r="M193" s="19"/>
      <c r="N193" s="131"/>
      <c r="O193" s="30"/>
      <c r="P193" s="29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7.75" customHeight="1">
      <c r="A194" s="29"/>
      <c r="B194" s="29"/>
      <c r="C194" s="29"/>
      <c r="D194" s="29"/>
      <c r="E194" s="29"/>
      <c r="F194" s="30"/>
      <c r="G194" s="66"/>
      <c r="H194" s="130"/>
      <c r="I194" s="84"/>
      <c r="J194" s="17"/>
      <c r="K194" s="133"/>
      <c r="L194" s="135"/>
      <c r="M194" s="19"/>
      <c r="N194" s="131"/>
      <c r="O194" s="30"/>
      <c r="P194" s="29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7.75" customHeight="1">
      <c r="A195" s="29"/>
      <c r="B195" s="29"/>
      <c r="C195" s="29"/>
      <c r="D195" s="29"/>
      <c r="E195" s="29"/>
      <c r="F195" s="30"/>
      <c r="G195" s="66"/>
      <c r="H195" s="130"/>
      <c r="I195" s="84"/>
      <c r="J195" s="17"/>
      <c r="K195" s="133"/>
      <c r="L195" s="135"/>
      <c r="M195" s="19"/>
      <c r="N195" s="131"/>
      <c r="O195" s="30"/>
      <c r="P195" s="29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7.75" customHeight="1">
      <c r="A196" s="29"/>
      <c r="B196" s="29"/>
      <c r="C196" s="29"/>
      <c r="D196" s="29"/>
      <c r="E196" s="29"/>
      <c r="F196" s="30"/>
      <c r="G196" s="66"/>
      <c r="H196" s="130"/>
      <c r="I196" s="84"/>
      <c r="J196" s="17"/>
      <c r="K196" s="133"/>
      <c r="L196" s="135"/>
      <c r="M196" s="19"/>
      <c r="N196" s="131"/>
      <c r="O196" s="30"/>
      <c r="P196" s="29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7.75" customHeight="1">
      <c r="A197" s="29"/>
      <c r="B197" s="29"/>
      <c r="C197" s="29"/>
      <c r="D197" s="29"/>
      <c r="E197" s="29"/>
      <c r="F197" s="30"/>
      <c r="G197" s="66"/>
      <c r="H197" s="130"/>
      <c r="I197" s="84"/>
      <c r="J197" s="17"/>
      <c r="K197" s="133"/>
      <c r="L197" s="135"/>
      <c r="M197" s="19"/>
      <c r="N197" s="131"/>
      <c r="O197" s="30"/>
      <c r="P197" s="29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7.75" customHeight="1">
      <c r="A198" s="29"/>
      <c r="B198" s="29"/>
      <c r="C198" s="29"/>
      <c r="D198" s="29"/>
      <c r="E198" s="29"/>
      <c r="F198" s="30"/>
      <c r="G198" s="66"/>
      <c r="H198" s="130"/>
      <c r="I198" s="84"/>
      <c r="J198" s="17"/>
      <c r="K198" s="133"/>
      <c r="L198" s="135"/>
      <c r="M198" s="19"/>
      <c r="N198" s="131"/>
      <c r="O198" s="30"/>
      <c r="P198" s="29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7.75" customHeight="1">
      <c r="A199" s="29"/>
      <c r="B199" s="29"/>
      <c r="C199" s="29"/>
      <c r="D199" s="29"/>
      <c r="E199" s="29"/>
      <c r="F199" s="30"/>
      <c r="G199" s="66"/>
      <c r="H199" s="130"/>
      <c r="I199" s="84"/>
      <c r="J199" s="17"/>
      <c r="K199" s="133"/>
      <c r="L199" s="135"/>
      <c r="M199" s="19"/>
      <c r="N199" s="131"/>
      <c r="O199" s="30"/>
      <c r="P199" s="29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7.75" customHeight="1">
      <c r="A200" s="29"/>
      <c r="B200" s="29"/>
      <c r="C200" s="29"/>
      <c r="D200" s="29"/>
      <c r="E200" s="29"/>
      <c r="F200" s="30"/>
      <c r="G200" s="66"/>
      <c r="H200" s="130"/>
      <c r="I200" s="84"/>
      <c r="J200" s="17"/>
      <c r="K200" s="133"/>
      <c r="L200" s="135"/>
      <c r="M200" s="19"/>
      <c r="N200" s="131"/>
      <c r="O200" s="30"/>
      <c r="P200" s="29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7.75" customHeight="1">
      <c r="A201" s="29"/>
      <c r="B201" s="29"/>
      <c r="C201" s="29"/>
      <c r="D201" s="29"/>
      <c r="E201" s="29"/>
      <c r="F201" s="30"/>
      <c r="G201" s="66"/>
      <c r="H201" s="130"/>
      <c r="I201" s="84"/>
      <c r="J201" s="17"/>
      <c r="K201" s="133"/>
      <c r="L201" s="135"/>
      <c r="M201" s="19"/>
      <c r="N201" s="131"/>
      <c r="O201" s="30"/>
      <c r="P201" s="29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75" customHeight="1">
      <c r="A202" s="29"/>
      <c r="B202" s="29"/>
      <c r="C202" s="29"/>
      <c r="D202" s="29"/>
      <c r="E202" s="29"/>
      <c r="F202" s="30"/>
      <c r="G202" s="66"/>
      <c r="H202" s="130"/>
      <c r="I202" s="84"/>
      <c r="J202" s="17"/>
      <c r="K202" s="133"/>
      <c r="L202" s="135"/>
      <c r="M202" s="19"/>
      <c r="N202" s="131"/>
      <c r="O202" s="30"/>
      <c r="P202" s="29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7.75" customHeight="1">
      <c r="A203" s="29"/>
      <c r="B203" s="29"/>
      <c r="C203" s="29"/>
      <c r="D203" s="29"/>
      <c r="E203" s="29"/>
      <c r="F203" s="30"/>
      <c r="G203" s="66"/>
      <c r="H203" s="130"/>
      <c r="I203" s="84"/>
      <c r="J203" s="17"/>
      <c r="K203" s="133"/>
      <c r="L203" s="135"/>
      <c r="M203" s="19"/>
      <c r="N203" s="131"/>
      <c r="O203" s="30"/>
      <c r="P203" s="29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7.75" customHeight="1">
      <c r="A204" s="29"/>
      <c r="B204" s="29"/>
      <c r="C204" s="29"/>
      <c r="D204" s="29"/>
      <c r="E204" s="29"/>
      <c r="F204" s="30"/>
      <c r="G204" s="66"/>
      <c r="H204" s="130"/>
      <c r="I204" s="84"/>
      <c r="J204" s="17"/>
      <c r="K204" s="133"/>
      <c r="L204" s="135"/>
      <c r="M204" s="19"/>
      <c r="N204" s="131"/>
      <c r="O204" s="30"/>
      <c r="P204" s="29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7.75" customHeight="1">
      <c r="A205" s="29"/>
      <c r="B205" s="29"/>
      <c r="C205" s="29"/>
      <c r="D205" s="29"/>
      <c r="E205" s="29"/>
      <c r="F205" s="30"/>
      <c r="G205" s="66"/>
      <c r="H205" s="130"/>
      <c r="I205" s="84"/>
      <c r="J205" s="17"/>
      <c r="K205" s="133"/>
      <c r="L205" s="135"/>
      <c r="M205" s="19"/>
      <c r="N205" s="131"/>
      <c r="O205" s="30"/>
      <c r="P205" s="29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7.75" customHeight="1">
      <c r="A206" s="29"/>
      <c r="B206" s="29"/>
      <c r="C206" s="29"/>
      <c r="D206" s="29"/>
      <c r="E206" s="29"/>
      <c r="F206" s="30"/>
      <c r="G206" s="66"/>
      <c r="H206" s="130"/>
      <c r="I206" s="84"/>
      <c r="J206" s="17"/>
      <c r="K206" s="133"/>
      <c r="L206" s="135"/>
      <c r="M206" s="19"/>
      <c r="N206" s="131"/>
      <c r="O206" s="30"/>
      <c r="P206" s="29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7.75" customHeight="1">
      <c r="A207" s="29"/>
      <c r="B207" s="29"/>
      <c r="C207" s="29"/>
      <c r="D207" s="29"/>
      <c r="E207" s="29"/>
      <c r="F207" s="30"/>
      <c r="G207" s="66"/>
      <c r="H207" s="130"/>
      <c r="I207" s="84"/>
      <c r="J207" s="17"/>
      <c r="K207" s="133"/>
      <c r="L207" s="135"/>
      <c r="M207" s="19"/>
      <c r="N207" s="131"/>
      <c r="O207" s="30"/>
      <c r="P207" s="29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7.75" customHeight="1">
      <c r="A208" s="29"/>
      <c r="B208" s="29"/>
      <c r="C208" s="29"/>
      <c r="D208" s="29"/>
      <c r="E208" s="29"/>
      <c r="F208" s="30"/>
      <c r="G208" s="66"/>
      <c r="H208" s="130"/>
      <c r="I208" s="84"/>
      <c r="J208" s="17"/>
      <c r="K208" s="133"/>
      <c r="L208" s="135"/>
      <c r="M208" s="19"/>
      <c r="N208" s="131"/>
      <c r="O208" s="30"/>
      <c r="P208" s="29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75" customHeight="1">
      <c r="A209" s="29"/>
      <c r="B209" s="29"/>
      <c r="C209" s="29"/>
      <c r="D209" s="29"/>
      <c r="E209" s="29"/>
      <c r="F209" s="30"/>
      <c r="G209" s="66"/>
      <c r="H209" s="130"/>
      <c r="I209" s="84"/>
      <c r="J209" s="17"/>
      <c r="K209" s="133"/>
      <c r="L209" s="135"/>
      <c r="M209" s="19"/>
      <c r="N209" s="131"/>
      <c r="O209" s="30"/>
      <c r="P209" s="29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7.75" customHeight="1">
      <c r="A210" s="29"/>
      <c r="B210" s="29"/>
      <c r="C210" s="29"/>
      <c r="D210" s="29"/>
      <c r="E210" s="29"/>
      <c r="F210" s="30"/>
      <c r="G210" s="66"/>
      <c r="H210" s="130"/>
      <c r="I210" s="84"/>
      <c r="J210" s="17"/>
      <c r="K210" s="133"/>
      <c r="L210" s="135"/>
      <c r="M210" s="19"/>
      <c r="N210" s="131"/>
      <c r="O210" s="30"/>
      <c r="P210" s="29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7.75" customHeight="1">
      <c r="A211" s="29"/>
      <c r="B211" s="29"/>
      <c r="C211" s="29"/>
      <c r="D211" s="29"/>
      <c r="E211" s="29"/>
      <c r="F211" s="30"/>
      <c r="G211" s="66"/>
      <c r="H211" s="130"/>
      <c r="I211" s="84"/>
      <c r="J211" s="17"/>
      <c r="K211" s="133"/>
      <c r="L211" s="135"/>
      <c r="M211" s="19"/>
      <c r="N211" s="131"/>
      <c r="O211" s="30"/>
      <c r="P211" s="29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7.75" customHeight="1">
      <c r="A212" s="29"/>
      <c r="B212" s="29"/>
      <c r="C212" s="29"/>
      <c r="D212" s="29"/>
      <c r="E212" s="29"/>
      <c r="F212" s="30"/>
      <c r="G212" s="66"/>
      <c r="H212" s="130"/>
      <c r="I212" s="84"/>
      <c r="J212" s="17"/>
      <c r="K212" s="133"/>
      <c r="L212" s="135"/>
      <c r="M212" s="19"/>
      <c r="N212" s="131"/>
      <c r="O212" s="30"/>
      <c r="P212" s="29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7.75" customHeight="1">
      <c r="A213" s="29"/>
      <c r="B213" s="29"/>
      <c r="C213" s="29"/>
      <c r="D213" s="29"/>
      <c r="E213" s="29"/>
      <c r="F213" s="30"/>
      <c r="G213" s="66"/>
      <c r="H213" s="130"/>
      <c r="I213" s="84"/>
      <c r="J213" s="17"/>
      <c r="K213" s="133"/>
      <c r="L213" s="135"/>
      <c r="M213" s="19"/>
      <c r="N213" s="131"/>
      <c r="O213" s="30"/>
      <c r="P213" s="29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7.75" customHeight="1">
      <c r="A214" s="29"/>
      <c r="B214" s="29"/>
      <c r="C214" s="29"/>
      <c r="D214" s="29"/>
      <c r="E214" s="29"/>
      <c r="F214" s="30"/>
      <c r="G214" s="66"/>
      <c r="H214" s="130"/>
      <c r="I214" s="84"/>
      <c r="J214" s="17"/>
      <c r="K214" s="133"/>
      <c r="L214" s="135"/>
      <c r="M214" s="19"/>
      <c r="N214" s="131"/>
      <c r="O214" s="30"/>
      <c r="P214" s="29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7.75" customHeight="1">
      <c r="A215" s="29"/>
      <c r="B215" s="29"/>
      <c r="C215" s="29"/>
      <c r="D215" s="29"/>
      <c r="E215" s="29"/>
      <c r="F215" s="30"/>
      <c r="G215" s="66"/>
      <c r="H215" s="130"/>
      <c r="I215" s="84"/>
      <c r="J215" s="17"/>
      <c r="K215" s="133"/>
      <c r="L215" s="135"/>
      <c r="M215" s="19"/>
      <c r="N215" s="131"/>
      <c r="O215" s="30"/>
      <c r="P215" s="29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7.75" customHeight="1">
      <c r="A216" s="29"/>
      <c r="B216" s="29"/>
      <c r="C216" s="29"/>
      <c r="D216" s="29"/>
      <c r="E216" s="29"/>
      <c r="F216" s="30"/>
      <c r="G216" s="66"/>
      <c r="H216" s="130"/>
      <c r="I216" s="84"/>
      <c r="J216" s="17"/>
      <c r="K216" s="133"/>
      <c r="L216" s="135"/>
      <c r="M216" s="19"/>
      <c r="N216" s="131"/>
      <c r="O216" s="30"/>
      <c r="P216" s="29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7.75" customHeight="1">
      <c r="A217" s="29"/>
      <c r="B217" s="29"/>
      <c r="C217" s="29"/>
      <c r="D217" s="29"/>
      <c r="E217" s="29"/>
      <c r="F217" s="30"/>
      <c r="G217" s="66"/>
      <c r="H217" s="130"/>
      <c r="I217" s="84"/>
      <c r="J217" s="17"/>
      <c r="K217" s="133"/>
      <c r="L217" s="135"/>
      <c r="M217" s="19"/>
      <c r="N217" s="131"/>
      <c r="O217" s="30"/>
      <c r="P217" s="29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7.75" customHeight="1">
      <c r="A218" s="29"/>
      <c r="B218" s="29"/>
      <c r="C218" s="29"/>
      <c r="D218" s="29"/>
      <c r="E218" s="29"/>
      <c r="F218" s="30"/>
      <c r="G218" s="66"/>
      <c r="H218" s="130"/>
      <c r="I218" s="84"/>
      <c r="J218" s="17"/>
      <c r="K218" s="133"/>
      <c r="L218" s="135"/>
      <c r="M218" s="19"/>
      <c r="N218" s="131"/>
      <c r="O218" s="30"/>
      <c r="P218" s="29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7.75" customHeight="1">
      <c r="A219" s="29"/>
      <c r="B219" s="29"/>
      <c r="C219" s="29"/>
      <c r="D219" s="29"/>
      <c r="E219" s="29"/>
      <c r="F219" s="30"/>
      <c r="G219" s="66"/>
      <c r="H219" s="130"/>
      <c r="I219" s="84"/>
      <c r="J219" s="17"/>
      <c r="K219" s="133"/>
      <c r="L219" s="135"/>
      <c r="M219" s="19"/>
      <c r="N219" s="131"/>
      <c r="O219" s="30"/>
      <c r="P219" s="29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7.75" customHeight="1">
      <c r="A220" s="29"/>
      <c r="B220" s="29"/>
      <c r="C220" s="29"/>
      <c r="D220" s="29"/>
      <c r="E220" s="29"/>
      <c r="F220" s="30"/>
      <c r="G220" s="66"/>
      <c r="H220" s="130"/>
      <c r="I220" s="84"/>
      <c r="J220" s="17"/>
      <c r="K220" s="133"/>
      <c r="L220" s="135"/>
      <c r="M220" s="19"/>
      <c r="N220" s="131"/>
      <c r="O220" s="30"/>
      <c r="P220" s="29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7.75" customHeight="1">
      <c r="A221" s="29"/>
      <c r="B221" s="29"/>
      <c r="C221" s="29"/>
      <c r="D221" s="29"/>
      <c r="E221" s="29"/>
      <c r="F221" s="30"/>
      <c r="G221" s="66"/>
      <c r="H221" s="130"/>
      <c r="I221" s="84"/>
      <c r="J221" s="17"/>
      <c r="K221" s="133"/>
      <c r="L221" s="135"/>
      <c r="M221" s="19"/>
      <c r="N221" s="131"/>
      <c r="O221" s="30"/>
      <c r="P221" s="29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7.75" customHeight="1">
      <c r="A222" s="29"/>
      <c r="B222" s="29"/>
      <c r="C222" s="29"/>
      <c r="D222" s="29"/>
      <c r="E222" s="29"/>
      <c r="F222" s="30"/>
      <c r="G222" s="66"/>
      <c r="H222" s="130"/>
      <c r="I222" s="84"/>
      <c r="J222" s="17"/>
      <c r="K222" s="133"/>
      <c r="L222" s="135"/>
      <c r="M222" s="19"/>
      <c r="N222" s="131"/>
      <c r="O222" s="30"/>
      <c r="P222" s="29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7.75" customHeight="1">
      <c r="A223" s="29"/>
      <c r="B223" s="29"/>
      <c r="C223" s="29"/>
      <c r="D223" s="29"/>
      <c r="E223" s="29"/>
      <c r="F223" s="30"/>
      <c r="G223" s="66"/>
      <c r="H223" s="130"/>
      <c r="I223" s="84"/>
      <c r="J223" s="17"/>
      <c r="K223" s="133"/>
      <c r="L223" s="135"/>
      <c r="M223" s="19"/>
      <c r="N223" s="131"/>
      <c r="O223" s="30"/>
      <c r="P223" s="29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7.75" customHeight="1">
      <c r="A224" s="29"/>
      <c r="B224" s="29"/>
      <c r="C224" s="29"/>
      <c r="D224" s="29"/>
      <c r="E224" s="29"/>
      <c r="F224" s="30"/>
      <c r="G224" s="66"/>
      <c r="H224" s="130"/>
      <c r="I224" s="84"/>
      <c r="J224" s="17"/>
      <c r="K224" s="133"/>
      <c r="L224" s="135"/>
      <c r="M224" s="19"/>
      <c r="N224" s="131"/>
      <c r="O224" s="30"/>
      <c r="P224" s="29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7.75" customHeight="1">
      <c r="A225" s="29"/>
      <c r="B225" s="29"/>
      <c r="C225" s="29"/>
      <c r="D225" s="29"/>
      <c r="E225" s="29"/>
      <c r="F225" s="30"/>
      <c r="G225" s="66"/>
      <c r="H225" s="130"/>
      <c r="I225" s="84"/>
      <c r="J225" s="17"/>
      <c r="K225" s="133"/>
      <c r="L225" s="135"/>
      <c r="M225" s="19"/>
      <c r="N225" s="131"/>
      <c r="O225" s="30"/>
      <c r="P225" s="29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7.75" customHeight="1">
      <c r="A226" s="29"/>
      <c r="B226" s="29"/>
      <c r="C226" s="29"/>
      <c r="D226" s="29"/>
      <c r="E226" s="29"/>
      <c r="F226" s="30"/>
      <c r="G226" s="66"/>
      <c r="H226" s="130"/>
      <c r="I226" s="84"/>
      <c r="J226" s="17"/>
      <c r="K226" s="133"/>
      <c r="L226" s="135"/>
      <c r="M226" s="19"/>
      <c r="N226" s="131"/>
      <c r="O226" s="30"/>
      <c r="P226" s="29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7.75" customHeight="1">
      <c r="A227" s="29"/>
      <c r="B227" s="29"/>
      <c r="C227" s="29"/>
      <c r="D227" s="29"/>
      <c r="E227" s="29"/>
      <c r="F227" s="30"/>
      <c r="G227" s="66"/>
      <c r="H227" s="130"/>
      <c r="I227" s="84"/>
      <c r="J227" s="17"/>
      <c r="K227" s="133"/>
      <c r="L227" s="135"/>
      <c r="M227" s="19"/>
      <c r="N227" s="131"/>
      <c r="O227" s="30"/>
      <c r="P227" s="29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7.75" customHeight="1">
      <c r="A228" s="29"/>
      <c r="B228" s="29"/>
      <c r="C228" s="29"/>
      <c r="D228" s="29"/>
      <c r="E228" s="29"/>
      <c r="F228" s="30"/>
      <c r="G228" s="66"/>
      <c r="H228" s="130"/>
      <c r="I228" s="84"/>
      <c r="J228" s="17"/>
      <c r="K228" s="133"/>
      <c r="L228" s="135"/>
      <c r="M228" s="19"/>
      <c r="N228" s="131"/>
      <c r="O228" s="30"/>
      <c r="P228" s="29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7.75" customHeight="1">
      <c r="A229" s="29"/>
      <c r="B229" s="29"/>
      <c r="C229" s="29"/>
      <c r="D229" s="29"/>
      <c r="E229" s="29"/>
      <c r="F229" s="30"/>
      <c r="G229" s="66"/>
      <c r="H229" s="130"/>
      <c r="I229" s="84"/>
      <c r="J229" s="17"/>
      <c r="K229" s="133"/>
      <c r="L229" s="135"/>
      <c r="M229" s="19"/>
      <c r="N229" s="131"/>
      <c r="O229" s="30"/>
      <c r="P229" s="29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75" customHeight="1">
      <c r="A230" s="29"/>
      <c r="B230" s="29"/>
      <c r="C230" s="29"/>
      <c r="D230" s="29"/>
      <c r="E230" s="29"/>
      <c r="F230" s="30"/>
      <c r="G230" s="66"/>
      <c r="H230" s="130"/>
      <c r="I230" s="84"/>
      <c r="J230" s="17"/>
      <c r="K230" s="133"/>
      <c r="L230" s="135"/>
      <c r="M230" s="19"/>
      <c r="N230" s="131"/>
      <c r="O230" s="30"/>
      <c r="P230" s="29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7.75" customHeight="1">
      <c r="A231" s="29"/>
      <c r="B231" s="29"/>
      <c r="C231" s="29"/>
      <c r="D231" s="29"/>
      <c r="E231" s="29"/>
      <c r="F231" s="30"/>
      <c r="G231" s="66"/>
      <c r="H231" s="130"/>
      <c r="I231" s="84"/>
      <c r="J231" s="17"/>
      <c r="K231" s="133"/>
      <c r="L231" s="135"/>
      <c r="M231" s="19"/>
      <c r="N231" s="131"/>
      <c r="O231" s="30"/>
      <c r="P231" s="29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7.75" customHeight="1">
      <c r="A232" s="29"/>
      <c r="B232" s="29"/>
      <c r="C232" s="29"/>
      <c r="D232" s="29"/>
      <c r="E232" s="29"/>
      <c r="F232" s="30"/>
      <c r="G232" s="66"/>
      <c r="H232" s="130"/>
      <c r="I232" s="84"/>
      <c r="J232" s="17"/>
      <c r="K232" s="133"/>
      <c r="L232" s="135"/>
      <c r="M232" s="19"/>
      <c r="N232" s="131"/>
      <c r="O232" s="30"/>
      <c r="P232" s="29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7.75" customHeight="1">
      <c r="A233" s="29"/>
      <c r="B233" s="29"/>
      <c r="C233" s="29"/>
      <c r="D233" s="29"/>
      <c r="E233" s="29"/>
      <c r="F233" s="30"/>
      <c r="G233" s="66"/>
      <c r="H233" s="130"/>
      <c r="I233" s="84"/>
      <c r="J233" s="17"/>
      <c r="K233" s="133"/>
      <c r="L233" s="135"/>
      <c r="M233" s="19"/>
      <c r="N233" s="131"/>
      <c r="O233" s="30"/>
      <c r="P233" s="29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7.75" customHeight="1">
      <c r="A234" s="29"/>
      <c r="B234" s="29"/>
      <c r="C234" s="29"/>
      <c r="D234" s="29"/>
      <c r="E234" s="29"/>
      <c r="F234" s="30"/>
      <c r="G234" s="66"/>
      <c r="H234" s="130"/>
      <c r="I234" s="84"/>
      <c r="J234" s="17"/>
      <c r="K234" s="133"/>
      <c r="L234" s="135"/>
      <c r="M234" s="19"/>
      <c r="N234" s="131"/>
      <c r="O234" s="30"/>
      <c r="P234" s="29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7.75" customHeight="1">
      <c r="A235" s="29"/>
      <c r="B235" s="29"/>
      <c r="C235" s="29"/>
      <c r="D235" s="29"/>
      <c r="E235" s="29"/>
      <c r="F235" s="30"/>
      <c r="G235" s="66"/>
      <c r="H235" s="130"/>
      <c r="I235" s="84"/>
      <c r="J235" s="17"/>
      <c r="K235" s="133"/>
      <c r="L235" s="135"/>
      <c r="M235" s="19"/>
      <c r="N235" s="131"/>
      <c r="O235" s="30"/>
      <c r="P235" s="29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7.75" customHeight="1">
      <c r="A236" s="29"/>
      <c r="B236" s="29"/>
      <c r="C236" s="29"/>
      <c r="D236" s="29"/>
      <c r="E236" s="29"/>
      <c r="F236" s="30"/>
      <c r="G236" s="66"/>
      <c r="H236" s="130"/>
      <c r="I236" s="84"/>
      <c r="J236" s="17"/>
      <c r="K236" s="133"/>
      <c r="L236" s="135"/>
      <c r="M236" s="19"/>
      <c r="N236" s="131"/>
      <c r="O236" s="30"/>
      <c r="P236" s="29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75" customHeight="1">
      <c r="A237" s="29"/>
      <c r="B237" s="29"/>
      <c r="C237" s="29"/>
      <c r="D237" s="29"/>
      <c r="E237" s="29"/>
      <c r="F237" s="30"/>
      <c r="G237" s="66"/>
      <c r="H237" s="130"/>
      <c r="I237" s="84"/>
      <c r="J237" s="17"/>
      <c r="K237" s="133"/>
      <c r="L237" s="135"/>
      <c r="M237" s="19"/>
      <c r="N237" s="131"/>
      <c r="O237" s="30"/>
      <c r="P237" s="29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7.75" customHeight="1">
      <c r="A238" s="29"/>
      <c r="B238" s="29"/>
      <c r="C238" s="29"/>
      <c r="D238" s="29"/>
      <c r="E238" s="29"/>
      <c r="F238" s="30"/>
      <c r="G238" s="66"/>
      <c r="H238" s="130"/>
      <c r="I238" s="84"/>
      <c r="J238" s="17"/>
      <c r="K238" s="133"/>
      <c r="L238" s="135"/>
      <c r="M238" s="19"/>
      <c r="N238" s="131"/>
      <c r="O238" s="30"/>
      <c r="P238" s="29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7.75" customHeight="1">
      <c r="A239" s="29"/>
      <c r="B239" s="29"/>
      <c r="C239" s="29"/>
      <c r="D239" s="29"/>
      <c r="E239" s="29"/>
      <c r="F239" s="30"/>
      <c r="G239" s="66"/>
      <c r="H239" s="130"/>
      <c r="I239" s="84"/>
      <c r="J239" s="17"/>
      <c r="K239" s="133"/>
      <c r="L239" s="135"/>
      <c r="M239" s="19"/>
      <c r="N239" s="131"/>
      <c r="O239" s="30"/>
      <c r="P239" s="29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7.75" customHeight="1">
      <c r="A240" s="29"/>
      <c r="B240" s="29"/>
      <c r="C240" s="29"/>
      <c r="D240" s="29"/>
      <c r="E240" s="29"/>
      <c r="F240" s="30"/>
      <c r="G240" s="66"/>
      <c r="H240" s="130"/>
      <c r="I240" s="84"/>
      <c r="J240" s="17"/>
      <c r="K240" s="133"/>
      <c r="L240" s="135"/>
      <c r="M240" s="19"/>
      <c r="N240" s="131"/>
      <c r="O240" s="30"/>
      <c r="P240" s="29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7.75" customHeight="1">
      <c r="A241" s="29"/>
      <c r="B241" s="29"/>
      <c r="C241" s="29"/>
      <c r="D241" s="29"/>
      <c r="E241" s="29"/>
      <c r="F241" s="30"/>
      <c r="G241" s="66"/>
      <c r="H241" s="130"/>
      <c r="I241" s="84"/>
      <c r="J241" s="17"/>
      <c r="K241" s="133"/>
      <c r="L241" s="135"/>
      <c r="M241" s="19"/>
      <c r="N241" s="131"/>
      <c r="O241" s="30"/>
      <c r="P241" s="29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133"/>
      <c r="L242" s="135"/>
      <c r="M242" s="19"/>
      <c r="N242" s="131"/>
      <c r="O242" s="30"/>
      <c r="P242" s="29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133"/>
      <c r="L243" s="135"/>
      <c r="M243" s="19"/>
      <c r="N243" s="131"/>
      <c r="O243" s="30"/>
      <c r="P243" s="29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133"/>
      <c r="L244" s="135"/>
      <c r="M244" s="19"/>
      <c r="N244" s="131"/>
      <c r="O244" s="30"/>
      <c r="P244" s="29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133"/>
      <c r="L245" s="135"/>
      <c r="M245" s="19"/>
      <c r="N245" s="131"/>
      <c r="O245" s="30"/>
      <c r="P245" s="29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133"/>
      <c r="L246" s="135"/>
      <c r="M246" s="19"/>
      <c r="N246" s="131"/>
      <c r="O246" s="30"/>
      <c r="P246" s="29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133"/>
      <c r="L247" s="135"/>
      <c r="M247" s="19"/>
      <c r="N247" s="131"/>
      <c r="O247" s="30"/>
      <c r="P247" s="29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133"/>
      <c r="L248" s="135"/>
      <c r="M248" s="19"/>
      <c r="N248" s="131"/>
      <c r="O248" s="30"/>
      <c r="P248" s="29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133"/>
      <c r="L249" s="135"/>
      <c r="M249" s="19"/>
      <c r="N249" s="131"/>
      <c r="O249" s="30"/>
      <c r="P249" s="29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133"/>
      <c r="L250" s="135"/>
      <c r="M250" s="19"/>
      <c r="N250" s="131"/>
      <c r="O250" s="30"/>
      <c r="P250" s="29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133"/>
      <c r="L251" s="135"/>
      <c r="M251" s="19"/>
      <c r="N251" s="131"/>
      <c r="O251" s="30"/>
      <c r="P251" s="29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133"/>
      <c r="L252" s="135"/>
      <c r="M252" s="19"/>
      <c r="N252" s="131"/>
      <c r="O252" s="30"/>
      <c r="P252" s="29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133"/>
      <c r="L253" s="135"/>
      <c r="M253" s="19"/>
      <c r="N253" s="131"/>
      <c r="O253" s="30"/>
      <c r="P253" s="29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133"/>
      <c r="L254" s="135"/>
      <c r="M254" s="19"/>
      <c r="N254" s="131"/>
      <c r="O254" s="30"/>
      <c r="P254" s="29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133"/>
      <c r="L255" s="135"/>
      <c r="M255" s="19"/>
      <c r="N255" s="131"/>
      <c r="O255" s="30"/>
      <c r="P255" s="29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133"/>
      <c r="L256" s="135"/>
      <c r="M256" s="19"/>
      <c r="N256" s="131"/>
      <c r="O256" s="30"/>
      <c r="P256" s="29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133"/>
      <c r="L257" s="135"/>
      <c r="M257" s="19"/>
      <c r="N257" s="131"/>
      <c r="O257" s="30"/>
      <c r="P257" s="29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133"/>
      <c r="L258" s="135"/>
      <c r="M258" s="19"/>
      <c r="N258" s="131"/>
      <c r="O258" s="30"/>
      <c r="P258" s="29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133"/>
      <c r="L259" s="135"/>
      <c r="M259" s="19"/>
      <c r="N259" s="131"/>
      <c r="O259" s="30"/>
      <c r="P259" s="29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133"/>
      <c r="L260" s="135"/>
      <c r="M260" s="19"/>
      <c r="N260" s="131"/>
      <c r="O260" s="30"/>
      <c r="P260" s="29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133"/>
      <c r="L261" s="135"/>
      <c r="M261" s="19"/>
      <c r="N261" s="131"/>
      <c r="O261" s="30"/>
      <c r="P261" s="29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133"/>
      <c r="L262" s="135"/>
      <c r="M262" s="19"/>
      <c r="N262" s="131"/>
      <c r="O262" s="30"/>
      <c r="P262" s="29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133"/>
      <c r="L263" s="135"/>
      <c r="M263" s="19"/>
      <c r="N263" s="131"/>
      <c r="O263" s="30"/>
      <c r="P263" s="2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133"/>
      <c r="L264" s="135"/>
      <c r="M264" s="19"/>
      <c r="N264" s="131"/>
      <c r="O264" s="30"/>
      <c r="P264" s="29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133"/>
      <c r="L265" s="135"/>
      <c r="M265" s="19"/>
      <c r="N265" s="131"/>
      <c r="O265" s="30"/>
      <c r="P265" s="29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133"/>
      <c r="L266" s="135"/>
      <c r="M266" s="19"/>
      <c r="N266" s="131"/>
      <c r="O266" s="30"/>
      <c r="P266" s="29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133"/>
      <c r="L267" s="135"/>
      <c r="M267" s="19"/>
      <c r="N267" s="131"/>
      <c r="O267" s="30"/>
      <c r="P267" s="29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133"/>
      <c r="L268" s="135"/>
      <c r="M268" s="19"/>
      <c r="N268" s="131"/>
      <c r="O268" s="30"/>
      <c r="P268" s="29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133"/>
      <c r="L269" s="135"/>
      <c r="M269" s="19"/>
      <c r="N269" s="131"/>
      <c r="O269" s="30"/>
      <c r="P269" s="29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133"/>
      <c r="L270" s="135"/>
      <c r="M270" s="19"/>
      <c r="N270" s="131"/>
      <c r="O270" s="30"/>
      <c r="P270" s="29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133"/>
      <c r="L271" s="135"/>
      <c r="M271" s="19"/>
      <c r="N271" s="131"/>
      <c r="O271" s="30"/>
      <c r="P271" s="29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133"/>
      <c r="L272" s="135"/>
      <c r="M272" s="19"/>
      <c r="N272" s="131"/>
      <c r="O272" s="30"/>
      <c r="P272" s="29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133"/>
      <c r="L273" s="135"/>
      <c r="M273" s="19"/>
      <c r="N273" s="131"/>
      <c r="O273" s="30"/>
      <c r="P273" s="29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133"/>
      <c r="L274" s="135"/>
      <c r="M274" s="19"/>
      <c r="N274" s="131"/>
      <c r="O274" s="30"/>
      <c r="P274" s="29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133"/>
      <c r="L275" s="135"/>
      <c r="M275" s="19"/>
      <c r="N275" s="131"/>
      <c r="O275" s="30"/>
      <c r="P275" s="29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133"/>
      <c r="L276" s="135"/>
      <c r="M276" s="19"/>
      <c r="N276" s="131"/>
      <c r="O276" s="30"/>
      <c r="P276" s="29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133"/>
      <c r="L277" s="135"/>
      <c r="M277" s="19"/>
      <c r="N277" s="131"/>
      <c r="O277" s="30"/>
      <c r="P277" s="29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133"/>
      <c r="L278" s="135"/>
      <c r="M278" s="19"/>
      <c r="N278" s="131"/>
      <c r="O278" s="30"/>
      <c r="P278" s="29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133"/>
      <c r="L279" s="135"/>
      <c r="M279" s="19"/>
      <c r="N279" s="131"/>
      <c r="O279" s="30"/>
      <c r="P279" s="29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133"/>
      <c r="L280" s="135"/>
      <c r="M280" s="19"/>
      <c r="N280" s="131"/>
      <c r="O280" s="30"/>
      <c r="P280" s="29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133"/>
      <c r="L281" s="135"/>
      <c r="M281" s="19"/>
      <c r="N281" s="131"/>
      <c r="O281" s="30"/>
      <c r="P281" s="29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133"/>
      <c r="L282" s="135"/>
      <c r="M282" s="19"/>
      <c r="N282" s="131"/>
      <c r="O282" s="30"/>
      <c r="P282" s="29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133"/>
      <c r="L283" s="135"/>
      <c r="M283" s="19"/>
      <c r="N283" s="131"/>
      <c r="O283" s="30"/>
      <c r="P283" s="29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133"/>
      <c r="L284" s="135"/>
      <c r="M284" s="19"/>
      <c r="N284" s="131"/>
      <c r="O284" s="30"/>
      <c r="P284" s="29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133"/>
      <c r="L285" s="135"/>
      <c r="M285" s="19"/>
      <c r="N285" s="131"/>
      <c r="O285" s="30"/>
      <c r="P285" s="29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133"/>
      <c r="L286" s="135"/>
      <c r="M286" s="19"/>
      <c r="N286" s="131"/>
      <c r="O286" s="30"/>
      <c r="P286" s="29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133"/>
      <c r="L287" s="135"/>
      <c r="M287" s="19"/>
      <c r="N287" s="131"/>
      <c r="O287" s="30"/>
      <c r="P287" s="29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133"/>
      <c r="L288" s="135"/>
      <c r="M288" s="19"/>
      <c r="N288" s="131"/>
      <c r="O288" s="30"/>
      <c r="P288" s="29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133"/>
      <c r="L289" s="135"/>
      <c r="M289" s="19"/>
      <c r="N289" s="131"/>
      <c r="O289" s="30"/>
      <c r="P289" s="29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133"/>
      <c r="L290" s="135"/>
      <c r="M290" s="19"/>
      <c r="N290" s="131"/>
      <c r="O290" s="30"/>
      <c r="P290" s="29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133"/>
      <c r="L291" s="135"/>
      <c r="M291" s="19"/>
      <c r="N291" s="131"/>
      <c r="O291" s="30"/>
      <c r="P291" s="29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133"/>
      <c r="L292" s="135"/>
      <c r="M292" s="19"/>
      <c r="N292" s="131"/>
      <c r="O292" s="30"/>
      <c r="P292" s="29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133"/>
      <c r="L293" s="135"/>
      <c r="M293" s="19"/>
      <c r="N293" s="131"/>
      <c r="O293" s="30"/>
      <c r="P293" s="29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133"/>
      <c r="L294" s="135"/>
      <c r="M294" s="19"/>
      <c r="N294" s="131"/>
      <c r="O294" s="30"/>
      <c r="P294" s="29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133"/>
      <c r="L295" s="135"/>
      <c r="M295" s="19"/>
      <c r="N295" s="131"/>
      <c r="O295" s="30"/>
      <c r="P295" s="29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133"/>
      <c r="L296" s="135"/>
      <c r="M296" s="19"/>
      <c r="N296" s="131"/>
      <c r="O296" s="30"/>
      <c r="P296" s="29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133"/>
      <c r="L297" s="135"/>
      <c r="M297" s="19"/>
      <c r="N297" s="131"/>
      <c r="O297" s="30"/>
      <c r="P297" s="29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133"/>
      <c r="L298" s="135"/>
      <c r="M298" s="19"/>
      <c r="N298" s="131"/>
      <c r="O298" s="30"/>
      <c r="P298" s="29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133"/>
      <c r="L299" s="135"/>
      <c r="M299" s="19"/>
      <c r="N299" s="131"/>
      <c r="O299" s="30"/>
      <c r="P299" s="29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133"/>
      <c r="L300" s="135"/>
      <c r="M300" s="19"/>
      <c r="N300" s="131"/>
      <c r="O300" s="30"/>
      <c r="P300" s="29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133"/>
      <c r="L301" s="135"/>
      <c r="M301" s="19"/>
      <c r="N301" s="131"/>
      <c r="O301" s="30"/>
      <c r="P301" s="29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133"/>
      <c r="L302" s="135"/>
      <c r="M302" s="19"/>
      <c r="N302" s="131"/>
      <c r="O302" s="30"/>
      <c r="P302" s="29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133"/>
      <c r="L303" s="135"/>
      <c r="M303" s="19"/>
      <c r="N303" s="131"/>
      <c r="O303" s="30"/>
      <c r="P303" s="29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133"/>
      <c r="L304" s="135"/>
      <c r="M304" s="19"/>
      <c r="N304" s="131"/>
      <c r="O304" s="30"/>
      <c r="P304" s="29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133"/>
      <c r="L305" s="135"/>
      <c r="M305" s="19"/>
      <c r="N305" s="131"/>
      <c r="O305" s="30"/>
      <c r="P305" s="29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133"/>
      <c r="L306" s="135"/>
      <c r="M306" s="19"/>
      <c r="N306" s="131"/>
      <c r="O306" s="30"/>
      <c r="P306" s="29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133"/>
      <c r="L307" s="135"/>
      <c r="M307" s="19"/>
      <c r="N307" s="131"/>
      <c r="O307" s="30"/>
      <c r="P307" s="29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133"/>
      <c r="L308" s="135"/>
      <c r="M308" s="19"/>
      <c r="N308" s="131"/>
      <c r="O308" s="30"/>
      <c r="P308" s="29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133"/>
      <c r="L309" s="135"/>
      <c r="M309" s="19"/>
      <c r="N309" s="131"/>
      <c r="O309" s="30"/>
      <c r="P309" s="29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133"/>
      <c r="L310" s="135"/>
      <c r="M310" s="19"/>
      <c r="N310" s="131"/>
      <c r="O310" s="30"/>
      <c r="P310" s="29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133"/>
      <c r="L311" s="135"/>
      <c r="M311" s="19"/>
      <c r="N311" s="131"/>
      <c r="O311" s="30"/>
      <c r="P311" s="29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133"/>
      <c r="L312" s="135"/>
      <c r="M312" s="19"/>
      <c r="N312" s="131"/>
      <c r="O312" s="30"/>
      <c r="P312" s="29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133"/>
      <c r="L313" s="135"/>
      <c r="M313" s="19"/>
      <c r="N313" s="131"/>
      <c r="O313" s="30"/>
      <c r="P313" s="29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133"/>
      <c r="L314" s="135"/>
      <c r="M314" s="19"/>
      <c r="N314" s="131"/>
      <c r="O314" s="30"/>
      <c r="P314" s="29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133"/>
      <c r="L315" s="135"/>
      <c r="M315" s="19"/>
      <c r="N315" s="131"/>
      <c r="O315" s="30"/>
      <c r="P315" s="29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133"/>
      <c r="L316" s="135"/>
      <c r="M316" s="19"/>
      <c r="N316" s="131"/>
      <c r="O316" s="30"/>
      <c r="P316" s="29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133"/>
      <c r="L317" s="135"/>
      <c r="M317" s="19"/>
      <c r="N317" s="131"/>
      <c r="O317" s="30"/>
      <c r="P317" s="29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133"/>
      <c r="L318" s="135"/>
      <c r="M318" s="19"/>
      <c r="N318" s="131"/>
      <c r="O318" s="30"/>
      <c r="P318" s="29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133"/>
      <c r="L319" s="135"/>
      <c r="M319" s="19"/>
      <c r="N319" s="131"/>
      <c r="O319" s="30"/>
      <c r="P319" s="29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133"/>
      <c r="L320" s="135"/>
      <c r="M320" s="19"/>
      <c r="N320" s="131"/>
      <c r="O320" s="30"/>
      <c r="P320" s="29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133"/>
      <c r="L321" s="135"/>
      <c r="M321" s="19"/>
      <c r="N321" s="131"/>
      <c r="O321" s="30"/>
      <c r="P321" s="29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133"/>
      <c r="L322" s="135"/>
      <c r="M322" s="19"/>
      <c r="N322" s="131"/>
      <c r="O322" s="30"/>
      <c r="P322" s="29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133"/>
      <c r="L323" s="135"/>
      <c r="M323" s="19"/>
      <c r="N323" s="131"/>
      <c r="O323" s="30"/>
      <c r="P323" s="29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133"/>
      <c r="L324" s="135"/>
      <c r="M324" s="19"/>
      <c r="N324" s="131"/>
      <c r="O324" s="30"/>
      <c r="P324" s="29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133"/>
      <c r="L325" s="135"/>
      <c r="M325" s="19"/>
      <c r="N325" s="131"/>
      <c r="O325" s="30"/>
      <c r="P325" s="29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133"/>
      <c r="L326" s="135"/>
      <c r="M326" s="19"/>
      <c r="N326" s="131"/>
      <c r="O326" s="30"/>
      <c r="P326" s="29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133"/>
      <c r="L327" s="135"/>
      <c r="M327" s="19"/>
      <c r="N327" s="131"/>
      <c r="O327" s="30"/>
      <c r="P327" s="29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133"/>
      <c r="L328" s="135"/>
      <c r="M328" s="19"/>
      <c r="N328" s="131"/>
      <c r="O328" s="30"/>
      <c r="P328" s="29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133"/>
      <c r="L329" s="135"/>
      <c r="M329" s="19"/>
      <c r="N329" s="131"/>
      <c r="O329" s="30"/>
      <c r="P329" s="29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133"/>
      <c r="L330" s="135"/>
      <c r="M330" s="19"/>
      <c r="N330" s="131"/>
      <c r="O330" s="30"/>
      <c r="P330" s="29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133"/>
      <c r="L331" s="135"/>
      <c r="M331" s="19"/>
      <c r="N331" s="131"/>
      <c r="O331" s="30"/>
      <c r="P331" s="29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133"/>
      <c r="L332" s="135"/>
      <c r="M332" s="19"/>
      <c r="N332" s="131"/>
      <c r="O332" s="30"/>
      <c r="P332" s="29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133"/>
      <c r="L333" s="135"/>
      <c r="M333" s="19"/>
      <c r="N333" s="131"/>
      <c r="O333" s="30"/>
      <c r="P333" s="29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133"/>
      <c r="L334" s="135"/>
      <c r="M334" s="19"/>
      <c r="N334" s="131"/>
      <c r="O334" s="30"/>
      <c r="P334" s="29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133"/>
      <c r="L335" s="135"/>
      <c r="M335" s="19"/>
      <c r="N335" s="131"/>
      <c r="O335" s="30"/>
      <c r="P335" s="29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133"/>
      <c r="L336" s="135"/>
      <c r="M336" s="19"/>
      <c r="N336" s="131"/>
      <c r="O336" s="30"/>
      <c r="P336" s="29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133"/>
      <c r="L337" s="135"/>
      <c r="M337" s="19"/>
      <c r="N337" s="131"/>
      <c r="O337" s="30"/>
      <c r="P337" s="29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133"/>
      <c r="L338" s="135"/>
      <c r="M338" s="19"/>
      <c r="N338" s="131"/>
      <c r="O338" s="30"/>
      <c r="P338" s="29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133"/>
      <c r="L339" s="135"/>
      <c r="M339" s="19"/>
      <c r="N339" s="131"/>
      <c r="O339" s="30"/>
      <c r="P339" s="29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133"/>
      <c r="L340" s="135"/>
      <c r="M340" s="19"/>
      <c r="N340" s="131"/>
      <c r="O340" s="30"/>
      <c r="P340" s="29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133"/>
      <c r="L341" s="135"/>
      <c r="M341" s="19"/>
      <c r="N341" s="131"/>
      <c r="O341" s="30"/>
      <c r="P341" s="29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133"/>
      <c r="L342" s="135"/>
      <c r="M342" s="19"/>
      <c r="N342" s="131"/>
      <c r="O342" s="30"/>
      <c r="P342" s="29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133"/>
      <c r="L343" s="135"/>
      <c r="M343" s="19"/>
      <c r="N343" s="131"/>
      <c r="O343" s="30"/>
      <c r="P343" s="29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133"/>
      <c r="L344" s="135"/>
      <c r="M344" s="19"/>
      <c r="N344" s="131"/>
      <c r="O344" s="30"/>
      <c r="P344" s="29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133"/>
      <c r="L345" s="135"/>
      <c r="M345" s="19"/>
      <c r="N345" s="131"/>
      <c r="O345" s="30"/>
      <c r="P345" s="29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133"/>
      <c r="L346" s="135"/>
      <c r="M346" s="19"/>
      <c r="N346" s="131"/>
      <c r="O346" s="30"/>
      <c r="P346" s="29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133"/>
      <c r="L347" s="135"/>
      <c r="M347" s="19"/>
      <c r="N347" s="131"/>
      <c r="O347" s="30"/>
      <c r="P347" s="29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133"/>
      <c r="L348" s="135"/>
      <c r="M348" s="19"/>
      <c r="N348" s="131"/>
      <c r="O348" s="30"/>
      <c r="P348" s="29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133"/>
      <c r="L349" s="135"/>
      <c r="M349" s="19"/>
      <c r="N349" s="131"/>
      <c r="O349" s="30"/>
      <c r="P349" s="29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133"/>
      <c r="L350" s="135"/>
      <c r="M350" s="19"/>
      <c r="N350" s="131"/>
      <c r="O350" s="30"/>
      <c r="P350" s="29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133"/>
      <c r="L351" s="135"/>
      <c r="M351" s="19"/>
      <c r="N351" s="131"/>
      <c r="O351" s="30"/>
      <c r="P351" s="29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133"/>
      <c r="L352" s="135"/>
      <c r="M352" s="19"/>
      <c r="N352" s="131"/>
      <c r="O352" s="30"/>
      <c r="P352" s="29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133"/>
      <c r="L353" s="135"/>
      <c r="M353" s="19"/>
      <c r="N353" s="131"/>
      <c r="O353" s="30"/>
      <c r="P353" s="29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133"/>
      <c r="L354" s="135"/>
      <c r="M354" s="19"/>
      <c r="N354" s="131"/>
      <c r="O354" s="30"/>
      <c r="P354" s="29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133"/>
      <c r="L355" s="135"/>
      <c r="M355" s="19"/>
      <c r="N355" s="131"/>
      <c r="O355" s="30"/>
      <c r="P355" s="29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133"/>
      <c r="L356" s="135"/>
      <c r="M356" s="19"/>
      <c r="N356" s="131"/>
      <c r="O356" s="30"/>
      <c r="P356" s="29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133"/>
      <c r="L357" s="135"/>
      <c r="M357" s="19"/>
      <c r="N357" s="131"/>
      <c r="O357" s="30"/>
      <c r="P357" s="29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133"/>
      <c r="L358" s="135"/>
      <c r="M358" s="19"/>
      <c r="N358" s="131"/>
      <c r="O358" s="30"/>
      <c r="P358" s="29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133"/>
      <c r="L359" s="135"/>
      <c r="M359" s="19"/>
      <c r="N359" s="131"/>
      <c r="O359" s="30"/>
      <c r="P359" s="29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133"/>
      <c r="L360" s="135"/>
      <c r="M360" s="19"/>
      <c r="N360" s="131"/>
      <c r="O360" s="30"/>
      <c r="P360" s="29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133"/>
      <c r="L361" s="135"/>
      <c r="M361" s="19"/>
      <c r="N361" s="131"/>
      <c r="O361" s="30"/>
      <c r="P361" s="29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133"/>
      <c r="L362" s="135"/>
      <c r="M362" s="19"/>
      <c r="N362" s="131"/>
      <c r="O362" s="30"/>
      <c r="P362" s="29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133"/>
      <c r="L363" s="135"/>
      <c r="M363" s="19"/>
      <c r="N363" s="131"/>
      <c r="O363" s="30"/>
      <c r="P363" s="29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133"/>
      <c r="L364" s="135"/>
      <c r="M364" s="19"/>
      <c r="N364" s="131"/>
      <c r="O364" s="30"/>
      <c r="P364" s="29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133"/>
      <c r="L365" s="135"/>
      <c r="M365" s="19"/>
      <c r="N365" s="131"/>
      <c r="O365" s="30"/>
      <c r="P365" s="29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133"/>
      <c r="L366" s="135"/>
      <c r="M366" s="19"/>
      <c r="N366" s="131"/>
      <c r="O366" s="30"/>
      <c r="P366" s="29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133"/>
      <c r="L367" s="135"/>
      <c r="M367" s="19"/>
      <c r="N367" s="131"/>
      <c r="O367" s="30"/>
      <c r="P367" s="29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133"/>
      <c r="L368" s="135"/>
      <c r="M368" s="19"/>
      <c r="N368" s="131"/>
      <c r="O368" s="30"/>
      <c r="P368" s="29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133"/>
      <c r="L369" s="135"/>
      <c r="M369" s="19"/>
      <c r="N369" s="131"/>
      <c r="O369" s="30"/>
      <c r="P369" s="29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133"/>
      <c r="L370" s="135"/>
      <c r="M370" s="19"/>
      <c r="N370" s="131"/>
      <c r="O370" s="30"/>
      <c r="P370" s="29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133"/>
      <c r="L371" s="135"/>
      <c r="M371" s="19"/>
      <c r="N371" s="131"/>
      <c r="O371" s="30"/>
      <c r="P371" s="29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133"/>
      <c r="L372" s="135"/>
      <c r="M372" s="19"/>
      <c r="N372" s="131"/>
      <c r="O372" s="30"/>
      <c r="P372" s="29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133"/>
      <c r="L373" s="135"/>
      <c r="M373" s="19"/>
      <c r="N373" s="131"/>
      <c r="O373" s="30"/>
      <c r="P373" s="29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133"/>
      <c r="L374" s="135"/>
      <c r="M374" s="19"/>
      <c r="N374" s="131"/>
      <c r="O374" s="30"/>
      <c r="P374" s="29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133"/>
      <c r="L375" s="135"/>
      <c r="M375" s="19"/>
      <c r="N375" s="131"/>
      <c r="O375" s="30"/>
      <c r="P375" s="29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133"/>
      <c r="L376" s="135"/>
      <c r="M376" s="19"/>
      <c r="N376" s="131"/>
      <c r="O376" s="30"/>
      <c r="P376" s="29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133"/>
      <c r="L377" s="135"/>
      <c r="M377" s="19"/>
      <c r="N377" s="131"/>
      <c r="O377" s="30"/>
      <c r="P377" s="29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133"/>
      <c r="L378" s="135"/>
      <c r="M378" s="19"/>
      <c r="N378" s="131"/>
      <c r="O378" s="30"/>
      <c r="P378" s="29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133"/>
      <c r="L379" s="135"/>
      <c r="M379" s="19"/>
      <c r="N379" s="131"/>
      <c r="O379" s="30"/>
      <c r="P379" s="29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133"/>
      <c r="L380" s="135"/>
      <c r="M380" s="19"/>
      <c r="N380" s="131"/>
      <c r="O380" s="30"/>
      <c r="P380" s="29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133"/>
      <c r="L381" s="135"/>
      <c r="M381" s="19"/>
      <c r="N381" s="131"/>
      <c r="O381" s="30"/>
      <c r="P381" s="29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133"/>
      <c r="L382" s="135"/>
      <c r="M382" s="19"/>
      <c r="N382" s="131"/>
      <c r="O382" s="30"/>
      <c r="P382" s="29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133"/>
      <c r="L383" s="135"/>
      <c r="M383" s="19"/>
      <c r="N383" s="131"/>
      <c r="O383" s="30"/>
      <c r="P383" s="29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133"/>
      <c r="L384" s="135"/>
      <c r="M384" s="19"/>
      <c r="N384" s="131"/>
      <c r="O384" s="30"/>
      <c r="P384" s="29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133"/>
      <c r="L385" s="135"/>
      <c r="M385" s="19"/>
      <c r="N385" s="131"/>
      <c r="O385" s="30"/>
      <c r="P385" s="29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133"/>
      <c r="L386" s="135"/>
      <c r="M386" s="19"/>
      <c r="N386" s="131"/>
      <c r="O386" s="30"/>
      <c r="P386" s="29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133"/>
      <c r="L387" s="135"/>
      <c r="M387" s="19"/>
      <c r="N387" s="131"/>
      <c r="O387" s="30"/>
      <c r="P387" s="29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133"/>
      <c r="L388" s="135"/>
      <c r="M388" s="19"/>
      <c r="N388" s="131"/>
      <c r="O388" s="30"/>
      <c r="P388" s="29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133"/>
      <c r="L389" s="135"/>
      <c r="M389" s="19"/>
      <c r="N389" s="131"/>
      <c r="O389" s="30"/>
      <c r="P389" s="29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133"/>
      <c r="L390" s="135"/>
      <c r="M390" s="19"/>
      <c r="N390" s="131"/>
      <c r="O390" s="30"/>
      <c r="P390" s="29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133"/>
      <c r="L391" s="135"/>
      <c r="M391" s="19"/>
      <c r="N391" s="131"/>
      <c r="O391" s="30"/>
      <c r="P391" s="29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133"/>
      <c r="L392" s="135"/>
      <c r="M392" s="19"/>
      <c r="N392" s="131"/>
      <c r="O392" s="30"/>
      <c r="P392" s="29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133"/>
      <c r="L393" s="135"/>
      <c r="M393" s="19"/>
      <c r="N393" s="131"/>
      <c r="O393" s="30"/>
      <c r="P393" s="29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133"/>
      <c r="L394" s="135"/>
      <c r="M394" s="19"/>
      <c r="N394" s="131"/>
      <c r="O394" s="30"/>
      <c r="P394" s="29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133"/>
      <c r="L395" s="135"/>
      <c r="M395" s="19"/>
      <c r="N395" s="131"/>
      <c r="O395" s="30"/>
      <c r="P395" s="29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133"/>
      <c r="L396" s="135"/>
      <c r="M396" s="19"/>
      <c r="N396" s="131"/>
      <c r="O396" s="30"/>
      <c r="P396" s="29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133"/>
      <c r="L397" s="135"/>
      <c r="M397" s="19"/>
      <c r="N397" s="131"/>
      <c r="O397" s="30"/>
      <c r="P397" s="29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133"/>
      <c r="L398" s="135"/>
      <c r="M398" s="19"/>
      <c r="N398" s="131"/>
      <c r="O398" s="30"/>
      <c r="P398" s="29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133"/>
      <c r="L399" s="135"/>
      <c r="M399" s="19"/>
      <c r="N399" s="131"/>
      <c r="O399" s="30"/>
      <c r="P399" s="29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133"/>
      <c r="L400" s="135"/>
      <c r="M400" s="19"/>
      <c r="N400" s="131"/>
      <c r="O400" s="30"/>
      <c r="P400" s="29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133"/>
      <c r="L401" s="135"/>
      <c r="M401" s="19"/>
      <c r="N401" s="131"/>
      <c r="O401" s="30"/>
      <c r="P401" s="29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133"/>
      <c r="L402" s="135"/>
      <c r="M402" s="19"/>
      <c r="N402" s="131"/>
      <c r="O402" s="30"/>
      <c r="P402" s="29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133"/>
      <c r="L403" s="135"/>
      <c r="M403" s="19"/>
      <c r="N403" s="131"/>
      <c r="O403" s="30"/>
      <c r="P403" s="29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133"/>
      <c r="L404" s="135"/>
      <c r="M404" s="19"/>
      <c r="N404" s="131"/>
      <c r="O404" s="30"/>
      <c r="P404" s="29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133"/>
      <c r="L405" s="135"/>
      <c r="M405" s="19"/>
      <c r="N405" s="131"/>
      <c r="O405" s="30"/>
      <c r="P405" s="29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133"/>
      <c r="L406" s="135"/>
      <c r="M406" s="19"/>
      <c r="N406" s="131"/>
      <c r="O406" s="30"/>
      <c r="P406" s="29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133"/>
      <c r="L407" s="135"/>
      <c r="M407" s="19"/>
      <c r="N407" s="131"/>
      <c r="O407" s="30"/>
      <c r="P407" s="29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133"/>
      <c r="L408" s="135"/>
      <c r="M408" s="19"/>
      <c r="N408" s="131"/>
      <c r="O408" s="30"/>
      <c r="P408" s="29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133"/>
      <c r="L409" s="135"/>
      <c r="M409" s="19"/>
      <c r="N409" s="131"/>
      <c r="O409" s="30"/>
      <c r="P409" s="29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133"/>
      <c r="L410" s="135"/>
      <c r="M410" s="19"/>
      <c r="N410" s="131"/>
      <c r="O410" s="30"/>
      <c r="P410" s="29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133"/>
      <c r="L411" s="135"/>
      <c r="M411" s="19"/>
      <c r="N411" s="131"/>
      <c r="O411" s="30"/>
      <c r="P411" s="29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133"/>
      <c r="L412" s="135"/>
      <c r="M412" s="19"/>
      <c r="N412" s="131"/>
      <c r="O412" s="30"/>
      <c r="P412" s="29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133"/>
      <c r="L413" s="135"/>
      <c r="M413" s="19"/>
      <c r="N413" s="131"/>
      <c r="O413" s="30"/>
      <c r="P413" s="29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133"/>
      <c r="L414" s="135"/>
      <c r="M414" s="19"/>
      <c r="N414" s="131"/>
      <c r="O414" s="30"/>
      <c r="P414" s="29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133"/>
      <c r="L415" s="135"/>
      <c r="M415" s="19"/>
      <c r="N415" s="131"/>
      <c r="O415" s="30"/>
      <c r="P415" s="29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133"/>
      <c r="L416" s="135"/>
      <c r="M416" s="19"/>
      <c r="N416" s="131"/>
      <c r="O416" s="30"/>
      <c r="P416" s="29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133"/>
      <c r="L417" s="135"/>
      <c r="M417" s="19"/>
      <c r="N417" s="131"/>
      <c r="O417" s="30"/>
      <c r="P417" s="29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5"/>
      <c r="M418" s="19"/>
      <c r="N418" s="131"/>
      <c r="O418" s="30"/>
      <c r="P418" s="29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135"/>
      <c r="M419" s="19"/>
      <c r="N419" s="131"/>
      <c r="O419" s="30"/>
      <c r="P419" s="29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135"/>
      <c r="M420" s="19"/>
      <c r="N420" s="131"/>
      <c r="O420" s="30"/>
      <c r="P420" s="29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135"/>
      <c r="M421" s="19"/>
      <c r="N421" s="131"/>
      <c r="O421" s="30"/>
      <c r="P421" s="29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135"/>
      <c r="M422" s="19"/>
      <c r="N422" s="131"/>
      <c r="O422" s="30"/>
      <c r="P422" s="29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135"/>
      <c r="M423" s="19"/>
      <c r="N423" s="131"/>
      <c r="O423" s="30"/>
      <c r="P423" s="29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135"/>
      <c r="M424" s="19"/>
      <c r="N424" s="131"/>
      <c r="O424" s="30"/>
      <c r="P424" s="29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135"/>
      <c r="M425" s="19"/>
      <c r="N425" s="131"/>
      <c r="O425" s="30"/>
      <c r="P425" s="29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135"/>
      <c r="M426" s="19"/>
      <c r="N426" s="131"/>
      <c r="O426" s="30"/>
      <c r="P426" s="29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135"/>
      <c r="M427" s="19"/>
      <c r="N427" s="131"/>
      <c r="O427" s="30"/>
      <c r="P427" s="29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135"/>
      <c r="M428" s="19"/>
      <c r="N428" s="131"/>
      <c r="O428" s="30"/>
      <c r="P428" s="29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135"/>
      <c r="M429" s="19"/>
      <c r="N429" s="131"/>
      <c r="O429" s="30"/>
      <c r="P429" s="29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135"/>
      <c r="M430" s="19"/>
      <c r="N430" s="131"/>
      <c r="O430" s="30"/>
      <c r="P430" s="29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135"/>
      <c r="M431" s="19"/>
      <c r="N431" s="131"/>
      <c r="O431" s="30"/>
      <c r="P431" s="29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135"/>
      <c r="M432" s="19"/>
      <c r="N432" s="131"/>
      <c r="O432" s="30"/>
      <c r="P432" s="29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135"/>
      <c r="M433" s="19"/>
      <c r="N433" s="131"/>
      <c r="O433" s="30"/>
      <c r="P433" s="29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135"/>
      <c r="M434" s="19"/>
      <c r="N434" s="131"/>
      <c r="O434" s="30"/>
      <c r="P434" s="29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135"/>
      <c r="M435" s="19"/>
      <c r="N435" s="131"/>
      <c r="O435" s="30"/>
      <c r="P435" s="29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135"/>
      <c r="M436" s="19"/>
      <c r="N436" s="131"/>
      <c r="O436" s="30"/>
      <c r="P436" s="29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135"/>
      <c r="M437" s="19"/>
      <c r="N437" s="131"/>
      <c r="O437" s="30"/>
      <c r="P437" s="29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135"/>
      <c r="M438" s="19"/>
      <c r="N438" s="131"/>
      <c r="O438" s="30"/>
      <c r="P438" s="29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135"/>
      <c r="M439" s="19"/>
      <c r="N439" s="131"/>
      <c r="O439" s="30"/>
      <c r="P439" s="29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135"/>
      <c r="M440" s="19"/>
      <c r="N440" s="131"/>
      <c r="O440" s="30"/>
      <c r="P440" s="29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135"/>
      <c r="M441" s="19"/>
      <c r="N441" s="131"/>
      <c r="O441" s="30"/>
      <c r="P441" s="29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135"/>
      <c r="M442" s="19"/>
      <c r="N442" s="131"/>
      <c r="O442" s="30"/>
      <c r="P442" s="29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135"/>
      <c r="M443" s="19"/>
      <c r="N443" s="131"/>
      <c r="O443" s="30"/>
      <c r="P443" s="29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135"/>
      <c r="M444" s="19"/>
      <c r="N444" s="131"/>
      <c r="O444" s="30"/>
      <c r="P444" s="29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135"/>
      <c r="M445" s="19"/>
      <c r="N445" s="131"/>
      <c r="O445" s="30"/>
      <c r="P445" s="29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135"/>
      <c r="M446" s="19"/>
      <c r="N446" s="131"/>
      <c r="O446" s="30"/>
      <c r="P446" s="29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135"/>
      <c r="M447" s="19"/>
      <c r="N447" s="131"/>
      <c r="O447" s="30"/>
      <c r="P447" s="29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135"/>
      <c r="M448" s="19"/>
      <c r="N448" s="131"/>
      <c r="O448" s="30"/>
      <c r="P448" s="29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135"/>
      <c r="M449" s="19"/>
      <c r="N449" s="131"/>
      <c r="O449" s="30"/>
      <c r="P449" s="29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135"/>
      <c r="M450" s="19"/>
      <c r="N450" s="131"/>
      <c r="O450" s="30"/>
      <c r="P450" s="29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135"/>
      <c r="M451" s="19"/>
      <c r="N451" s="131"/>
      <c r="O451" s="30"/>
      <c r="P451" s="29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135"/>
      <c r="M452" s="19"/>
      <c r="N452" s="131"/>
      <c r="O452" s="30"/>
      <c r="P452" s="29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135"/>
      <c r="M453" s="19"/>
      <c r="N453" s="131"/>
      <c r="O453" s="30"/>
      <c r="P453" s="29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135"/>
      <c r="M454" s="19"/>
      <c r="N454" s="131"/>
      <c r="O454" s="30"/>
      <c r="P454" s="29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135"/>
      <c r="M455" s="19"/>
      <c r="N455" s="131"/>
      <c r="O455" s="30"/>
      <c r="P455" s="29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135"/>
      <c r="M456" s="19"/>
      <c r="N456" s="131"/>
      <c r="O456" s="30"/>
      <c r="P456" s="29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135"/>
      <c r="M457" s="19"/>
      <c r="N457" s="131"/>
      <c r="O457" s="30"/>
      <c r="P457" s="29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135"/>
      <c r="M458" s="19"/>
      <c r="N458" s="131"/>
      <c r="O458" s="30"/>
      <c r="P458" s="29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135"/>
      <c r="M459" s="19"/>
      <c r="N459" s="131"/>
      <c r="O459" s="30"/>
      <c r="P459" s="29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135"/>
      <c r="M460" s="19"/>
      <c r="N460" s="131"/>
      <c r="O460" s="30"/>
      <c r="P460" s="29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135"/>
      <c r="M461" s="19"/>
      <c r="N461" s="131"/>
      <c r="O461" s="30"/>
      <c r="P461" s="29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135"/>
      <c r="M462" s="19"/>
      <c r="N462" s="131"/>
      <c r="O462" s="30"/>
      <c r="P462" s="29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135"/>
      <c r="M463" s="19"/>
      <c r="N463" s="131"/>
      <c r="O463" s="30"/>
      <c r="P463" s="29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135"/>
      <c r="M464" s="19"/>
      <c r="N464" s="131"/>
      <c r="O464" s="30"/>
      <c r="P464" s="29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135"/>
      <c r="M465" s="19"/>
      <c r="N465" s="131"/>
      <c r="O465" s="30"/>
      <c r="P465" s="29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135"/>
      <c r="M466" s="19"/>
      <c r="N466" s="131"/>
      <c r="O466" s="30"/>
      <c r="P466" s="29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135"/>
      <c r="M467" s="19"/>
      <c r="N467" s="131"/>
      <c r="O467" s="30"/>
      <c r="P467" s="29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135"/>
      <c r="M468" s="19"/>
      <c r="N468" s="131"/>
      <c r="O468" s="30"/>
      <c r="P468" s="29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135"/>
      <c r="M469" s="19"/>
      <c r="N469" s="131"/>
      <c r="O469" s="30"/>
      <c r="P469" s="29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135"/>
      <c r="M470" s="19"/>
      <c r="N470" s="131"/>
      <c r="O470" s="30"/>
      <c r="P470" s="29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135"/>
      <c r="M471" s="19"/>
      <c r="N471" s="131"/>
      <c r="O471" s="30"/>
      <c r="P471" s="29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135"/>
      <c r="M472" s="19"/>
      <c r="N472" s="131"/>
      <c r="O472" s="30"/>
      <c r="P472" s="29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135"/>
      <c r="M473" s="19"/>
      <c r="N473" s="131"/>
      <c r="O473" s="30"/>
      <c r="P473" s="29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135"/>
      <c r="M474" s="19"/>
      <c r="N474" s="131"/>
      <c r="O474" s="30"/>
      <c r="P474" s="29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135"/>
      <c r="M475" s="19"/>
      <c r="N475" s="131"/>
      <c r="O475" s="30"/>
      <c r="P475" s="29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135"/>
      <c r="M476" s="19"/>
      <c r="N476" s="131"/>
      <c r="O476" s="30"/>
      <c r="P476" s="29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135"/>
      <c r="M477" s="19"/>
      <c r="N477" s="131"/>
      <c r="O477" s="30"/>
      <c r="P477" s="29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135"/>
      <c r="M478" s="19"/>
      <c r="N478" s="131"/>
      <c r="O478" s="30"/>
      <c r="P478" s="29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135"/>
      <c r="M479" s="19"/>
      <c r="N479" s="131"/>
      <c r="O479" s="30"/>
      <c r="P479" s="29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135"/>
      <c r="M480" s="19"/>
      <c r="N480" s="131"/>
      <c r="O480" s="30"/>
      <c r="P480" s="29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135"/>
      <c r="M481" s="19"/>
      <c r="N481" s="131"/>
      <c r="O481" s="30"/>
      <c r="P481" s="29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135"/>
      <c r="M482" s="19"/>
      <c r="N482" s="131"/>
      <c r="O482" s="30"/>
      <c r="P482" s="29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135"/>
      <c r="M483" s="19"/>
      <c r="N483" s="131"/>
      <c r="O483" s="30"/>
      <c r="P483" s="29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135"/>
      <c r="M484" s="19"/>
      <c r="N484" s="131"/>
      <c r="O484" s="30"/>
      <c r="P484" s="29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135"/>
      <c r="M485" s="19"/>
      <c r="N485" s="131"/>
      <c r="O485" s="30"/>
      <c r="P485" s="29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135"/>
      <c r="M486" s="19"/>
      <c r="N486" s="131"/>
      <c r="O486" s="30"/>
      <c r="P486" s="29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135"/>
      <c r="M487" s="19"/>
      <c r="N487" s="131"/>
      <c r="O487" s="30"/>
      <c r="P487" s="29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135"/>
      <c r="M488" s="19"/>
      <c r="N488" s="131"/>
      <c r="O488" s="30"/>
      <c r="P488" s="29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135"/>
      <c r="M489" s="19"/>
      <c r="N489" s="131"/>
      <c r="O489" s="30"/>
      <c r="P489" s="29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135"/>
      <c r="M490" s="19"/>
      <c r="N490" s="131"/>
      <c r="O490" s="30"/>
      <c r="P490" s="29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135"/>
      <c r="M491" s="19"/>
      <c r="N491" s="131"/>
      <c r="O491" s="30"/>
      <c r="P491" s="29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135"/>
      <c r="M492" s="19"/>
      <c r="N492" s="131"/>
      <c r="O492" s="30"/>
      <c r="P492" s="29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135"/>
      <c r="M493" s="19"/>
      <c r="N493" s="131"/>
      <c r="O493" s="30"/>
      <c r="P493" s="29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135"/>
      <c r="M494" s="19"/>
      <c r="N494" s="131"/>
      <c r="O494" s="30"/>
      <c r="P494" s="29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135"/>
      <c r="M495" s="19"/>
      <c r="N495" s="131"/>
      <c r="O495" s="30"/>
      <c r="P495" s="29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135"/>
      <c r="M496" s="19"/>
      <c r="N496" s="131"/>
      <c r="O496" s="30"/>
      <c r="P496" s="29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135"/>
      <c r="M497" s="19"/>
      <c r="N497" s="131"/>
      <c r="O497" s="30"/>
      <c r="P497" s="29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135"/>
      <c r="M498" s="19"/>
      <c r="N498" s="131"/>
      <c r="O498" s="30"/>
      <c r="P498" s="29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135"/>
      <c r="M499" s="19"/>
      <c r="N499" s="131"/>
      <c r="O499" s="30"/>
      <c r="P499" s="29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135"/>
      <c r="M500" s="19"/>
      <c r="N500" s="131"/>
      <c r="O500" s="30"/>
      <c r="P500" s="29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135"/>
      <c r="M501" s="19"/>
      <c r="N501" s="131"/>
      <c r="O501" s="30"/>
      <c r="P501" s="29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135"/>
      <c r="M502" s="19"/>
      <c r="N502" s="131"/>
      <c r="O502" s="30"/>
      <c r="P502" s="29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135"/>
      <c r="M503" s="19"/>
      <c r="N503" s="131"/>
      <c r="O503" s="30"/>
      <c r="P503" s="29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135"/>
      <c r="M504" s="19"/>
      <c r="N504" s="131"/>
      <c r="O504" s="30"/>
      <c r="P504" s="29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135"/>
      <c r="M505" s="19"/>
      <c r="N505" s="131"/>
      <c r="O505" s="30"/>
      <c r="P505" s="29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135"/>
      <c r="M506" s="19"/>
      <c r="N506" s="131"/>
      <c r="O506" s="30"/>
      <c r="P506" s="29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135"/>
      <c r="M507" s="19"/>
      <c r="N507" s="131"/>
      <c r="O507" s="30"/>
      <c r="P507" s="29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135"/>
      <c r="M508" s="19"/>
      <c r="N508" s="131"/>
      <c r="O508" s="30"/>
      <c r="P508" s="29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135"/>
      <c r="M509" s="19"/>
      <c r="N509" s="131"/>
      <c r="O509" s="30"/>
      <c r="P509" s="29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135"/>
      <c r="M510" s="19"/>
      <c r="N510" s="131"/>
      <c r="O510" s="30"/>
      <c r="P510" s="29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135"/>
      <c r="M511" s="19"/>
      <c r="N511" s="131"/>
      <c r="O511" s="30"/>
      <c r="P511" s="29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135"/>
      <c r="M512" s="19"/>
      <c r="N512" s="131"/>
      <c r="O512" s="30"/>
      <c r="P512" s="29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135"/>
      <c r="M513" s="19"/>
      <c r="N513" s="131"/>
      <c r="O513" s="30"/>
      <c r="P513" s="29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135"/>
      <c r="M514" s="19"/>
      <c r="N514" s="131"/>
      <c r="O514" s="30"/>
      <c r="P514" s="29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135"/>
      <c r="M515" s="19"/>
      <c r="N515" s="131"/>
      <c r="O515" s="30"/>
      <c r="P515" s="29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135"/>
      <c r="M516" s="19"/>
      <c r="N516" s="131"/>
      <c r="O516" s="30"/>
      <c r="P516" s="29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135"/>
      <c r="M517" s="19"/>
      <c r="N517" s="131"/>
      <c r="O517" s="30"/>
      <c r="P517" s="29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135"/>
      <c r="M518" s="19"/>
      <c r="N518" s="131"/>
      <c r="O518" s="30"/>
      <c r="P518" s="29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135"/>
      <c r="M519" s="19"/>
      <c r="N519" s="131"/>
      <c r="O519" s="30"/>
      <c r="P519" s="29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135"/>
      <c r="M520" s="19"/>
      <c r="N520" s="131"/>
      <c r="O520" s="30"/>
      <c r="P520" s="29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135"/>
      <c r="M521" s="19"/>
      <c r="N521" s="131"/>
      <c r="O521" s="30"/>
      <c r="P521" s="29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135"/>
      <c r="M522" s="19"/>
      <c r="N522" s="131"/>
      <c r="O522" s="30"/>
      <c r="P522" s="29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135"/>
      <c r="M523" s="19"/>
      <c r="N523" s="131"/>
      <c r="O523" s="30"/>
      <c r="P523" s="29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135"/>
      <c r="M524" s="19"/>
      <c r="N524" s="131"/>
      <c r="O524" s="30"/>
      <c r="P524" s="29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135"/>
      <c r="M525" s="19"/>
      <c r="N525" s="131"/>
      <c r="O525" s="30"/>
      <c r="P525" s="29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135"/>
      <c r="M526" s="19"/>
      <c r="N526" s="131"/>
      <c r="O526" s="30"/>
      <c r="P526" s="29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135"/>
      <c r="M527" s="19"/>
      <c r="N527" s="131"/>
      <c r="O527" s="30"/>
      <c r="P527" s="29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135"/>
      <c r="M528" s="19"/>
      <c r="N528" s="131"/>
      <c r="O528" s="30"/>
      <c r="P528" s="29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135"/>
      <c r="M529" s="19"/>
      <c r="N529" s="131"/>
      <c r="O529" s="30"/>
      <c r="P529" s="29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135"/>
      <c r="M530" s="19"/>
      <c r="N530" s="131"/>
      <c r="O530" s="30"/>
      <c r="P530" s="29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135"/>
      <c r="M531" s="19"/>
      <c r="N531" s="131"/>
      <c r="O531" s="30"/>
      <c r="P531" s="29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135"/>
      <c r="M532" s="19"/>
      <c r="N532" s="131"/>
      <c r="O532" s="30"/>
      <c r="P532" s="29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135"/>
      <c r="M533" s="19"/>
      <c r="N533" s="131"/>
      <c r="O533" s="30"/>
      <c r="P533" s="29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135"/>
      <c r="M534" s="19"/>
      <c r="N534" s="131"/>
      <c r="O534" s="30"/>
      <c r="P534" s="29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135"/>
      <c r="M535" s="19"/>
      <c r="N535" s="131"/>
      <c r="O535" s="30"/>
      <c r="P535" s="29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135"/>
      <c r="M536" s="19"/>
      <c r="N536" s="131"/>
      <c r="O536" s="30"/>
      <c r="P536" s="29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135"/>
      <c r="M537" s="19"/>
      <c r="N537" s="131"/>
      <c r="O537" s="30"/>
      <c r="P537" s="29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135"/>
      <c r="M538" s="19"/>
      <c r="N538" s="131"/>
      <c r="O538" s="30"/>
      <c r="P538" s="29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135"/>
      <c r="M539" s="19"/>
      <c r="N539" s="131"/>
      <c r="O539" s="30"/>
      <c r="P539" s="29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135"/>
      <c r="M540" s="19"/>
      <c r="N540" s="131"/>
      <c r="O540" s="30"/>
      <c r="P540" s="29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135"/>
      <c r="M541" s="19"/>
      <c r="N541" s="131"/>
      <c r="O541" s="30"/>
      <c r="P541" s="29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135"/>
      <c r="M542" s="19"/>
      <c r="N542" s="131"/>
      <c r="O542" s="30"/>
      <c r="P542" s="29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135"/>
      <c r="M543" s="19"/>
      <c r="N543" s="131"/>
      <c r="O543" s="30"/>
      <c r="P543" s="29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135"/>
      <c r="M544" s="19"/>
      <c r="N544" s="131"/>
      <c r="O544" s="30"/>
      <c r="P544" s="29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135"/>
      <c r="M545" s="19"/>
      <c r="N545" s="131"/>
      <c r="O545" s="30"/>
      <c r="P545" s="29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135"/>
      <c r="M546" s="19"/>
      <c r="N546" s="131"/>
      <c r="O546" s="30"/>
      <c r="P546" s="29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135"/>
      <c r="M547" s="19"/>
      <c r="N547" s="131"/>
      <c r="O547" s="30"/>
      <c r="P547" s="29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135"/>
      <c r="M548" s="19"/>
      <c r="N548" s="131"/>
      <c r="O548" s="30"/>
      <c r="P548" s="29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135"/>
      <c r="M549" s="19"/>
      <c r="N549" s="131"/>
      <c r="O549" s="30"/>
      <c r="P549" s="29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135"/>
      <c r="M550" s="19"/>
      <c r="N550" s="131"/>
      <c r="O550" s="30"/>
      <c r="P550" s="29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135"/>
      <c r="M551" s="19"/>
      <c r="N551" s="131"/>
      <c r="O551" s="30"/>
      <c r="P551" s="29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135"/>
      <c r="M552" s="19"/>
      <c r="N552" s="131"/>
      <c r="O552" s="30"/>
      <c r="P552" s="29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135"/>
      <c r="M553" s="19"/>
      <c r="N553" s="131"/>
      <c r="O553" s="30"/>
      <c r="P553" s="29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135"/>
      <c r="M554" s="19"/>
      <c r="N554" s="131"/>
      <c r="O554" s="30"/>
      <c r="P554" s="29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135"/>
      <c r="M555" s="19"/>
      <c r="N555" s="131"/>
      <c r="O555" s="30"/>
      <c r="P555" s="29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135"/>
      <c r="M556" s="19"/>
      <c r="N556" s="131"/>
      <c r="O556" s="30"/>
      <c r="P556" s="29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135"/>
      <c r="M557" s="19"/>
      <c r="N557" s="131"/>
      <c r="O557" s="30"/>
      <c r="P557" s="29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135"/>
      <c r="M558" s="19"/>
      <c r="N558" s="131"/>
      <c r="O558" s="30"/>
      <c r="P558" s="29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135"/>
      <c r="M559" s="19"/>
      <c r="N559" s="131"/>
      <c r="O559" s="30"/>
      <c r="P559" s="29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135"/>
      <c r="M560" s="19"/>
      <c r="N560" s="131"/>
      <c r="O560" s="30"/>
      <c r="P560" s="29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135"/>
      <c r="M561" s="19"/>
      <c r="N561" s="131"/>
      <c r="O561" s="30"/>
      <c r="P561" s="29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135"/>
      <c r="M562" s="19"/>
      <c r="N562" s="131"/>
      <c r="O562" s="30"/>
      <c r="P562" s="29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135"/>
      <c r="M563" s="19"/>
      <c r="N563" s="131"/>
      <c r="O563" s="30"/>
      <c r="P563" s="29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135"/>
      <c r="M564" s="19"/>
      <c r="N564" s="131"/>
      <c r="O564" s="30"/>
      <c r="P564" s="29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135"/>
      <c r="M565" s="19"/>
      <c r="N565" s="131"/>
      <c r="O565" s="30"/>
      <c r="P565" s="29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135"/>
      <c r="M566" s="19"/>
      <c r="N566" s="131"/>
      <c r="O566" s="30"/>
      <c r="P566" s="29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135"/>
      <c r="M567" s="19"/>
      <c r="N567" s="131"/>
      <c r="O567" s="30"/>
      <c r="P567" s="29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135"/>
      <c r="M568" s="19"/>
      <c r="N568" s="131"/>
      <c r="O568" s="30"/>
      <c r="P568" s="29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135"/>
      <c r="M569" s="19"/>
      <c r="N569" s="131"/>
      <c r="O569" s="30"/>
      <c r="P569" s="29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135"/>
      <c r="M570" s="19"/>
      <c r="N570" s="131"/>
      <c r="O570" s="30"/>
      <c r="P570" s="29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135"/>
      <c r="M571" s="19"/>
      <c r="N571" s="131"/>
      <c r="O571" s="30"/>
      <c r="P571" s="29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135"/>
      <c r="M572" s="19"/>
      <c r="N572" s="131"/>
      <c r="O572" s="30"/>
      <c r="P572" s="29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135"/>
      <c r="M573" s="19"/>
      <c r="N573" s="131"/>
      <c r="O573" s="30"/>
      <c r="P573" s="29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135"/>
      <c r="M574" s="19"/>
      <c r="N574" s="131"/>
      <c r="O574" s="30"/>
      <c r="P574" s="29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135"/>
      <c r="M575" s="19"/>
      <c r="N575" s="131"/>
      <c r="O575" s="30"/>
      <c r="P575" s="29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135"/>
      <c r="M576" s="19"/>
      <c r="N576" s="131"/>
      <c r="O576" s="30"/>
      <c r="P576" s="29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135"/>
      <c r="M577" s="19"/>
      <c r="N577" s="131"/>
      <c r="O577" s="30"/>
      <c r="P577" s="29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135"/>
      <c r="M578" s="19"/>
      <c r="N578" s="131"/>
      <c r="O578" s="30"/>
      <c r="P578" s="29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135"/>
      <c r="M579" s="19"/>
      <c r="N579" s="131"/>
      <c r="O579" s="30"/>
      <c r="P579" s="29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135"/>
      <c r="M580" s="19"/>
      <c r="N580" s="131"/>
      <c r="O580" s="30"/>
      <c r="P580" s="29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135"/>
      <c r="M581" s="19"/>
      <c r="N581" s="131"/>
      <c r="O581" s="30"/>
      <c r="P581" s="29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135"/>
      <c r="M582" s="19"/>
      <c r="N582" s="131"/>
      <c r="O582" s="30"/>
      <c r="P582" s="29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135"/>
      <c r="M583" s="19"/>
      <c r="N583" s="131"/>
      <c r="O583" s="30"/>
      <c r="P583" s="29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135"/>
      <c r="M584" s="19"/>
      <c r="N584" s="131"/>
      <c r="O584" s="30"/>
      <c r="P584" s="29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135"/>
      <c r="M585" s="19"/>
      <c r="N585" s="131"/>
      <c r="O585" s="30"/>
      <c r="P585" s="29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135"/>
      <c r="M586" s="19"/>
      <c r="N586" s="131"/>
      <c r="O586" s="30"/>
      <c r="P586" s="29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135"/>
      <c r="M587" s="19"/>
      <c r="N587" s="131"/>
      <c r="O587" s="30"/>
      <c r="P587" s="29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135"/>
      <c r="M588" s="19"/>
      <c r="N588" s="131"/>
      <c r="O588" s="30"/>
      <c r="P588" s="29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135"/>
      <c r="M589" s="19"/>
      <c r="N589" s="131"/>
      <c r="O589" s="30"/>
      <c r="P589" s="29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135"/>
      <c r="M590" s="19"/>
      <c r="N590" s="131"/>
      <c r="O590" s="30"/>
      <c r="P590" s="29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135"/>
      <c r="M591" s="19"/>
      <c r="N591" s="131"/>
      <c r="O591" s="30"/>
      <c r="P591" s="29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135"/>
      <c r="M592" s="19"/>
      <c r="N592" s="131"/>
      <c r="O592" s="30"/>
      <c r="P592" s="29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135"/>
      <c r="M593" s="19"/>
      <c r="N593" s="131"/>
      <c r="O593" s="30"/>
      <c r="P593" s="29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135"/>
      <c r="M594" s="19"/>
      <c r="N594" s="131"/>
      <c r="O594" s="30"/>
      <c r="P594" s="29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135"/>
      <c r="M595" s="19"/>
      <c r="N595" s="131"/>
      <c r="O595" s="30"/>
      <c r="P595" s="29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135"/>
      <c r="M596" s="19"/>
      <c r="N596" s="131"/>
      <c r="O596" s="30"/>
      <c r="P596" s="29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135"/>
      <c r="M597" s="19"/>
      <c r="N597" s="131"/>
      <c r="O597" s="30"/>
      <c r="P597" s="29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135"/>
      <c r="M598" s="19"/>
      <c r="N598" s="131"/>
      <c r="O598" s="30"/>
      <c r="P598" s="29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135"/>
      <c r="M599" s="19"/>
      <c r="N599" s="131"/>
      <c r="O599" s="30"/>
      <c r="P599" s="29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135"/>
      <c r="M600" s="19"/>
      <c r="N600" s="131"/>
      <c r="O600" s="30"/>
      <c r="P600" s="29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135"/>
      <c r="M601" s="19"/>
      <c r="N601" s="131"/>
      <c r="O601" s="30"/>
      <c r="P601" s="29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135"/>
      <c r="M602" s="19"/>
      <c r="N602" s="131"/>
      <c r="O602" s="30"/>
      <c r="P602" s="29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135"/>
      <c r="M603" s="19"/>
      <c r="N603" s="131"/>
      <c r="O603" s="30"/>
      <c r="P603" s="29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135"/>
      <c r="M604" s="19"/>
      <c r="N604" s="131"/>
      <c r="O604" s="30"/>
      <c r="P604" s="29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135"/>
      <c r="M605" s="19"/>
      <c r="N605" s="131"/>
      <c r="O605" s="30"/>
      <c r="P605" s="29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135"/>
      <c r="M606" s="19"/>
      <c r="N606" s="131"/>
      <c r="O606" s="30"/>
      <c r="P606" s="29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135"/>
      <c r="M607" s="19"/>
      <c r="N607" s="131"/>
      <c r="O607" s="30"/>
      <c r="P607" s="29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135"/>
      <c r="M608" s="19"/>
      <c r="N608" s="131"/>
      <c r="O608" s="30"/>
      <c r="P608" s="29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135"/>
      <c r="M609" s="19"/>
      <c r="N609" s="131"/>
      <c r="O609" s="30"/>
      <c r="P609" s="29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135"/>
      <c r="M610" s="19"/>
      <c r="N610" s="131"/>
      <c r="O610" s="30"/>
      <c r="P610" s="29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135"/>
      <c r="M611" s="19"/>
      <c r="N611" s="131"/>
      <c r="O611" s="30"/>
      <c r="P611" s="29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135"/>
      <c r="M612" s="19"/>
      <c r="N612" s="131"/>
      <c r="O612" s="30"/>
      <c r="P612" s="29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135"/>
      <c r="M613" s="19"/>
      <c r="N613" s="131"/>
      <c r="O613" s="30"/>
      <c r="P613" s="29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135"/>
      <c r="M614" s="19"/>
      <c r="N614" s="131"/>
      <c r="O614" s="30"/>
      <c r="P614" s="29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135"/>
      <c r="M615" s="19"/>
      <c r="N615" s="131"/>
      <c r="O615" s="30"/>
      <c r="P615" s="29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135"/>
      <c r="M616" s="19"/>
      <c r="N616" s="131"/>
      <c r="O616" s="30"/>
      <c r="P616" s="29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135"/>
      <c r="M617" s="19"/>
      <c r="N617" s="131"/>
      <c r="O617" s="30"/>
      <c r="P617" s="29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135"/>
      <c r="M618" s="19"/>
      <c r="N618" s="131"/>
      <c r="O618" s="30"/>
      <c r="P618" s="29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135"/>
      <c r="M619" s="19"/>
      <c r="N619" s="131"/>
      <c r="O619" s="30"/>
      <c r="P619" s="29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135"/>
      <c r="M620" s="19"/>
      <c r="N620" s="131"/>
      <c r="O620" s="30"/>
      <c r="P620" s="29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135"/>
      <c r="M621" s="19"/>
      <c r="N621" s="131"/>
      <c r="O621" s="30"/>
      <c r="P621" s="29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135"/>
      <c r="M622" s="19"/>
      <c r="N622" s="131"/>
      <c r="O622" s="30"/>
      <c r="P622" s="29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135"/>
      <c r="M623" s="19"/>
      <c r="N623" s="131"/>
      <c r="O623" s="30"/>
      <c r="P623" s="29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135"/>
      <c r="M624" s="19"/>
      <c r="N624" s="131"/>
      <c r="O624" s="30"/>
      <c r="P624" s="29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135"/>
      <c r="M625" s="19"/>
      <c r="N625" s="131"/>
      <c r="O625" s="30"/>
      <c r="P625" s="29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135"/>
      <c r="M626" s="19"/>
      <c r="N626" s="131"/>
      <c r="O626" s="30"/>
      <c r="P626" s="29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135"/>
      <c r="M627" s="19"/>
      <c r="N627" s="131"/>
      <c r="O627" s="30"/>
      <c r="P627" s="29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135"/>
      <c r="M628" s="19"/>
      <c r="N628" s="131"/>
      <c r="O628" s="30"/>
      <c r="P628" s="29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135"/>
      <c r="M629" s="19"/>
      <c r="N629" s="131"/>
      <c r="O629" s="30"/>
      <c r="P629" s="29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135"/>
      <c r="M630" s="19"/>
      <c r="N630" s="131"/>
      <c r="O630" s="30"/>
      <c r="P630" s="29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135"/>
      <c r="M631" s="19"/>
      <c r="N631" s="131"/>
      <c r="O631" s="30"/>
      <c r="P631" s="29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135"/>
      <c r="M632" s="19"/>
      <c r="N632" s="131"/>
      <c r="O632" s="30"/>
      <c r="P632" s="29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135"/>
      <c r="M633" s="19"/>
      <c r="N633" s="131"/>
      <c r="O633" s="30"/>
      <c r="P633" s="29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135"/>
      <c r="M634" s="19"/>
      <c r="N634" s="131"/>
      <c r="O634" s="30"/>
      <c r="P634" s="29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135"/>
      <c r="M635" s="19"/>
      <c r="N635" s="131"/>
      <c r="O635" s="30"/>
      <c r="P635" s="29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135"/>
      <c r="M636" s="19"/>
      <c r="N636" s="131"/>
      <c r="O636" s="30"/>
      <c r="P636" s="29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135"/>
      <c r="M637" s="19"/>
      <c r="N637" s="131"/>
      <c r="O637" s="30"/>
      <c r="P637" s="29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135"/>
      <c r="M638" s="19"/>
      <c r="N638" s="131"/>
      <c r="O638" s="30"/>
      <c r="P638" s="29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135"/>
      <c r="M639" s="19"/>
      <c r="N639" s="131"/>
      <c r="O639" s="30"/>
      <c r="P639" s="29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135"/>
      <c r="M640" s="19"/>
      <c r="N640" s="131"/>
      <c r="O640" s="30"/>
      <c r="P640" s="29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135"/>
      <c r="M641" s="19"/>
      <c r="N641" s="131"/>
      <c r="O641" s="30"/>
      <c r="P641" s="29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135"/>
      <c r="M642" s="19"/>
      <c r="N642" s="131"/>
      <c r="O642" s="30"/>
      <c r="P642" s="29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135"/>
      <c r="M643" s="19"/>
      <c r="N643" s="131"/>
      <c r="O643" s="30"/>
      <c r="P643" s="29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135"/>
      <c r="M644" s="19"/>
      <c r="N644" s="131"/>
      <c r="O644" s="30"/>
      <c r="P644" s="29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135"/>
      <c r="M645" s="19"/>
      <c r="N645" s="131"/>
      <c r="O645" s="30"/>
      <c r="P645" s="29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135"/>
      <c r="M646" s="19"/>
      <c r="N646" s="131"/>
      <c r="O646" s="30"/>
      <c r="P646" s="29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135"/>
      <c r="M647" s="19"/>
      <c r="N647" s="131"/>
      <c r="O647" s="30"/>
      <c r="P647" s="29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135"/>
      <c r="M648" s="19"/>
      <c r="N648" s="131"/>
      <c r="O648" s="30"/>
      <c r="P648" s="29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135"/>
      <c r="M649" s="19"/>
      <c r="N649" s="131"/>
      <c r="O649" s="30"/>
      <c r="P649" s="29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135"/>
      <c r="M650" s="19"/>
      <c r="N650" s="131"/>
      <c r="O650" s="30"/>
      <c r="P650" s="29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135"/>
      <c r="M651" s="19"/>
      <c r="N651" s="131"/>
      <c r="O651" s="30"/>
      <c r="P651" s="29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135"/>
      <c r="M652" s="19"/>
      <c r="N652" s="131"/>
      <c r="O652" s="30"/>
      <c r="P652" s="29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135"/>
      <c r="M653" s="19"/>
      <c r="N653" s="131"/>
      <c r="O653" s="30"/>
      <c r="P653" s="29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135"/>
      <c r="M654" s="19"/>
      <c r="N654" s="131"/>
      <c r="O654" s="30"/>
      <c r="P654" s="29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135"/>
      <c r="M655" s="19"/>
      <c r="N655" s="131"/>
      <c r="O655" s="30"/>
      <c r="P655" s="29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135"/>
      <c r="M656" s="19"/>
      <c r="N656" s="131"/>
      <c r="O656" s="30"/>
      <c r="P656" s="29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135"/>
      <c r="M657" s="19"/>
      <c r="N657" s="131"/>
      <c r="O657" s="30"/>
      <c r="P657" s="29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135"/>
      <c r="M658" s="19"/>
      <c r="N658" s="131"/>
      <c r="O658" s="30"/>
      <c r="P658" s="29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135"/>
      <c r="M659" s="19"/>
      <c r="N659" s="131"/>
      <c r="O659" s="30"/>
      <c r="P659" s="29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135"/>
      <c r="M660" s="19"/>
      <c r="N660" s="131"/>
      <c r="O660" s="30"/>
      <c r="P660" s="29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135"/>
      <c r="M661" s="19"/>
      <c r="N661" s="131"/>
      <c r="O661" s="30"/>
      <c r="P661" s="29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135"/>
      <c r="M662" s="19"/>
      <c r="N662" s="131"/>
      <c r="O662" s="30"/>
      <c r="P662" s="29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135"/>
      <c r="M663" s="19"/>
      <c r="N663" s="131"/>
      <c r="O663" s="30"/>
      <c r="P663" s="29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135"/>
      <c r="M664" s="19"/>
      <c r="N664" s="131"/>
      <c r="O664" s="30"/>
      <c r="P664" s="29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135"/>
      <c r="M665" s="19"/>
      <c r="N665" s="131"/>
      <c r="O665" s="30"/>
      <c r="P665" s="29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135"/>
      <c r="M666" s="19"/>
      <c r="N666" s="131"/>
      <c r="O666" s="30"/>
      <c r="P666" s="29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135"/>
      <c r="M667" s="19"/>
      <c r="N667" s="131"/>
      <c r="O667" s="30"/>
      <c r="P667" s="29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135"/>
      <c r="M668" s="19"/>
      <c r="N668" s="131"/>
      <c r="O668" s="30"/>
      <c r="P668" s="29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135"/>
      <c r="M669" s="19"/>
      <c r="N669" s="131"/>
      <c r="O669" s="30"/>
      <c r="P669" s="29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135"/>
      <c r="M670" s="19"/>
      <c r="N670" s="131"/>
      <c r="O670" s="30"/>
      <c r="P670" s="29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135"/>
      <c r="M671" s="19"/>
      <c r="N671" s="131"/>
      <c r="O671" s="30"/>
      <c r="P671" s="29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135"/>
      <c r="M672" s="19"/>
      <c r="N672" s="131"/>
      <c r="O672" s="30"/>
      <c r="P672" s="29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135"/>
      <c r="M673" s="19"/>
      <c r="N673" s="131"/>
      <c r="O673" s="30"/>
      <c r="P673" s="29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135"/>
      <c r="M674" s="19"/>
      <c r="N674" s="131"/>
      <c r="O674" s="30"/>
      <c r="P674" s="29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135"/>
      <c r="M675" s="19"/>
      <c r="N675" s="131"/>
      <c r="O675" s="30"/>
      <c r="P675" s="29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135"/>
      <c r="M676" s="19"/>
      <c r="N676" s="131"/>
      <c r="O676" s="30"/>
      <c r="P676" s="29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135"/>
      <c r="M677" s="19"/>
      <c r="N677" s="131"/>
      <c r="O677" s="30"/>
      <c r="P677" s="29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135"/>
      <c r="M678" s="19"/>
      <c r="N678" s="131"/>
      <c r="O678" s="30"/>
      <c r="P678" s="29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135"/>
      <c r="M679" s="19"/>
      <c r="N679" s="131"/>
      <c r="O679" s="30"/>
      <c r="P679" s="29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135"/>
      <c r="M680" s="19"/>
      <c r="N680" s="131"/>
      <c r="O680" s="30"/>
      <c r="P680" s="29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135"/>
      <c r="M681" s="19"/>
      <c r="N681" s="131"/>
      <c r="O681" s="30"/>
      <c r="P681" s="29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135"/>
      <c r="M682" s="19"/>
      <c r="N682" s="131"/>
      <c r="O682" s="30"/>
      <c r="P682" s="29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135"/>
      <c r="M683" s="19"/>
      <c r="N683" s="131"/>
      <c r="O683" s="30"/>
      <c r="P683" s="29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135"/>
      <c r="M684" s="19"/>
      <c r="N684" s="131"/>
      <c r="O684" s="30"/>
      <c r="P684" s="29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135"/>
      <c r="M685" s="19"/>
      <c r="N685" s="131"/>
      <c r="O685" s="30"/>
      <c r="P685" s="29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135"/>
      <c r="M686" s="19"/>
      <c r="N686" s="131"/>
      <c r="O686" s="30"/>
      <c r="P686" s="29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135"/>
      <c r="M687" s="19"/>
      <c r="N687" s="131"/>
      <c r="O687" s="30"/>
      <c r="P687" s="29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135"/>
      <c r="M688" s="19"/>
      <c r="N688" s="131"/>
      <c r="O688" s="30"/>
      <c r="P688" s="29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135"/>
      <c r="M689" s="19"/>
      <c r="N689" s="131"/>
      <c r="O689" s="30"/>
      <c r="P689" s="29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135"/>
      <c r="M690" s="19"/>
      <c r="N690" s="131"/>
      <c r="O690" s="30"/>
      <c r="P690" s="29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135"/>
      <c r="M691" s="19"/>
      <c r="N691" s="131"/>
      <c r="O691" s="30"/>
      <c r="P691" s="29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135"/>
      <c r="M692" s="19"/>
      <c r="N692" s="131"/>
      <c r="O692" s="30"/>
      <c r="P692" s="29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135"/>
      <c r="M693" s="19"/>
      <c r="N693" s="131"/>
      <c r="O693" s="30"/>
      <c r="P693" s="29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135"/>
      <c r="M694" s="19"/>
      <c r="N694" s="131"/>
      <c r="O694" s="30"/>
      <c r="P694" s="29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135"/>
      <c r="M695" s="19"/>
      <c r="N695" s="131"/>
      <c r="O695" s="30"/>
      <c r="P695" s="29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135"/>
      <c r="M696" s="19"/>
      <c r="N696" s="131"/>
      <c r="O696" s="30"/>
      <c r="P696" s="29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135"/>
      <c r="M697" s="19"/>
      <c r="N697" s="131"/>
      <c r="O697" s="30"/>
      <c r="P697" s="29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135"/>
      <c r="M698" s="19"/>
      <c r="N698" s="131"/>
      <c r="O698" s="30"/>
      <c r="P698" s="29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135"/>
      <c r="M699" s="19"/>
      <c r="N699" s="131"/>
      <c r="O699" s="30"/>
      <c r="P699" s="29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135"/>
      <c r="M700" s="19"/>
      <c r="N700" s="131"/>
      <c r="O700" s="30"/>
      <c r="P700" s="29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135"/>
      <c r="M701" s="19"/>
      <c r="N701" s="131"/>
      <c r="O701" s="30"/>
      <c r="P701" s="29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135"/>
      <c r="M702" s="19"/>
      <c r="N702" s="131"/>
      <c r="O702" s="30"/>
      <c r="P702" s="29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135"/>
      <c r="M703" s="19"/>
      <c r="N703" s="131"/>
      <c r="O703" s="30"/>
      <c r="P703" s="29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135"/>
      <c r="M704" s="19"/>
      <c r="N704" s="131"/>
      <c r="O704" s="30"/>
      <c r="P704" s="29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135"/>
      <c r="M705" s="19"/>
      <c r="N705" s="131"/>
      <c r="O705" s="30"/>
      <c r="P705" s="29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135"/>
      <c r="M706" s="19"/>
      <c r="N706" s="131"/>
      <c r="O706" s="30"/>
      <c r="P706" s="29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135"/>
      <c r="M707" s="19"/>
      <c r="N707" s="131"/>
      <c r="O707" s="30"/>
      <c r="P707" s="29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135"/>
      <c r="M708" s="19"/>
      <c r="N708" s="131"/>
      <c r="O708" s="30"/>
      <c r="P708" s="29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135"/>
      <c r="M709" s="19"/>
      <c r="N709" s="131"/>
      <c r="O709" s="30"/>
      <c r="P709" s="29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135"/>
      <c r="M710" s="19"/>
      <c r="N710" s="131"/>
      <c r="O710" s="30"/>
      <c r="P710" s="29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135"/>
      <c r="M711" s="19"/>
      <c r="N711" s="131"/>
      <c r="O711" s="30"/>
      <c r="P711" s="29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135"/>
      <c r="M712" s="19"/>
      <c r="N712" s="131"/>
      <c r="O712" s="30"/>
      <c r="P712" s="29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135"/>
      <c r="M713" s="19"/>
      <c r="N713" s="131"/>
      <c r="O713" s="30"/>
      <c r="P713" s="29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135"/>
      <c r="M714" s="19"/>
      <c r="N714" s="131"/>
      <c r="O714" s="30"/>
      <c r="P714" s="29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135"/>
      <c r="M715" s="19"/>
      <c r="N715" s="131"/>
      <c r="O715" s="30"/>
      <c r="P715" s="29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135"/>
      <c r="M716" s="19"/>
      <c r="N716" s="131"/>
      <c r="O716" s="30"/>
      <c r="P716" s="29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135"/>
      <c r="M717" s="19"/>
      <c r="N717" s="131"/>
      <c r="O717" s="30"/>
      <c r="P717" s="29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135"/>
      <c r="M718" s="19"/>
      <c r="N718" s="131"/>
      <c r="O718" s="30"/>
      <c r="P718" s="29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135"/>
      <c r="M719" s="19"/>
      <c r="N719" s="131"/>
      <c r="O719" s="30"/>
      <c r="P719" s="29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135"/>
      <c r="M720" s="19"/>
      <c r="N720" s="131"/>
      <c r="O720" s="30"/>
      <c r="P720" s="29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135"/>
      <c r="M721" s="19"/>
      <c r="N721" s="131"/>
      <c r="O721" s="30"/>
      <c r="P721" s="29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135"/>
      <c r="M722" s="19"/>
      <c r="N722" s="131"/>
      <c r="O722" s="30"/>
      <c r="P722" s="29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135"/>
      <c r="M723" s="19"/>
      <c r="N723" s="131"/>
      <c r="O723" s="30"/>
      <c r="P723" s="29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135"/>
      <c r="M724" s="19"/>
      <c r="N724" s="131"/>
      <c r="O724" s="30"/>
      <c r="P724" s="29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135"/>
      <c r="M725" s="19"/>
      <c r="N725" s="131"/>
      <c r="O725" s="30"/>
      <c r="P725" s="29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135"/>
      <c r="M726" s="19"/>
      <c r="N726" s="131"/>
      <c r="O726" s="30"/>
      <c r="P726" s="29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135"/>
      <c r="M727" s="19"/>
      <c r="N727" s="131"/>
      <c r="O727" s="30"/>
      <c r="P727" s="29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135"/>
      <c r="M728" s="19"/>
      <c r="N728" s="131"/>
      <c r="O728" s="30"/>
      <c r="P728" s="29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135"/>
      <c r="M729" s="19"/>
      <c r="N729" s="131"/>
      <c r="O729" s="30"/>
      <c r="P729" s="29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135"/>
      <c r="M730" s="19"/>
      <c r="N730" s="131"/>
      <c r="O730" s="30"/>
      <c r="P730" s="29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135"/>
      <c r="M731" s="19"/>
      <c r="N731" s="131"/>
      <c r="O731" s="30"/>
      <c r="P731" s="29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135"/>
      <c r="M732" s="19"/>
      <c r="N732" s="131"/>
      <c r="O732" s="30"/>
      <c r="P732" s="29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135"/>
      <c r="M733" s="19"/>
      <c r="N733" s="131"/>
      <c r="O733" s="30"/>
      <c r="P733" s="29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135"/>
      <c r="M734" s="19"/>
      <c r="N734" s="131"/>
      <c r="O734" s="30"/>
      <c r="P734" s="29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135"/>
      <c r="M735" s="19"/>
      <c r="N735" s="131"/>
      <c r="O735" s="30"/>
      <c r="P735" s="29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135"/>
      <c r="M736" s="19"/>
      <c r="N736" s="131"/>
      <c r="O736" s="30"/>
      <c r="P736" s="29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135"/>
      <c r="M737" s="19"/>
      <c r="N737" s="131"/>
      <c r="O737" s="30"/>
      <c r="P737" s="29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135"/>
      <c r="M738" s="19"/>
      <c r="N738" s="131"/>
      <c r="O738" s="30"/>
      <c r="P738" s="29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135"/>
      <c r="M739" s="19"/>
      <c r="N739" s="131"/>
      <c r="O739" s="30"/>
      <c r="P739" s="29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135"/>
      <c r="M740" s="19"/>
      <c r="N740" s="131"/>
      <c r="O740" s="30"/>
      <c r="P740" s="29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135"/>
      <c r="M741" s="19"/>
      <c r="N741" s="131"/>
      <c r="O741" s="30"/>
      <c r="P741" s="29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135"/>
      <c r="M742" s="19"/>
      <c r="N742" s="131"/>
      <c r="O742" s="30"/>
      <c r="P742" s="29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135"/>
      <c r="M743" s="19"/>
      <c r="N743" s="131"/>
      <c r="O743" s="30"/>
      <c r="P743" s="29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135"/>
      <c r="M744" s="19"/>
      <c r="N744" s="131"/>
      <c r="O744" s="30"/>
      <c r="P744" s="29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135"/>
      <c r="M745" s="19"/>
      <c r="N745" s="131"/>
      <c r="O745" s="30"/>
      <c r="P745" s="29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135"/>
      <c r="M746" s="19"/>
      <c r="N746" s="131"/>
      <c r="O746" s="30"/>
      <c r="P746" s="29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135"/>
      <c r="M747" s="19"/>
      <c r="N747" s="131"/>
      <c r="O747" s="30"/>
      <c r="P747" s="29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135"/>
      <c r="M748" s="19"/>
      <c r="N748" s="131"/>
      <c r="O748" s="30"/>
      <c r="P748" s="29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135"/>
      <c r="M749" s="19"/>
      <c r="N749" s="131"/>
      <c r="O749" s="30"/>
      <c r="P749" s="29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135"/>
      <c r="M750" s="19"/>
      <c r="N750" s="131"/>
      <c r="O750" s="30"/>
      <c r="P750" s="29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135"/>
      <c r="M751" s="19"/>
      <c r="N751" s="131"/>
      <c r="O751" s="30"/>
      <c r="P751" s="29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135"/>
      <c r="M752" s="19"/>
      <c r="N752" s="131"/>
      <c r="O752" s="30"/>
      <c r="P752" s="29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135"/>
      <c r="M753" s="19"/>
      <c r="N753" s="131"/>
      <c r="O753" s="30"/>
      <c r="P753" s="29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135"/>
      <c r="M754" s="19"/>
      <c r="N754" s="131"/>
      <c r="O754" s="30"/>
      <c r="P754" s="29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135"/>
      <c r="M755" s="19"/>
      <c r="N755" s="131"/>
      <c r="O755" s="30"/>
      <c r="P755" s="29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135"/>
      <c r="M756" s="19"/>
      <c r="N756" s="131"/>
      <c r="O756" s="30"/>
      <c r="P756" s="29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135"/>
      <c r="M757" s="19"/>
      <c r="N757" s="131"/>
      <c r="O757" s="30"/>
      <c r="P757" s="29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135"/>
      <c r="M758" s="19"/>
      <c r="N758" s="131"/>
      <c r="O758" s="30"/>
      <c r="P758" s="29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135"/>
      <c r="M759" s="19"/>
      <c r="N759" s="131"/>
      <c r="O759" s="30"/>
      <c r="P759" s="29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135"/>
      <c r="M760" s="19"/>
      <c r="N760" s="131"/>
      <c r="O760" s="30"/>
      <c r="P760" s="29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135"/>
      <c r="M761" s="19"/>
      <c r="N761" s="131"/>
      <c r="O761" s="30"/>
      <c r="P761" s="29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135"/>
      <c r="M762" s="19"/>
      <c r="N762" s="131"/>
      <c r="O762" s="30"/>
      <c r="P762" s="29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135"/>
      <c r="M763" s="19"/>
      <c r="N763" s="131"/>
      <c r="O763" s="30"/>
      <c r="P763" s="29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135"/>
      <c r="M764" s="19"/>
      <c r="N764" s="131"/>
      <c r="O764" s="30"/>
      <c r="P764" s="29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135"/>
      <c r="M765" s="19"/>
      <c r="N765" s="131"/>
      <c r="O765" s="30"/>
      <c r="P765" s="29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135"/>
      <c r="M766" s="19"/>
      <c r="N766" s="131"/>
      <c r="O766" s="30"/>
      <c r="P766" s="29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135"/>
      <c r="M767" s="19"/>
      <c r="N767" s="131"/>
      <c r="O767" s="30"/>
      <c r="P767" s="29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135"/>
      <c r="M768" s="19"/>
      <c r="N768" s="131"/>
      <c r="O768" s="30"/>
      <c r="P768" s="29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135"/>
      <c r="M769" s="19"/>
      <c r="N769" s="131"/>
      <c r="O769" s="30"/>
      <c r="P769" s="29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135"/>
      <c r="M770" s="19"/>
      <c r="N770" s="131"/>
      <c r="O770" s="30"/>
      <c r="P770" s="29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135"/>
      <c r="M771" s="19"/>
      <c r="N771" s="131"/>
      <c r="O771" s="30"/>
      <c r="P771" s="29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135"/>
      <c r="M772" s="19"/>
      <c r="N772" s="131"/>
      <c r="O772" s="30"/>
      <c r="P772" s="29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135"/>
      <c r="M773" s="19"/>
      <c r="N773" s="131"/>
      <c r="O773" s="30"/>
      <c r="P773" s="29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135"/>
      <c r="M774" s="19"/>
      <c r="N774" s="131"/>
      <c r="O774" s="30"/>
      <c r="P774" s="29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135"/>
      <c r="M775" s="19"/>
      <c r="N775" s="131"/>
      <c r="O775" s="30"/>
      <c r="P775" s="29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135"/>
      <c r="M776" s="19"/>
      <c r="N776" s="131"/>
      <c r="O776" s="30"/>
      <c r="P776" s="29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135"/>
      <c r="M777" s="19"/>
      <c r="N777" s="131"/>
      <c r="O777" s="30"/>
      <c r="P777" s="29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135"/>
      <c r="M778" s="19"/>
      <c r="N778" s="131"/>
      <c r="O778" s="30"/>
      <c r="P778" s="29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135"/>
      <c r="M779" s="19"/>
      <c r="N779" s="131"/>
      <c r="O779" s="30"/>
      <c r="P779" s="29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135"/>
      <c r="M780" s="19"/>
      <c r="N780" s="131"/>
      <c r="O780" s="30"/>
      <c r="P780" s="29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135"/>
      <c r="M781" s="19"/>
      <c r="N781" s="131"/>
      <c r="O781" s="30"/>
      <c r="P781" s="29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135"/>
      <c r="M782" s="19"/>
      <c r="N782" s="131"/>
      <c r="O782" s="30"/>
      <c r="P782" s="29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135"/>
      <c r="M783" s="19"/>
      <c r="N783" s="131"/>
      <c r="O783" s="30"/>
      <c r="P783" s="29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135"/>
      <c r="M784" s="19"/>
      <c r="N784" s="131"/>
      <c r="O784" s="30"/>
      <c r="P784" s="29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135"/>
      <c r="M785" s="19"/>
      <c r="N785" s="131"/>
      <c r="O785" s="30"/>
      <c r="P785" s="29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135"/>
      <c r="M786" s="19"/>
      <c r="N786" s="131"/>
      <c r="O786" s="30"/>
      <c r="P786" s="29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135"/>
      <c r="M787" s="19"/>
      <c r="N787" s="131"/>
      <c r="O787" s="30"/>
      <c r="P787" s="29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135"/>
      <c r="M788" s="19"/>
      <c r="N788" s="131"/>
      <c r="O788" s="30"/>
      <c r="P788" s="29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135"/>
      <c r="M789" s="19"/>
      <c r="N789" s="131"/>
      <c r="O789" s="30"/>
      <c r="P789" s="29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135"/>
      <c r="M790" s="19"/>
      <c r="N790" s="131"/>
      <c r="O790" s="30"/>
      <c r="P790" s="29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135"/>
      <c r="M791" s="19"/>
      <c r="N791" s="131"/>
      <c r="O791" s="30"/>
      <c r="P791" s="29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135"/>
      <c r="M792" s="19"/>
      <c r="N792" s="131"/>
      <c r="O792" s="30"/>
      <c r="P792" s="29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135"/>
      <c r="M793" s="19"/>
      <c r="N793" s="131"/>
      <c r="O793" s="30"/>
      <c r="P793" s="29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135"/>
      <c r="M794" s="19"/>
      <c r="N794" s="131"/>
      <c r="O794" s="30"/>
      <c r="P794" s="29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135"/>
      <c r="M795" s="19"/>
      <c r="N795" s="131"/>
      <c r="O795" s="30"/>
      <c r="P795" s="29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135"/>
      <c r="M796" s="19"/>
      <c r="N796" s="131"/>
      <c r="O796" s="30"/>
      <c r="P796" s="29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135"/>
      <c r="M797" s="19"/>
      <c r="N797" s="131"/>
      <c r="O797" s="30"/>
      <c r="P797" s="29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135"/>
      <c r="M798" s="19"/>
      <c r="N798" s="131"/>
      <c r="O798" s="30"/>
      <c r="P798" s="29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135"/>
      <c r="M799" s="19"/>
      <c r="N799" s="131"/>
      <c r="O799" s="30"/>
      <c r="P799" s="29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135"/>
      <c r="M800" s="19"/>
      <c r="N800" s="131"/>
      <c r="O800" s="30"/>
      <c r="P800" s="29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135"/>
      <c r="M801" s="19"/>
      <c r="N801" s="131"/>
      <c r="O801" s="30"/>
      <c r="P801" s="29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135"/>
      <c r="M802" s="19"/>
      <c r="N802" s="131"/>
      <c r="O802" s="30"/>
      <c r="P802" s="29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135"/>
      <c r="M803" s="19"/>
      <c r="N803" s="131"/>
      <c r="O803" s="30"/>
      <c r="P803" s="29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135"/>
      <c r="M804" s="19"/>
      <c r="N804" s="131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135"/>
      <c r="M805" s="19"/>
      <c r="N805" s="131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135"/>
      <c r="M806" s="19"/>
      <c r="N806" s="131"/>
      <c r="O806" s="30"/>
      <c r="P806" s="29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135"/>
      <c r="M807" s="19"/>
      <c r="N807" s="131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135"/>
      <c r="M808" s="19"/>
      <c r="N808" s="131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135"/>
      <c r="M809" s="19"/>
      <c r="N809" s="131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135"/>
      <c r="M810" s="19"/>
      <c r="N810" s="131"/>
      <c r="O810" s="30"/>
      <c r="P810" s="29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135"/>
      <c r="M811" s="19"/>
      <c r="N811" s="131"/>
      <c r="O811" s="30"/>
      <c r="P811" s="29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135"/>
      <c r="M812" s="19"/>
      <c r="N812" s="131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135"/>
      <c r="M813" s="19"/>
      <c r="N813" s="131"/>
      <c r="O813" s="30"/>
      <c r="P813" s="29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135"/>
      <c r="M814" s="19"/>
      <c r="N814" s="131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135"/>
      <c r="M815" s="19"/>
      <c r="N815" s="131"/>
      <c r="O815" s="30"/>
      <c r="P815" s="29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135"/>
      <c r="M816" s="19"/>
      <c r="N816" s="131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135"/>
      <c r="M817" s="19"/>
      <c r="N817" s="131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135"/>
      <c r="M818" s="19"/>
      <c r="N818" s="131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135"/>
      <c r="M819" s="19"/>
      <c r="N819" s="131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135"/>
      <c r="M820" s="19"/>
      <c r="N820" s="131"/>
      <c r="O820" s="30"/>
      <c r="P820" s="29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135"/>
      <c r="M821" s="19"/>
      <c r="N821" s="131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135"/>
      <c r="M822" s="19"/>
      <c r="N822" s="131"/>
      <c r="O822" s="30"/>
      <c r="P822" s="29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135"/>
      <c r="M823" s="19"/>
      <c r="N823" s="131"/>
      <c r="O823" s="30"/>
      <c r="P823" s="29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135"/>
      <c r="M824" s="19"/>
      <c r="N824" s="131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135"/>
      <c r="M825" s="19"/>
      <c r="N825" s="131"/>
      <c r="O825" s="30"/>
      <c r="P825" s="29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135"/>
      <c r="M826" s="19"/>
      <c r="N826" s="131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135"/>
      <c r="M827" s="19"/>
      <c r="N827" s="131"/>
      <c r="O827" s="30"/>
      <c r="P827" s="29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135"/>
      <c r="M828" s="19"/>
      <c r="N828" s="131"/>
      <c r="O828" s="30"/>
      <c r="P828" s="29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135"/>
      <c r="M829" s="19"/>
      <c r="N829" s="131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135"/>
      <c r="M830" s="19"/>
      <c r="N830" s="131"/>
      <c r="O830" s="30"/>
      <c r="P830" s="29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135"/>
      <c r="M831" s="19"/>
      <c r="N831" s="131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135"/>
      <c r="M832" s="19"/>
      <c r="N832" s="131"/>
      <c r="O832" s="30"/>
      <c r="P832" s="29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135"/>
      <c r="M833" s="19"/>
      <c r="N833" s="131"/>
      <c r="O833" s="30"/>
      <c r="P833" s="29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135"/>
      <c r="M834" s="19"/>
      <c r="N834" s="131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135"/>
      <c r="M835" s="19"/>
      <c r="N835" s="131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135"/>
      <c r="M836" s="19"/>
      <c r="N836" s="131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135"/>
      <c r="M837" s="19"/>
      <c r="N837" s="131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135"/>
      <c r="M838" s="19"/>
      <c r="N838" s="131"/>
      <c r="O838" s="30"/>
      <c r="P838" s="29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135"/>
      <c r="M839" s="19"/>
      <c r="N839" s="131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135"/>
      <c r="M840" s="19"/>
      <c r="N840" s="131"/>
      <c r="O840" s="30"/>
      <c r="P840" s="29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135"/>
      <c r="M841" s="19"/>
      <c r="N841" s="131"/>
      <c r="O841" s="30"/>
      <c r="P841" s="29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135"/>
      <c r="M842" s="19"/>
      <c r="N842" s="131"/>
      <c r="O842" s="30"/>
      <c r="P842" s="29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135"/>
      <c r="M843" s="19"/>
      <c r="N843" s="131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135"/>
      <c r="M844" s="19"/>
      <c r="N844" s="131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135"/>
      <c r="M845" s="19"/>
      <c r="N845" s="131"/>
      <c r="O845" s="30"/>
      <c r="P845" s="29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135"/>
      <c r="M846" s="19"/>
      <c r="N846" s="131"/>
      <c r="O846" s="30"/>
      <c r="P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135"/>
      <c r="M847" s="19"/>
      <c r="N847" s="131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135"/>
      <c r="M848" s="19"/>
      <c r="N848" s="131"/>
      <c r="O848" s="30"/>
      <c r="P848" s="29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135"/>
      <c r="M849" s="19"/>
      <c r="N849" s="131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135"/>
      <c r="M850" s="19"/>
      <c r="N850" s="131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135"/>
      <c r="M851" s="19"/>
      <c r="N851" s="131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135"/>
      <c r="M852" s="19"/>
      <c r="N852" s="131"/>
      <c r="O852" s="30"/>
      <c r="P852" s="29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135"/>
      <c r="M853" s="19"/>
      <c r="N853" s="131"/>
      <c r="O853" s="30"/>
      <c r="P853" s="29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135"/>
      <c r="M854" s="19"/>
      <c r="N854" s="131"/>
      <c r="O854" s="30"/>
      <c r="P854" s="29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135"/>
      <c r="M855" s="19"/>
      <c r="N855" s="131"/>
      <c r="O855" s="30"/>
      <c r="P855" s="29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135"/>
      <c r="M856" s="19"/>
      <c r="N856" s="131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135"/>
      <c r="M857" s="19"/>
      <c r="N857" s="131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135"/>
      <c r="M858" s="19"/>
      <c r="N858" s="131"/>
      <c r="O858" s="30"/>
      <c r="P858" s="29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135"/>
      <c r="M859" s="19"/>
      <c r="N859" s="131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135"/>
      <c r="M860" s="19"/>
      <c r="N860" s="131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135"/>
      <c r="M861" s="19"/>
      <c r="N861" s="131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135"/>
      <c r="M862" s="19"/>
      <c r="N862" s="131"/>
      <c r="O862" s="30"/>
      <c r="P862" s="29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135"/>
      <c r="M863" s="19"/>
      <c r="N863" s="131"/>
      <c r="O863" s="30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135"/>
      <c r="M864" s="19"/>
      <c r="N864" s="131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135"/>
      <c r="M865" s="19"/>
      <c r="N865" s="131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135"/>
      <c r="M866" s="19"/>
      <c r="N866" s="131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135"/>
      <c r="M867" s="19"/>
      <c r="N867" s="131"/>
      <c r="O867" s="30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135"/>
      <c r="M868" s="19"/>
      <c r="N868" s="131"/>
      <c r="O868" s="30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135"/>
      <c r="M869" s="19"/>
      <c r="N869" s="131"/>
      <c r="O869" s="30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135"/>
      <c r="M870" s="19"/>
      <c r="N870" s="131"/>
      <c r="O870" s="30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135"/>
      <c r="M871" s="19"/>
      <c r="N871" s="131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135"/>
      <c r="M872" s="19"/>
      <c r="N872" s="131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135"/>
      <c r="M873" s="19"/>
      <c r="N873" s="131"/>
      <c r="O873" s="30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135"/>
      <c r="M874" s="19"/>
      <c r="N874" s="131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135"/>
      <c r="M875" s="19"/>
      <c r="N875" s="131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135"/>
      <c r="M876" s="19"/>
      <c r="N876" s="131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135"/>
      <c r="M877" s="19"/>
      <c r="N877" s="131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135"/>
      <c r="M878" s="19"/>
      <c r="N878" s="131"/>
      <c r="O878" s="30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135"/>
      <c r="M879" s="19"/>
      <c r="N879" s="131"/>
      <c r="O879" s="30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135"/>
      <c r="M880" s="19"/>
      <c r="N880" s="131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135"/>
      <c r="M881" s="19"/>
      <c r="N881" s="131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135"/>
      <c r="M882" s="19"/>
      <c r="N882" s="131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135"/>
      <c r="M883" s="19"/>
      <c r="N883" s="131"/>
      <c r="O883" s="30"/>
      <c r="P883" s="29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135"/>
      <c r="M884" s="19"/>
      <c r="N884" s="131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135"/>
      <c r="M885" s="19"/>
      <c r="N885" s="131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135"/>
      <c r="M886" s="19"/>
      <c r="N886" s="131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135"/>
      <c r="M887" s="19"/>
      <c r="N887" s="131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135"/>
      <c r="M888" s="19"/>
      <c r="N888" s="131"/>
      <c r="O888" s="30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135"/>
      <c r="M889" s="19"/>
      <c r="N889" s="131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135"/>
      <c r="M890" s="19"/>
      <c r="N890" s="131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135"/>
      <c r="M891" s="19"/>
      <c r="N891" s="131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135"/>
      <c r="M892" s="19"/>
      <c r="N892" s="131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135"/>
      <c r="M893" s="19"/>
      <c r="N893" s="131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135"/>
      <c r="M894" s="19"/>
      <c r="N894" s="131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135"/>
      <c r="M895" s="19"/>
      <c r="N895" s="131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135"/>
      <c r="M896" s="19"/>
      <c r="N896" s="131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135"/>
      <c r="M897" s="19"/>
      <c r="N897" s="131"/>
      <c r="O897" s="30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135"/>
      <c r="M898" s="19"/>
      <c r="N898" s="131"/>
      <c r="O898" s="30"/>
      <c r="P898" s="29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135"/>
      <c r="M899" s="19"/>
      <c r="N899" s="131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135"/>
      <c r="M900" s="19"/>
      <c r="N900" s="131"/>
      <c r="O900" s="30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135"/>
      <c r="M901" s="19"/>
      <c r="N901" s="131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135"/>
      <c r="M902" s="19"/>
      <c r="N902" s="131"/>
      <c r="O902" s="30"/>
      <c r="P902" s="29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135"/>
      <c r="M903" s="19"/>
      <c r="N903" s="131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135"/>
      <c r="M904" s="19"/>
      <c r="N904" s="131"/>
      <c r="O904" s="30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135"/>
      <c r="M905" s="19"/>
      <c r="N905" s="131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135"/>
      <c r="M906" s="19"/>
      <c r="N906" s="131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135"/>
      <c r="M907" s="19"/>
      <c r="N907" s="131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135"/>
      <c r="M908" s="19"/>
      <c r="N908" s="131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135"/>
      <c r="M909" s="19"/>
      <c r="N909" s="131"/>
      <c r="O909" s="30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135"/>
      <c r="M910" s="19"/>
      <c r="N910" s="131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135"/>
      <c r="M911" s="19"/>
      <c r="N911" s="131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135"/>
      <c r="M912" s="19"/>
      <c r="N912" s="131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135"/>
      <c r="M913" s="19"/>
      <c r="N913" s="131"/>
      <c r="O913" s="30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135"/>
      <c r="M914" s="19"/>
      <c r="N914" s="131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135"/>
      <c r="M915" s="19"/>
      <c r="N915" s="131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135"/>
      <c r="M916" s="19"/>
      <c r="N916" s="131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135"/>
      <c r="M917" s="19"/>
      <c r="N917" s="131"/>
      <c r="O917" s="30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135"/>
      <c r="M918" s="19"/>
      <c r="N918" s="131"/>
      <c r="O918" s="30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135"/>
      <c r="M919" s="19"/>
      <c r="N919" s="131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135"/>
      <c r="M920" s="19"/>
      <c r="N920" s="131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135"/>
      <c r="M921" s="19"/>
      <c r="N921" s="131"/>
      <c r="O921" s="30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135"/>
      <c r="M922" s="19"/>
      <c r="N922" s="131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135"/>
      <c r="M923" s="19"/>
      <c r="N923" s="131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135"/>
      <c r="M924" s="19"/>
      <c r="N924" s="131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135"/>
      <c r="M925" s="19"/>
      <c r="N925" s="131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135"/>
      <c r="M926" s="19"/>
      <c r="N926" s="131"/>
      <c r="O926" s="30"/>
      <c r="P926" s="29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135"/>
      <c r="M927" s="19"/>
      <c r="N927" s="131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135"/>
      <c r="M928" s="19"/>
      <c r="N928" s="131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135"/>
      <c r="M929" s="19"/>
      <c r="N929" s="131"/>
      <c r="O929" s="30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135"/>
      <c r="M930" s="19"/>
      <c r="N930" s="131"/>
      <c r="O930" s="30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135"/>
      <c r="M931" s="19"/>
      <c r="N931" s="131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135"/>
      <c r="M932" s="19"/>
      <c r="N932" s="131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135"/>
      <c r="M933" s="19"/>
      <c r="N933" s="131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135"/>
      <c r="M934" s="19"/>
      <c r="N934" s="131"/>
      <c r="O934" s="30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135"/>
      <c r="M935" s="19"/>
      <c r="N935" s="131"/>
      <c r="O935" s="30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135"/>
      <c r="M936" s="19"/>
      <c r="N936" s="131"/>
      <c r="O936" s="30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135"/>
      <c r="M937" s="19"/>
      <c r="N937" s="131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135"/>
      <c r="M938" s="19"/>
      <c r="N938" s="131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135"/>
      <c r="M939" s="19"/>
      <c r="N939" s="131"/>
      <c r="O939" s="30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135"/>
      <c r="M940" s="19"/>
      <c r="N940" s="131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135"/>
      <c r="M941" s="19"/>
      <c r="N941" s="131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135"/>
      <c r="M942" s="19"/>
      <c r="N942" s="131"/>
      <c r="O942" s="30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135"/>
      <c r="M943" s="19"/>
      <c r="N943" s="131"/>
      <c r="O943" s="30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135"/>
      <c r="M944" s="19"/>
      <c r="N944" s="131"/>
      <c r="O944" s="30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135"/>
      <c r="M945" s="19"/>
      <c r="N945" s="131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135"/>
      <c r="M946" s="19"/>
      <c r="N946" s="131"/>
      <c r="O946" s="30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135"/>
      <c r="M947" s="19"/>
      <c r="N947" s="131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135"/>
      <c r="M948" s="19"/>
      <c r="N948" s="131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135"/>
      <c r="M949" s="19"/>
      <c r="N949" s="131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135"/>
      <c r="M950" s="19"/>
      <c r="N950" s="131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135"/>
      <c r="M951" s="19"/>
      <c r="N951" s="131"/>
      <c r="O951" s="30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135"/>
      <c r="M952" s="19"/>
      <c r="N952" s="131"/>
      <c r="O952" s="30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135"/>
      <c r="M953" s="19"/>
      <c r="N953" s="131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135"/>
      <c r="M954" s="19"/>
      <c r="N954" s="131"/>
      <c r="O954" s="30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135"/>
      <c r="M955" s="19"/>
      <c r="N955" s="131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135"/>
      <c r="M956" s="19"/>
      <c r="N956" s="131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135"/>
      <c r="M957" s="19"/>
      <c r="N957" s="131"/>
      <c r="O957" s="30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135"/>
      <c r="M958" s="19"/>
      <c r="N958" s="131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135"/>
      <c r="M959" s="19"/>
      <c r="N959" s="131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135"/>
      <c r="M960" s="19"/>
      <c r="N960" s="131"/>
      <c r="O960" s="30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135"/>
      <c r="M961" s="19"/>
      <c r="N961" s="131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135"/>
      <c r="M962" s="19"/>
      <c r="N962" s="131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135"/>
      <c r="M963" s="19"/>
      <c r="N963" s="131"/>
      <c r="O963" s="30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135"/>
      <c r="M964" s="19"/>
      <c r="N964" s="131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135"/>
      <c r="M965" s="19"/>
      <c r="N965" s="131"/>
      <c r="O965" s="30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135"/>
      <c r="M966" s="19"/>
      <c r="N966" s="131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135"/>
      <c r="M967" s="19"/>
      <c r="N967" s="131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135"/>
      <c r="M968" s="19"/>
      <c r="N968" s="131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135"/>
      <c r="M969" s="19"/>
      <c r="N969" s="131"/>
      <c r="O969" s="30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135"/>
      <c r="M970" s="19"/>
      <c r="N970" s="131"/>
      <c r="O970" s="30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135"/>
      <c r="M971" s="19"/>
      <c r="N971" s="131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135"/>
      <c r="M972" s="19"/>
      <c r="N972" s="131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135"/>
      <c r="M973" s="19"/>
      <c r="N973" s="131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135"/>
      <c r="M974" s="19"/>
      <c r="N974" s="131"/>
      <c r="O974" s="30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135"/>
      <c r="M975" s="19"/>
      <c r="N975" s="131"/>
      <c r="O975" s="30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135"/>
      <c r="M976" s="19"/>
      <c r="N976" s="131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135"/>
      <c r="M977" s="19"/>
      <c r="N977" s="131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135"/>
      <c r="M978" s="19"/>
      <c r="N978" s="131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135"/>
      <c r="M979" s="19"/>
      <c r="N979" s="131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135"/>
      <c r="M980" s="19"/>
      <c r="N980" s="131"/>
      <c r="O980" s="30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135"/>
      <c r="M981" s="19"/>
      <c r="N981" s="131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135"/>
      <c r="M982" s="19"/>
      <c r="N982" s="131"/>
      <c r="O982" s="30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135"/>
      <c r="M983" s="19"/>
      <c r="N983" s="131"/>
      <c r="O983" s="30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135"/>
      <c r="M984" s="19"/>
      <c r="N984" s="131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135"/>
      <c r="M985" s="19"/>
      <c r="N985" s="131"/>
      <c r="O985" s="30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135"/>
      <c r="M986" s="19"/>
      <c r="N986" s="131"/>
      <c r="O986" s="30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135"/>
      <c r="M987" s="19"/>
      <c r="N987" s="131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135"/>
      <c r="M988" s="19"/>
      <c r="N988" s="131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135"/>
      <c r="M989" s="19"/>
      <c r="N989" s="131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135"/>
      <c r="M990" s="19"/>
      <c r="N990" s="131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135"/>
      <c r="M991" s="19"/>
      <c r="N991" s="131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135"/>
      <c r="M992" s="19"/>
      <c r="N992" s="131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135"/>
      <c r="M993" s="19"/>
      <c r="N993" s="131"/>
      <c r="O993" s="30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135"/>
      <c r="M994" s="19"/>
      <c r="N994" s="131"/>
      <c r="O994" s="30"/>
      <c r="P994" s="29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135"/>
      <c r="M995" s="19"/>
      <c r="N995" s="131"/>
      <c r="O995" s="30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135"/>
      <c r="M996" s="19"/>
      <c r="N996" s="131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135"/>
      <c r="M997" s="19"/>
      <c r="N997" s="131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135"/>
      <c r="M998" s="19"/>
      <c r="N998" s="131"/>
      <c r="O998" s="30"/>
      <c r="P998" s="29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135"/>
      <c r="M999" s="19"/>
      <c r="N999" s="131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135"/>
      <c r="M1000" s="19"/>
      <c r="N1000" s="131"/>
      <c r="O1000" s="30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Z$1000"/>
  <mergeCells count="6">
    <mergeCell ref="C1:O1"/>
    <mergeCell ref="G4:N4"/>
    <mergeCell ref="G5:G6"/>
    <mergeCell ref="H5:H6"/>
    <mergeCell ref="I5:K5"/>
    <mergeCell ref="L5:N5"/>
  </mergeCells>
  <conditionalFormatting sqref="I8:J8 I10:K10 I18 I44 I54 I64 I72 I77 I80 I85 I88 I90">
    <cfRule type="expression" dxfId="3" priority="1">
      <formula>AND(ISODD(ROW()),ROW()&gt;ROW($G$6))</formula>
    </cfRule>
  </conditionalFormatting>
  <conditionalFormatting sqref="G2:N1000">
    <cfRule type="expression" dxfId="3" priority="2">
      <formula>AND(ISODD(ROW()),ROW()&gt;ROW($G$7))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1" t="s">
        <v>2699</v>
      </c>
      <c r="B1" s="2"/>
      <c r="C1" s="3" t="s">
        <v>2700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2701</v>
      </c>
      <c r="D4" s="21"/>
      <c r="E4" s="20"/>
      <c r="F4" s="21"/>
      <c r="G4" s="23" t="s">
        <v>2702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109">
        <f>SUMIF(M:M,"账单户广告费",N:N)</f>
        <v>1370508.19</v>
      </c>
      <c r="T6" s="26" t="s">
        <v>1829</v>
      </c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999</v>
      </c>
      <c r="D7" s="54" t="s">
        <v>16</v>
      </c>
      <c r="E7" s="29"/>
      <c r="F7" s="30"/>
      <c r="G7" s="55">
        <v>1.0</v>
      </c>
      <c r="H7" s="241">
        <v>45443.0</v>
      </c>
      <c r="I7" s="57" t="s">
        <v>1000</v>
      </c>
      <c r="J7" s="58">
        <f>'5月收支财务报表'!C13</f>
        <v>9637.058</v>
      </c>
      <c r="K7" s="59"/>
      <c r="L7" s="60"/>
      <c r="M7" s="61"/>
      <c r="N7" s="62"/>
      <c r="O7" s="63"/>
      <c r="P7" s="205"/>
      <c r="Q7" s="41"/>
      <c r="R7" s="39"/>
      <c r="S7" s="109">
        <f>SUMIF(M:M,"启航广告费",N:N)</f>
        <v>309169.84</v>
      </c>
      <c r="T7" s="26" t="s">
        <v>827</v>
      </c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45444.0</v>
      </c>
      <c r="I8" s="68"/>
      <c r="J8" s="69"/>
      <c r="K8" s="70"/>
      <c r="L8" s="88"/>
      <c r="M8" s="72" t="s">
        <v>827</v>
      </c>
      <c r="N8" s="90">
        <v>10000.0</v>
      </c>
      <c r="O8" s="74" t="s">
        <v>2703</v>
      </c>
      <c r="P8" s="75">
        <v>0.5756944444444444</v>
      </c>
      <c r="Q8" s="41"/>
      <c r="R8" s="39"/>
      <c r="S8" s="109">
        <f>SUMIF(M:M,"小h广告费",N:N)</f>
        <v>29290</v>
      </c>
      <c r="T8" s="26" t="s">
        <v>2468</v>
      </c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1964389.588</v>
      </c>
      <c r="D9" s="30"/>
      <c r="E9" s="29"/>
      <c r="F9" s="30"/>
      <c r="G9" s="66">
        <v>3.0</v>
      </c>
      <c r="H9" s="153">
        <v>45444.0</v>
      </c>
      <c r="I9" s="68"/>
      <c r="J9" s="69"/>
      <c r="K9" s="70"/>
      <c r="L9" s="88"/>
      <c r="M9" s="72" t="s">
        <v>20</v>
      </c>
      <c r="N9" s="90">
        <v>357.0</v>
      </c>
      <c r="O9" s="74" t="s">
        <v>2109</v>
      </c>
      <c r="P9" s="75">
        <v>0.7104166666666667</v>
      </c>
      <c r="Q9" s="41"/>
      <c r="R9" s="39"/>
      <c r="S9" s="109">
        <f>SUMIF(M:M,"飞书广告费",N:N)</f>
        <v>101000</v>
      </c>
      <c r="T9" s="26" t="s">
        <v>2502</v>
      </c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45445.0</v>
      </c>
      <c r="I10" s="84"/>
      <c r="J10" s="17"/>
      <c r="K10" s="85"/>
      <c r="L10" s="86"/>
      <c r="M10" s="72" t="s">
        <v>20</v>
      </c>
      <c r="N10" s="90">
        <v>51.5</v>
      </c>
      <c r="O10" s="74" t="s">
        <v>2704</v>
      </c>
      <c r="P10" s="75">
        <v>0.6958333333333333</v>
      </c>
      <c r="Q10" s="41"/>
      <c r="R10" s="39"/>
      <c r="S10" s="109">
        <f>SUMIF(M:M,"远程佣金",N:N)</f>
        <v>15994.44</v>
      </c>
      <c r="T10" s="26" t="s">
        <v>2393</v>
      </c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1960291.6</v>
      </c>
      <c r="D11" s="30"/>
      <c r="E11" s="29"/>
      <c r="F11" s="30"/>
      <c r="G11" s="66">
        <v>5.0</v>
      </c>
      <c r="H11" s="153">
        <v>45445.0</v>
      </c>
      <c r="I11" s="68" t="s">
        <v>2705</v>
      </c>
      <c r="J11" s="69">
        <v>20000.0</v>
      </c>
      <c r="K11" s="87"/>
      <c r="L11" s="71">
        <v>0.9048611111111111</v>
      </c>
      <c r="M11" s="72"/>
      <c r="N11" s="90"/>
      <c r="O11" s="74"/>
      <c r="P11" s="94"/>
      <c r="Q11" s="41"/>
      <c r="R11" s="39"/>
      <c r="S11" s="190">
        <f>SUMIF(M:M,"广告配套",N:N)+'6月启航小h充值详情'!M10</f>
        <v>26123.1</v>
      </c>
      <c r="T11" s="26" t="s">
        <v>20</v>
      </c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45446.0</v>
      </c>
      <c r="I12" s="68" t="s">
        <v>1841</v>
      </c>
      <c r="J12" s="69">
        <v>50000.0</v>
      </c>
      <c r="K12" s="87"/>
      <c r="L12" s="71">
        <v>0.4215277777777778</v>
      </c>
      <c r="M12" s="72" t="s">
        <v>1841</v>
      </c>
      <c r="N12" s="90">
        <v>50000.0</v>
      </c>
      <c r="O12" s="74" t="s">
        <v>2408</v>
      </c>
      <c r="P12" s="75">
        <v>0.4909722222222222</v>
      </c>
      <c r="Q12" s="41"/>
      <c r="R12" s="39"/>
      <c r="S12" s="109">
        <f>SUMIF(I:I,"金鑫印度8期（16000）",J:J)</f>
        <v>400000</v>
      </c>
      <c r="T12" s="26" t="s">
        <v>2705</v>
      </c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4097.988</v>
      </c>
      <c r="D13" s="30"/>
      <c r="E13" s="29"/>
      <c r="F13" s="30"/>
      <c r="G13" s="66">
        <v>7.0</v>
      </c>
      <c r="H13" s="153">
        <v>45446.0</v>
      </c>
      <c r="I13" s="68" t="s">
        <v>2706</v>
      </c>
      <c r="J13" s="69">
        <v>50000.0</v>
      </c>
      <c r="K13" s="87"/>
      <c r="L13" s="71">
        <v>0.5020833333333333</v>
      </c>
      <c r="M13" s="72" t="s">
        <v>1829</v>
      </c>
      <c r="N13" s="90">
        <v>15000.0</v>
      </c>
      <c r="O13" s="74" t="s">
        <v>2109</v>
      </c>
      <c r="P13" s="75">
        <v>0.5284722222222222</v>
      </c>
      <c r="Q13" s="41"/>
      <c r="R13" s="39"/>
      <c r="S13" s="109">
        <f>SUMIF(I:I,"六亿(40000粉）6月",J:J)</f>
        <v>325000</v>
      </c>
      <c r="T13" s="26" t="s">
        <v>2706</v>
      </c>
      <c r="U13" s="40">
        <f>S13+'5月收支财务报表'!Q17</f>
        <v>425000</v>
      </c>
      <c r="V13" s="76" t="s">
        <v>2707</v>
      </c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45446.0</v>
      </c>
      <c r="I14" s="84"/>
      <c r="J14" s="17"/>
      <c r="K14" s="85"/>
      <c r="L14" s="86"/>
      <c r="M14" s="72" t="s">
        <v>827</v>
      </c>
      <c r="N14" s="90">
        <v>10000.0</v>
      </c>
      <c r="O14" s="74" t="s">
        <v>2703</v>
      </c>
      <c r="P14" s="75">
        <v>0.53125</v>
      </c>
      <c r="Q14" s="41"/>
      <c r="R14" s="39"/>
      <c r="S14" s="190">
        <f>SUMIF(I:I,"代理一期（5000）亚瑟",J:J)-N106</f>
        <v>23870</v>
      </c>
      <c r="T14" s="26" t="s">
        <v>2708</v>
      </c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45446.0</v>
      </c>
      <c r="I15" s="68" t="s">
        <v>2708</v>
      </c>
      <c r="J15" s="69">
        <v>11000.0</v>
      </c>
      <c r="K15" s="87"/>
      <c r="L15" s="71">
        <v>0.7180555555555556</v>
      </c>
      <c r="M15" s="72" t="s">
        <v>20</v>
      </c>
      <c r="N15" s="90">
        <v>385.0</v>
      </c>
      <c r="O15" s="74" t="s">
        <v>2109</v>
      </c>
      <c r="P15" s="75">
        <v>0.7743055555555556</v>
      </c>
      <c r="Q15" s="41"/>
      <c r="R15" s="39"/>
      <c r="S15" s="109">
        <f>SUMIF(I:I,"澳大利亚，股票/二群—FB/6月",J:J)</f>
        <v>25000</v>
      </c>
      <c r="T15" s="26" t="s">
        <v>2709</v>
      </c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45446.0</v>
      </c>
      <c r="I16" s="154"/>
      <c r="J16" s="17"/>
      <c r="K16" s="92"/>
      <c r="L16" s="173"/>
      <c r="M16" s="72" t="s">
        <v>1829</v>
      </c>
      <c r="N16" s="90">
        <v>20000.0</v>
      </c>
      <c r="O16" s="74" t="s">
        <v>2109</v>
      </c>
      <c r="P16" s="75">
        <v>0.8020833333333334</v>
      </c>
      <c r="Q16" s="41"/>
      <c r="R16" s="39"/>
      <c r="S16" s="109">
        <f>SUMIF(I:I,"叶凡（16800）6月",J:J)</f>
        <v>125000</v>
      </c>
      <c r="T16" s="26" t="s">
        <v>2710</v>
      </c>
      <c r="U16" s="40">
        <f>S16+'5月收支财务报表'!Q18</f>
        <v>175000</v>
      </c>
      <c r="V16" s="76" t="s">
        <v>2707</v>
      </c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45446.0</v>
      </c>
      <c r="I17" s="154"/>
      <c r="J17" s="17"/>
      <c r="K17" s="92"/>
      <c r="L17" s="173"/>
      <c r="M17" s="72" t="s">
        <v>1829</v>
      </c>
      <c r="N17" s="90">
        <v>18000.0</v>
      </c>
      <c r="O17" s="74" t="s">
        <v>2109</v>
      </c>
      <c r="P17" s="75">
        <v>0.8777777777777778</v>
      </c>
      <c r="Q17" s="41"/>
      <c r="R17" s="39"/>
      <c r="S17" s="109">
        <f>SUMIF(I:I,"英國精粉測試（zhang）",J:J)</f>
        <v>20000</v>
      </c>
      <c r="T17" s="26" t="s">
        <v>2711</v>
      </c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45446.0</v>
      </c>
      <c r="I18" s="154"/>
      <c r="J18" s="17"/>
      <c r="K18" s="92"/>
      <c r="L18" s="173"/>
      <c r="M18" s="72" t="s">
        <v>827</v>
      </c>
      <c r="N18" s="90">
        <v>15000.0</v>
      </c>
      <c r="O18" s="74" t="s">
        <v>2703</v>
      </c>
      <c r="P18" s="75">
        <v>0.8777777777777778</v>
      </c>
      <c r="Q18" s="41"/>
      <c r="R18" s="39"/>
      <c r="S18" s="109">
        <f>SUMIF(I:I,"印度一期（10000）",J:J)</f>
        <v>70000</v>
      </c>
      <c r="T18" s="26" t="s">
        <v>2712</v>
      </c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30">
        <v>45446.0</v>
      </c>
      <c r="I19" s="154" t="s">
        <v>2706</v>
      </c>
      <c r="J19" s="17">
        <v>10.0</v>
      </c>
      <c r="K19" s="93"/>
      <c r="L19" s="155">
        <v>0.8930555555555556</v>
      </c>
      <c r="M19" s="147"/>
      <c r="N19" s="19"/>
      <c r="O19" s="209"/>
      <c r="P19" s="172"/>
      <c r="Q19" s="41"/>
      <c r="R19" s="39"/>
      <c r="S19" s="109">
        <f>SUMIF(I:I,"郭大侠3期（10000）",J:J)</f>
        <v>230000</v>
      </c>
      <c r="T19" s="26" t="s">
        <v>2713</v>
      </c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30">
        <v>45446.0</v>
      </c>
      <c r="I20" s="154" t="s">
        <v>2706</v>
      </c>
      <c r="J20" s="17">
        <v>49990.0</v>
      </c>
      <c r="K20" s="93"/>
      <c r="L20" s="155">
        <v>0.9013888888888889</v>
      </c>
      <c r="M20" s="147"/>
      <c r="N20" s="19"/>
      <c r="O20" s="126"/>
      <c r="P20" s="174"/>
      <c r="Q20" s="41"/>
      <c r="R20" s="39"/>
      <c r="S20" s="109">
        <f>SUMIF(I:I,"金鑫海哥5000粉 6.18",J:J)</f>
        <v>124195</v>
      </c>
      <c r="T20" s="26" t="s">
        <v>2714</v>
      </c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1964389.588</v>
      </c>
      <c r="D21" s="30"/>
      <c r="E21" s="29"/>
      <c r="F21" s="30"/>
      <c r="G21" s="66">
        <v>15.0</v>
      </c>
      <c r="H21" s="130">
        <v>45446.0</v>
      </c>
      <c r="I21" s="154" t="s">
        <v>2705</v>
      </c>
      <c r="J21" s="17">
        <v>50000.0</v>
      </c>
      <c r="K21" s="93"/>
      <c r="L21" s="155">
        <v>0.9041666666666667</v>
      </c>
      <c r="M21" s="147"/>
      <c r="N21" s="19"/>
      <c r="O21" s="126"/>
      <c r="P21" s="174"/>
      <c r="Q21" s="41"/>
      <c r="R21" s="39"/>
      <c r="S21" s="109">
        <f>SUMIF(I:I,"印度度假村（发财组14000)",J:J)</f>
        <v>30000</v>
      </c>
      <c r="T21" s="26" t="s">
        <v>2715</v>
      </c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30">
        <v>45446.0</v>
      </c>
      <c r="I22" s="68" t="s">
        <v>2709</v>
      </c>
      <c r="J22" s="17">
        <v>10000.0</v>
      </c>
      <c r="K22" s="93"/>
      <c r="L22" s="155">
        <v>0.93125</v>
      </c>
      <c r="M22" s="72" t="s">
        <v>1829</v>
      </c>
      <c r="N22" s="19">
        <v>22000.0</v>
      </c>
      <c r="O22" s="74" t="s">
        <v>2109</v>
      </c>
      <c r="P22" s="75">
        <v>0.9354166666666667</v>
      </c>
      <c r="Q22" s="41"/>
      <c r="R22" s="39"/>
      <c r="S22" s="109">
        <f>SUMIF(I:I,"发财（17000）",J:J)</f>
        <v>150000</v>
      </c>
      <c r="T22" s="26" t="s">
        <v>2716</v>
      </c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1960291.6</v>
      </c>
      <c r="D23" s="30"/>
      <c r="E23" s="29"/>
      <c r="F23" s="30"/>
      <c r="G23" s="66">
        <v>17.0</v>
      </c>
      <c r="H23" s="153">
        <v>45447.0</v>
      </c>
      <c r="I23" s="68"/>
      <c r="J23" s="69"/>
      <c r="K23" s="87"/>
      <c r="L23" s="71"/>
      <c r="M23" s="72" t="s">
        <v>1829</v>
      </c>
      <c r="N23" s="90">
        <v>25000.0</v>
      </c>
      <c r="O23" s="74" t="s">
        <v>2109</v>
      </c>
      <c r="P23" s="75">
        <v>0.38263888888888886</v>
      </c>
      <c r="Q23" s="41"/>
      <c r="R23" s="39"/>
      <c r="S23" s="109">
        <f>SUMIF(I:I,"印度10期（20000）阿乐",J:J)</f>
        <v>380000</v>
      </c>
      <c r="T23" s="26" t="s">
        <v>2717</v>
      </c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45447.0</v>
      </c>
      <c r="I24" s="68"/>
      <c r="J24" s="69"/>
      <c r="K24" s="85"/>
      <c r="L24" s="86"/>
      <c r="M24" s="72" t="s">
        <v>20</v>
      </c>
      <c r="N24" s="90">
        <v>51.5</v>
      </c>
      <c r="O24" s="74" t="s">
        <v>2704</v>
      </c>
      <c r="P24" s="75">
        <v>0.4756944444444444</v>
      </c>
      <c r="Q24" s="41"/>
      <c r="R24" s="39"/>
      <c r="S24" s="40"/>
      <c r="T24" s="40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4097.988</v>
      </c>
      <c r="D25" s="30"/>
      <c r="E25" s="29"/>
      <c r="F25" s="30"/>
      <c r="G25" s="66">
        <v>19.0</v>
      </c>
      <c r="H25" s="153">
        <v>45447.0</v>
      </c>
      <c r="I25" s="68"/>
      <c r="J25" s="69"/>
      <c r="K25" s="70"/>
      <c r="L25" s="88"/>
      <c r="M25" s="72" t="s">
        <v>20</v>
      </c>
      <c r="N25" s="90">
        <v>140.0</v>
      </c>
      <c r="O25" s="74" t="s">
        <v>453</v>
      </c>
      <c r="P25" s="75">
        <v>0.6097222222222223</v>
      </c>
      <c r="Q25" s="41"/>
      <c r="R25" s="39"/>
      <c r="S25" s="40"/>
      <c r="T25" s="40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45447.0</v>
      </c>
      <c r="I26" s="68" t="s">
        <v>2710</v>
      </c>
      <c r="J26" s="69">
        <v>11.0</v>
      </c>
      <c r="K26" s="70"/>
      <c r="L26" s="71">
        <v>0.6381944444444444</v>
      </c>
      <c r="M26" s="72"/>
      <c r="N26" s="90"/>
      <c r="O26" s="74"/>
      <c r="P26" s="94"/>
      <c r="Q26" s="41"/>
      <c r="R26" s="39"/>
      <c r="S26" s="40"/>
      <c r="T26" s="40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45447.0</v>
      </c>
      <c r="I27" s="68" t="s">
        <v>2710</v>
      </c>
      <c r="J27" s="69">
        <v>49989.0</v>
      </c>
      <c r="K27" s="70"/>
      <c r="L27" s="71">
        <v>0.6416666666666667</v>
      </c>
      <c r="M27" s="72" t="s">
        <v>827</v>
      </c>
      <c r="N27" s="90">
        <v>20000.0</v>
      </c>
      <c r="O27" s="74" t="s">
        <v>2703</v>
      </c>
      <c r="P27" s="75">
        <v>0.7298611111111111</v>
      </c>
      <c r="Q27" s="41"/>
      <c r="R27" s="39"/>
      <c r="S27" s="40"/>
      <c r="T27" s="40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45447.0</v>
      </c>
      <c r="I28" s="68"/>
      <c r="J28" s="69"/>
      <c r="K28" s="85"/>
      <c r="L28" s="86"/>
      <c r="M28" s="72" t="s">
        <v>1829</v>
      </c>
      <c r="N28" s="90">
        <v>30000.0</v>
      </c>
      <c r="O28" s="74" t="s">
        <v>2109</v>
      </c>
      <c r="P28" s="75">
        <v>0.7354166666666667</v>
      </c>
      <c r="Q28" s="41"/>
      <c r="R28" s="39"/>
      <c r="S28" s="40"/>
      <c r="T28" s="40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45447.0</v>
      </c>
      <c r="I29" s="68" t="s">
        <v>2705</v>
      </c>
      <c r="J29" s="69">
        <v>80000.0</v>
      </c>
      <c r="K29" s="70"/>
      <c r="L29" s="71">
        <v>0.7840277777777778</v>
      </c>
      <c r="M29" s="72" t="s">
        <v>20</v>
      </c>
      <c r="N29" s="90">
        <v>694.0</v>
      </c>
      <c r="O29" s="74" t="s">
        <v>2109</v>
      </c>
      <c r="P29" s="75">
        <v>0.7958333333333333</v>
      </c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45447.0</v>
      </c>
      <c r="I30" s="68"/>
      <c r="J30" s="69"/>
      <c r="K30" s="85"/>
      <c r="L30" s="86"/>
      <c r="M30" s="72" t="s">
        <v>20</v>
      </c>
      <c r="N30" s="90">
        <v>77.0</v>
      </c>
      <c r="O30" s="74" t="s">
        <v>2109</v>
      </c>
      <c r="P30" s="75">
        <v>0.7993055555555556</v>
      </c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45447.0</v>
      </c>
      <c r="I31" s="68"/>
      <c r="J31" s="69"/>
      <c r="K31" s="70"/>
      <c r="L31" s="88"/>
      <c r="M31" s="72" t="s">
        <v>1829</v>
      </c>
      <c r="N31" s="90">
        <v>20000.0</v>
      </c>
      <c r="O31" s="74" t="s">
        <v>2109</v>
      </c>
      <c r="P31" s="75">
        <v>0.8847222222222222</v>
      </c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45447.0</v>
      </c>
      <c r="I32" s="84"/>
      <c r="J32" s="17"/>
      <c r="K32" s="85"/>
      <c r="L32" s="86"/>
      <c r="M32" s="72" t="s">
        <v>2502</v>
      </c>
      <c r="N32" s="90">
        <v>1.0</v>
      </c>
      <c r="O32" s="74" t="s">
        <v>2583</v>
      </c>
      <c r="P32" s="75">
        <v>0.8868055555555555</v>
      </c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45447.0</v>
      </c>
      <c r="I33" s="154" t="s">
        <v>2706</v>
      </c>
      <c r="J33" s="69">
        <v>10.0</v>
      </c>
      <c r="K33" s="70"/>
      <c r="L33" s="71">
        <v>0.9159722222222222</v>
      </c>
      <c r="M33" s="72" t="s">
        <v>2502</v>
      </c>
      <c r="N33" s="90">
        <v>11999.0</v>
      </c>
      <c r="O33" s="74" t="s">
        <v>2583</v>
      </c>
      <c r="P33" s="75">
        <v>0.9076388888888889</v>
      </c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45447.0</v>
      </c>
      <c r="I34" s="154" t="s">
        <v>2706</v>
      </c>
      <c r="J34" s="69">
        <v>49990.0</v>
      </c>
      <c r="K34" s="87"/>
      <c r="L34" s="71">
        <v>0.91875</v>
      </c>
      <c r="M34" s="72"/>
      <c r="N34" s="90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45447.0</v>
      </c>
      <c r="I35" s="68" t="s">
        <v>2709</v>
      </c>
      <c r="J35" s="69">
        <v>10000.0</v>
      </c>
      <c r="K35" s="85"/>
      <c r="L35" s="71">
        <v>0.9284722222222223</v>
      </c>
      <c r="M35" s="72"/>
      <c r="N35" s="90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45448.0</v>
      </c>
      <c r="I36" s="84"/>
      <c r="J36" s="17"/>
      <c r="K36" s="85"/>
      <c r="L36" s="86"/>
      <c r="M36" s="72" t="s">
        <v>1829</v>
      </c>
      <c r="N36" s="90">
        <v>20100.0</v>
      </c>
      <c r="O36" s="74" t="s">
        <v>2109</v>
      </c>
      <c r="P36" s="75">
        <v>0.0020833333333333333</v>
      </c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45448.0</v>
      </c>
      <c r="I37" s="68"/>
      <c r="J37" s="69"/>
      <c r="K37" s="85"/>
      <c r="L37" s="86"/>
      <c r="M37" s="72" t="s">
        <v>20</v>
      </c>
      <c r="N37" s="90">
        <v>51.5</v>
      </c>
      <c r="O37" s="74" t="s">
        <v>2704</v>
      </c>
      <c r="P37" s="75">
        <v>0.4305555555555556</v>
      </c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45448.0</v>
      </c>
      <c r="I38" s="68"/>
      <c r="J38" s="69"/>
      <c r="K38" s="85"/>
      <c r="L38" s="86"/>
      <c r="M38" s="72" t="s">
        <v>1829</v>
      </c>
      <c r="N38" s="90">
        <v>30000.0</v>
      </c>
      <c r="O38" s="74" t="s">
        <v>2109</v>
      </c>
      <c r="P38" s="75">
        <v>0.48541666666666666</v>
      </c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45448.0</v>
      </c>
      <c r="I39" s="68"/>
      <c r="J39" s="69"/>
      <c r="K39" s="70"/>
      <c r="L39" s="88"/>
      <c r="M39" s="72" t="s">
        <v>20</v>
      </c>
      <c r="N39" s="90">
        <v>200.0</v>
      </c>
      <c r="O39" s="74" t="s">
        <v>211</v>
      </c>
      <c r="P39" s="75">
        <v>0.5305555555555556</v>
      </c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45448.0</v>
      </c>
      <c r="I40" s="68"/>
      <c r="J40" s="69"/>
      <c r="K40" s="70"/>
      <c r="L40" s="88"/>
      <c r="M40" s="72" t="s">
        <v>20</v>
      </c>
      <c r="N40" s="90">
        <v>3470.0</v>
      </c>
      <c r="O40" s="74" t="s">
        <v>2109</v>
      </c>
      <c r="P40" s="75">
        <v>0.64375</v>
      </c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45448.0</v>
      </c>
      <c r="I41" s="68"/>
      <c r="J41" s="69"/>
      <c r="K41" s="70"/>
      <c r="L41" s="88"/>
      <c r="M41" s="72" t="s">
        <v>20</v>
      </c>
      <c r="N41" s="90">
        <f>340+20</f>
        <v>360</v>
      </c>
      <c r="O41" s="74" t="s">
        <v>2109</v>
      </c>
      <c r="P41" s="75">
        <v>0.7076388888888889</v>
      </c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45448.0</v>
      </c>
      <c r="I42" s="68"/>
      <c r="J42" s="69"/>
      <c r="K42" s="70"/>
      <c r="L42" s="88"/>
      <c r="M42" s="72" t="s">
        <v>827</v>
      </c>
      <c r="N42" s="90">
        <v>30000.0</v>
      </c>
      <c r="O42" s="74" t="s">
        <v>2703</v>
      </c>
      <c r="P42" s="75">
        <v>0.7291666666666666</v>
      </c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45448.0</v>
      </c>
      <c r="I43" s="68" t="s">
        <v>1841</v>
      </c>
      <c r="J43" s="69">
        <v>1346.03</v>
      </c>
      <c r="K43" s="87"/>
      <c r="L43" s="71">
        <v>0.7819444444444444</v>
      </c>
      <c r="M43" s="72" t="s">
        <v>1841</v>
      </c>
      <c r="N43" s="90">
        <v>1346.03</v>
      </c>
      <c r="O43" s="74" t="s">
        <v>2718</v>
      </c>
      <c r="P43" s="75">
        <v>0.7652777777777777</v>
      </c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45448.0</v>
      </c>
      <c r="I44" s="84"/>
      <c r="J44" s="17"/>
      <c r="K44" s="85"/>
      <c r="L44" s="86"/>
      <c r="M44" s="72" t="s">
        <v>2502</v>
      </c>
      <c r="N44" s="90">
        <v>10000.0</v>
      </c>
      <c r="O44" s="74" t="s">
        <v>2583</v>
      </c>
      <c r="P44" s="75">
        <v>0.7708333333333334</v>
      </c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45448.0</v>
      </c>
      <c r="I45" s="68"/>
      <c r="J45" s="69"/>
      <c r="K45" s="85"/>
      <c r="L45" s="86"/>
      <c r="M45" s="72" t="s">
        <v>1829</v>
      </c>
      <c r="N45" s="90">
        <v>25000.0</v>
      </c>
      <c r="O45" s="74" t="s">
        <v>2109</v>
      </c>
      <c r="P45" s="75">
        <v>0.8638888888888889</v>
      </c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45449.0</v>
      </c>
      <c r="I46" s="84"/>
      <c r="J46" s="17"/>
      <c r="K46" s="85"/>
      <c r="L46" s="86"/>
      <c r="M46" s="72" t="s">
        <v>1829</v>
      </c>
      <c r="N46" s="90">
        <v>32000.0</v>
      </c>
      <c r="O46" s="74" t="s">
        <v>2109</v>
      </c>
      <c r="P46" s="75">
        <v>0.4465277777777778</v>
      </c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45449.0</v>
      </c>
      <c r="I47" s="68" t="s">
        <v>2711</v>
      </c>
      <c r="J47" s="69">
        <v>100.0</v>
      </c>
      <c r="K47" s="70"/>
      <c r="L47" s="71">
        <v>0.5090277777777777</v>
      </c>
      <c r="M47" s="72"/>
      <c r="N47" s="90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45449.0</v>
      </c>
      <c r="I48" s="68" t="s">
        <v>2711</v>
      </c>
      <c r="J48" s="69">
        <v>19900.0</v>
      </c>
      <c r="K48" s="87"/>
      <c r="L48" s="71">
        <v>0.5125</v>
      </c>
      <c r="M48" s="72"/>
      <c r="N48" s="90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45449.0</v>
      </c>
      <c r="I49" s="68" t="s">
        <v>2709</v>
      </c>
      <c r="J49" s="69">
        <v>5000.0</v>
      </c>
      <c r="K49" s="85"/>
      <c r="L49" s="71">
        <v>0.5409722222222222</v>
      </c>
      <c r="M49" s="147" t="s">
        <v>1829</v>
      </c>
      <c r="N49" s="90">
        <v>35000.0</v>
      </c>
      <c r="O49" s="126" t="s">
        <v>2109</v>
      </c>
      <c r="P49" s="75">
        <v>0.7743055555555556</v>
      </c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45449.0</v>
      </c>
      <c r="I50" s="68" t="s">
        <v>2712</v>
      </c>
      <c r="J50" s="69">
        <v>70000.0</v>
      </c>
      <c r="K50" s="85"/>
      <c r="L50" s="71">
        <v>0.9819444444444444</v>
      </c>
      <c r="M50" s="72"/>
      <c r="N50" s="90"/>
      <c r="O50" s="74"/>
      <c r="P50" s="94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45450.0</v>
      </c>
      <c r="I51" s="68"/>
      <c r="J51" s="69"/>
      <c r="K51" s="87"/>
      <c r="L51" s="71"/>
      <c r="M51" s="147" t="s">
        <v>1829</v>
      </c>
      <c r="N51" s="90">
        <v>35000.0</v>
      </c>
      <c r="O51" s="126" t="s">
        <v>2109</v>
      </c>
      <c r="P51" s="75">
        <v>0.4041666666666667</v>
      </c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45450.0</v>
      </c>
      <c r="I52" s="68"/>
      <c r="J52" s="69"/>
      <c r="K52" s="87"/>
      <c r="L52" s="71"/>
      <c r="M52" s="72" t="s">
        <v>827</v>
      </c>
      <c r="N52" s="90">
        <v>20000.0</v>
      </c>
      <c r="O52" s="74" t="s">
        <v>2703</v>
      </c>
      <c r="P52" s="75">
        <v>0.41388888888888886</v>
      </c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45450.0</v>
      </c>
      <c r="I53" s="68"/>
      <c r="J53" s="69"/>
      <c r="K53" s="70"/>
      <c r="L53" s="88"/>
      <c r="M53" s="72" t="s">
        <v>2502</v>
      </c>
      <c r="N53" s="90">
        <v>10000.0</v>
      </c>
      <c r="O53" s="74" t="s">
        <v>2583</v>
      </c>
      <c r="P53" s="75">
        <v>0.48125</v>
      </c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45450.0</v>
      </c>
      <c r="I54" s="84"/>
      <c r="J54" s="17"/>
      <c r="K54" s="85"/>
      <c r="L54" s="86"/>
      <c r="M54" s="72" t="s">
        <v>20</v>
      </c>
      <c r="N54" s="90">
        <v>5465.0</v>
      </c>
      <c r="O54" s="74" t="s">
        <v>2109</v>
      </c>
      <c r="P54" s="75">
        <v>0.49722222222222223</v>
      </c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45450.0</v>
      </c>
      <c r="I55" s="68"/>
      <c r="J55" s="69"/>
      <c r="K55" s="87"/>
      <c r="L55" s="71"/>
      <c r="M55" s="72" t="s">
        <v>20</v>
      </c>
      <c r="N55" s="90">
        <v>600.0</v>
      </c>
      <c r="O55" s="74" t="s">
        <v>2109</v>
      </c>
      <c r="P55" s="75">
        <v>0.4986111111111111</v>
      </c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45450.0</v>
      </c>
      <c r="I56" s="154" t="s">
        <v>2706</v>
      </c>
      <c r="J56" s="69">
        <v>10.0</v>
      </c>
      <c r="K56" s="87"/>
      <c r="L56" s="71">
        <v>0.8388888888888889</v>
      </c>
      <c r="M56" s="72" t="s">
        <v>827</v>
      </c>
      <c r="N56" s="90">
        <v>9000.0</v>
      </c>
      <c r="O56" s="74" t="s">
        <v>2703</v>
      </c>
      <c r="P56" s="75">
        <v>0.6763888888888889</v>
      </c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45450.0</v>
      </c>
      <c r="I57" s="68" t="s">
        <v>2710</v>
      </c>
      <c r="J57" s="69">
        <v>10.0</v>
      </c>
      <c r="K57" s="70"/>
      <c r="L57" s="71">
        <v>0.8416666666666667</v>
      </c>
      <c r="M57" s="72"/>
      <c r="N57" s="90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45450.0</v>
      </c>
      <c r="I58" s="68" t="s">
        <v>2706</v>
      </c>
      <c r="J58" s="69">
        <v>49990.0</v>
      </c>
      <c r="K58" s="87"/>
      <c r="L58" s="71">
        <v>0.8430555555555556</v>
      </c>
      <c r="M58" s="147" t="s">
        <v>1829</v>
      </c>
      <c r="N58" s="90">
        <v>30000.0</v>
      </c>
      <c r="O58" s="126" t="s">
        <v>2109</v>
      </c>
      <c r="P58" s="75">
        <v>0.8479166666666667</v>
      </c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45450.0</v>
      </c>
      <c r="I59" s="68" t="s">
        <v>2710</v>
      </c>
      <c r="J59" s="69">
        <v>49990.0</v>
      </c>
      <c r="K59" s="85"/>
      <c r="L59" s="71">
        <v>0.8472222222222222</v>
      </c>
      <c r="M59" s="72" t="s">
        <v>827</v>
      </c>
      <c r="N59" s="90">
        <v>30000.0</v>
      </c>
      <c r="O59" s="74" t="s">
        <v>2703</v>
      </c>
      <c r="P59" s="75">
        <v>0.8493055555555555</v>
      </c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45450.0</v>
      </c>
      <c r="I60" s="68" t="s">
        <v>2705</v>
      </c>
      <c r="J60" s="69">
        <v>50000.0</v>
      </c>
      <c r="K60" s="85"/>
      <c r="L60" s="71">
        <v>0.85</v>
      </c>
      <c r="M60" s="72"/>
      <c r="N60" s="90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45450.0</v>
      </c>
      <c r="I61" s="68" t="s">
        <v>2708</v>
      </c>
      <c r="J61" s="69">
        <v>4400.0</v>
      </c>
      <c r="K61" s="85"/>
      <c r="L61" s="71">
        <v>0.9986111111111111</v>
      </c>
      <c r="M61" s="72"/>
      <c r="N61" s="90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45451.0</v>
      </c>
      <c r="I62" s="68"/>
      <c r="J62" s="69"/>
      <c r="K62" s="87"/>
      <c r="L62" s="71"/>
      <c r="M62" s="147" t="s">
        <v>1829</v>
      </c>
      <c r="N62" s="90">
        <v>36000.0</v>
      </c>
      <c r="O62" s="126" t="s">
        <v>2109</v>
      </c>
      <c r="P62" s="75">
        <v>0.3875</v>
      </c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45451.0</v>
      </c>
      <c r="I63" s="68"/>
      <c r="J63" s="69"/>
      <c r="K63" s="87"/>
      <c r="L63" s="71"/>
      <c r="M63" s="72" t="s">
        <v>2502</v>
      </c>
      <c r="N63" s="90">
        <v>14000.0</v>
      </c>
      <c r="O63" s="74" t="s">
        <v>2583</v>
      </c>
      <c r="P63" s="75">
        <v>0.41944444444444445</v>
      </c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45451.0</v>
      </c>
      <c r="I64" s="68"/>
      <c r="J64" s="69"/>
      <c r="K64" s="87"/>
      <c r="L64" s="71"/>
      <c r="M64" s="72" t="s">
        <v>827</v>
      </c>
      <c r="N64" s="90">
        <v>20000.0</v>
      </c>
      <c r="O64" s="74" t="s">
        <v>2703</v>
      </c>
      <c r="P64" s="75">
        <v>0.55625</v>
      </c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45451.0</v>
      </c>
      <c r="I65" s="68"/>
      <c r="J65" s="69"/>
      <c r="K65" s="70"/>
      <c r="L65" s="88"/>
      <c r="M65" s="72" t="s">
        <v>20</v>
      </c>
      <c r="N65" s="90">
        <v>300.0</v>
      </c>
      <c r="O65" s="74" t="s">
        <v>2719</v>
      </c>
      <c r="P65" s="75">
        <v>0.6493055555555556</v>
      </c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45451.0</v>
      </c>
      <c r="I66" s="68"/>
      <c r="J66" s="69"/>
      <c r="K66" s="70"/>
      <c r="L66" s="88"/>
      <c r="M66" s="147" t="s">
        <v>1829</v>
      </c>
      <c r="N66" s="90">
        <v>20000.0</v>
      </c>
      <c r="O66" s="126" t="s">
        <v>2109</v>
      </c>
      <c r="P66" s="75">
        <v>0.7097222222222223</v>
      </c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45451.0</v>
      </c>
      <c r="I67" s="68" t="s">
        <v>2705</v>
      </c>
      <c r="J67" s="69">
        <v>80000.0</v>
      </c>
      <c r="K67" s="87"/>
      <c r="L67" s="71">
        <v>0.7381944444444445</v>
      </c>
      <c r="M67" s="147" t="s">
        <v>1829</v>
      </c>
      <c r="N67" s="90">
        <v>45000.0</v>
      </c>
      <c r="O67" s="126" t="s">
        <v>2109</v>
      </c>
      <c r="P67" s="75">
        <v>0.8</v>
      </c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45452.0</v>
      </c>
      <c r="I68" s="84"/>
      <c r="J68" s="17"/>
      <c r="K68" s="85"/>
      <c r="L68" s="86"/>
      <c r="M68" s="147" t="s">
        <v>1829</v>
      </c>
      <c r="N68" s="90">
        <v>30000.0</v>
      </c>
      <c r="O68" s="126" t="s">
        <v>2109</v>
      </c>
      <c r="P68" s="75">
        <v>0.6513888888888889</v>
      </c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45452.0</v>
      </c>
      <c r="I69" s="68" t="s">
        <v>2705</v>
      </c>
      <c r="J69" s="69">
        <v>80000.0</v>
      </c>
      <c r="K69" s="85"/>
      <c r="L69" s="71">
        <v>0.7215277777777778</v>
      </c>
      <c r="M69" s="72"/>
      <c r="N69" s="90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45452.0</v>
      </c>
      <c r="I70" s="68" t="s">
        <v>2708</v>
      </c>
      <c r="J70" s="69">
        <v>8800.0</v>
      </c>
      <c r="K70" s="70"/>
      <c r="L70" s="71">
        <v>0.7833333333333333</v>
      </c>
      <c r="M70" s="72"/>
      <c r="N70" s="90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45452.0</v>
      </c>
      <c r="I71" s="68" t="s">
        <v>2713</v>
      </c>
      <c r="J71" s="69">
        <v>100.0</v>
      </c>
      <c r="K71" s="87"/>
      <c r="L71" s="71">
        <v>0.7840277777777778</v>
      </c>
      <c r="M71" s="72"/>
      <c r="N71" s="90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45452.0</v>
      </c>
      <c r="I72" s="68" t="s">
        <v>2713</v>
      </c>
      <c r="J72" s="69">
        <v>22900.0</v>
      </c>
      <c r="K72" s="85"/>
      <c r="L72" s="71">
        <v>0.7895833333333333</v>
      </c>
      <c r="M72" s="147" t="s">
        <v>1829</v>
      </c>
      <c r="N72" s="90">
        <v>31000.0</v>
      </c>
      <c r="O72" s="126" t="s">
        <v>2109</v>
      </c>
      <c r="P72" s="75">
        <v>0.9298611111111111</v>
      </c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45453.0</v>
      </c>
      <c r="I73" s="154" t="s">
        <v>2706</v>
      </c>
      <c r="J73" s="69">
        <v>10.0</v>
      </c>
      <c r="K73" s="93"/>
      <c r="L73" s="71">
        <v>0.5604166666666667</v>
      </c>
      <c r="M73" s="72"/>
      <c r="N73" s="90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45453.0</v>
      </c>
      <c r="I74" s="68" t="s">
        <v>2710</v>
      </c>
      <c r="J74" s="69">
        <v>10.0</v>
      </c>
      <c r="K74" s="87"/>
      <c r="L74" s="71">
        <v>0.5604166666666667</v>
      </c>
      <c r="M74" s="72"/>
      <c r="N74" s="90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45453.0</v>
      </c>
      <c r="I75" s="154" t="s">
        <v>2706</v>
      </c>
      <c r="J75" s="69">
        <v>24990.0</v>
      </c>
      <c r="K75" s="87"/>
      <c r="L75" s="71">
        <v>0.5715277777777777</v>
      </c>
      <c r="M75" s="72"/>
      <c r="N75" s="90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45453.0</v>
      </c>
      <c r="I76" s="68" t="s">
        <v>2710</v>
      </c>
      <c r="J76" s="69">
        <v>24990.0</v>
      </c>
      <c r="K76" s="85"/>
      <c r="L76" s="71">
        <v>0.5715277777777777</v>
      </c>
      <c r="M76" s="72" t="s">
        <v>2393</v>
      </c>
      <c r="N76" s="90">
        <v>5332.93</v>
      </c>
      <c r="O76" s="74" t="s">
        <v>2720</v>
      </c>
      <c r="P76" s="75">
        <v>0.5965277777777778</v>
      </c>
      <c r="Q76" s="41"/>
      <c r="R76" s="39"/>
      <c r="S76" s="76" t="s">
        <v>2720</v>
      </c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45453.0</v>
      </c>
      <c r="I77" s="68"/>
      <c r="J77" s="69"/>
      <c r="K77" s="87"/>
      <c r="L77" s="71"/>
      <c r="M77" s="147" t="s">
        <v>1829</v>
      </c>
      <c r="N77" s="90">
        <v>35000.0</v>
      </c>
      <c r="O77" s="126" t="s">
        <v>2109</v>
      </c>
      <c r="P77" s="75">
        <v>0.6173611111111111</v>
      </c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45453.0</v>
      </c>
      <c r="I78" s="68"/>
      <c r="J78" s="69"/>
      <c r="K78" s="87"/>
      <c r="L78" s="71"/>
      <c r="M78" s="72" t="s">
        <v>2502</v>
      </c>
      <c r="N78" s="90">
        <v>15000.0</v>
      </c>
      <c r="O78" s="74" t="s">
        <v>2583</v>
      </c>
      <c r="P78" s="75">
        <v>0.63125</v>
      </c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45453.0</v>
      </c>
      <c r="I79" s="68" t="s">
        <v>2705</v>
      </c>
      <c r="J79" s="69">
        <v>40000.0</v>
      </c>
      <c r="K79" s="70"/>
      <c r="L79" s="71">
        <v>0.6715277777777777</v>
      </c>
      <c r="M79" s="147" t="s">
        <v>1829</v>
      </c>
      <c r="N79" s="90">
        <v>45000.0</v>
      </c>
      <c r="O79" s="126" t="s">
        <v>2109</v>
      </c>
      <c r="P79" s="75">
        <v>0.8486111111111111</v>
      </c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45453.0</v>
      </c>
      <c r="I80" s="154"/>
      <c r="J80" s="17"/>
      <c r="K80" s="92"/>
      <c r="L80" s="173"/>
      <c r="M80" s="72" t="s">
        <v>827</v>
      </c>
      <c r="N80" s="90">
        <v>15000.0</v>
      </c>
      <c r="O80" s="74" t="s">
        <v>2703</v>
      </c>
      <c r="P80" s="75">
        <v>0.85</v>
      </c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45454.0</v>
      </c>
      <c r="I81" s="68"/>
      <c r="J81" s="69"/>
      <c r="K81" s="87"/>
      <c r="L81" s="71"/>
      <c r="M81" s="72" t="s">
        <v>2502</v>
      </c>
      <c r="N81" s="90">
        <v>10000.0</v>
      </c>
      <c r="O81" s="74" t="s">
        <v>2583</v>
      </c>
      <c r="P81" s="75">
        <v>0.4534722222222222</v>
      </c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45454.0</v>
      </c>
      <c r="I82" s="68"/>
      <c r="J82" s="69"/>
      <c r="K82" s="87"/>
      <c r="L82" s="71"/>
      <c r="M82" s="147" t="s">
        <v>1829</v>
      </c>
      <c r="N82" s="90">
        <v>35000.0</v>
      </c>
      <c r="O82" s="126" t="s">
        <v>2109</v>
      </c>
      <c r="P82" s="75">
        <v>0.5972222222222222</v>
      </c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45454.0</v>
      </c>
      <c r="I83" s="68"/>
      <c r="J83" s="69"/>
      <c r="K83" s="87"/>
      <c r="L83" s="71"/>
      <c r="M83" s="72" t="s">
        <v>20</v>
      </c>
      <c r="N83" s="90">
        <v>366.0</v>
      </c>
      <c r="O83" s="74" t="s">
        <v>2109</v>
      </c>
      <c r="P83" s="75">
        <v>0.7930555555555555</v>
      </c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45454.0</v>
      </c>
      <c r="I84" s="68"/>
      <c r="J84" s="69"/>
      <c r="K84" s="70"/>
      <c r="L84" s="88"/>
      <c r="M84" s="72" t="s">
        <v>20</v>
      </c>
      <c r="N84" s="90">
        <v>55.0</v>
      </c>
      <c r="O84" s="74" t="s">
        <v>2109</v>
      </c>
      <c r="P84" s="75">
        <v>0.7951388888888888</v>
      </c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45454.0</v>
      </c>
      <c r="I85" s="68" t="s">
        <v>2706</v>
      </c>
      <c r="J85" s="69">
        <v>10.0</v>
      </c>
      <c r="K85" s="70"/>
      <c r="L85" s="71">
        <v>0.8326388888888889</v>
      </c>
      <c r="M85" s="147" t="s">
        <v>1829</v>
      </c>
      <c r="N85" s="90">
        <v>15000.0</v>
      </c>
      <c r="O85" s="126" t="s">
        <v>2109</v>
      </c>
      <c r="P85" s="75">
        <v>0.8333333333333334</v>
      </c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45454.0</v>
      </c>
      <c r="I86" s="68" t="s">
        <v>2706</v>
      </c>
      <c r="J86" s="69">
        <v>49990.0</v>
      </c>
      <c r="K86" s="85"/>
      <c r="L86" s="71">
        <v>0.8354166666666667</v>
      </c>
      <c r="M86" s="147" t="s">
        <v>1829</v>
      </c>
      <c r="N86" s="90">
        <v>36000.0</v>
      </c>
      <c r="O86" s="126" t="s">
        <v>2109</v>
      </c>
      <c r="P86" s="75">
        <v>0.8506944444444444</v>
      </c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45454.0</v>
      </c>
      <c r="I87" s="68" t="s">
        <v>2713</v>
      </c>
      <c r="J87" s="69">
        <v>100.0</v>
      </c>
      <c r="K87" s="85"/>
      <c r="L87" s="71">
        <v>0.8548611111111111</v>
      </c>
      <c r="M87" s="72" t="s">
        <v>827</v>
      </c>
      <c r="N87" s="90">
        <v>5050.0</v>
      </c>
      <c r="O87" s="74" t="s">
        <v>43</v>
      </c>
      <c r="P87" s="75">
        <v>0.8826388888888889</v>
      </c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45454.0</v>
      </c>
      <c r="I88" s="68" t="s">
        <v>2713</v>
      </c>
      <c r="J88" s="69">
        <v>45900.0</v>
      </c>
      <c r="K88" s="85"/>
      <c r="L88" s="71">
        <v>0.8722222222222222</v>
      </c>
      <c r="M88" s="147" t="s">
        <v>1829</v>
      </c>
      <c r="N88" s="90">
        <v>25000.0</v>
      </c>
      <c r="O88" s="126" t="s">
        <v>2109</v>
      </c>
      <c r="P88" s="75">
        <v>0.8833333333333333</v>
      </c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45455.0</v>
      </c>
      <c r="I89" s="68"/>
      <c r="J89" s="69"/>
      <c r="K89" s="70"/>
      <c r="L89" s="88"/>
      <c r="M89" s="147" t="s">
        <v>1829</v>
      </c>
      <c r="N89" s="90">
        <v>30000.0</v>
      </c>
      <c r="O89" s="126" t="s">
        <v>2109</v>
      </c>
      <c r="P89" s="75">
        <v>0.425</v>
      </c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45455.0</v>
      </c>
      <c r="I90" s="84"/>
      <c r="J90" s="17"/>
      <c r="K90" s="85"/>
      <c r="L90" s="86"/>
      <c r="M90" s="72" t="s">
        <v>20</v>
      </c>
      <c r="N90" s="90">
        <v>51.5</v>
      </c>
      <c r="O90" s="74" t="s">
        <v>2704</v>
      </c>
      <c r="P90" s="75">
        <v>0.4888888888888889</v>
      </c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45455.0</v>
      </c>
      <c r="I91" s="68"/>
      <c r="J91" s="69"/>
      <c r="K91" s="87"/>
      <c r="L91" s="71"/>
      <c r="M91" s="72" t="s">
        <v>20</v>
      </c>
      <c r="N91" s="90">
        <v>60.0</v>
      </c>
      <c r="O91" s="74" t="s">
        <v>2721</v>
      </c>
      <c r="P91" s="75">
        <v>0.6465277777777778</v>
      </c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45455.0</v>
      </c>
      <c r="I92" s="84"/>
      <c r="J92" s="17"/>
      <c r="K92" s="85"/>
      <c r="L92" s="86"/>
      <c r="M92" s="72" t="s">
        <v>20</v>
      </c>
      <c r="N92" s="90">
        <v>120.0</v>
      </c>
      <c r="O92" s="74" t="s">
        <v>2721</v>
      </c>
      <c r="P92" s="75">
        <v>0.6618055555555555</v>
      </c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45455.0</v>
      </c>
      <c r="I93" s="68"/>
      <c r="J93" s="69"/>
      <c r="K93" s="70"/>
      <c r="L93" s="88"/>
      <c r="M93" s="147" t="s">
        <v>1829</v>
      </c>
      <c r="N93" s="90">
        <v>4400.0</v>
      </c>
      <c r="O93" s="126" t="s">
        <v>2109</v>
      </c>
      <c r="P93" s="94" t="s">
        <v>2177</v>
      </c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45455.0</v>
      </c>
      <c r="I94" s="68" t="s">
        <v>2706</v>
      </c>
      <c r="J94" s="69">
        <v>20000.0</v>
      </c>
      <c r="K94" s="70">
        <v>1.0</v>
      </c>
      <c r="L94" s="71">
        <v>0.8097222222222222</v>
      </c>
      <c r="M94" s="147" t="s">
        <v>1829</v>
      </c>
      <c r="N94" s="90">
        <v>15000.0</v>
      </c>
      <c r="O94" s="126" t="s">
        <v>2109</v>
      </c>
      <c r="P94" s="75">
        <v>0.8388888888888889</v>
      </c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45455.0</v>
      </c>
      <c r="I95" s="68" t="s">
        <v>2713</v>
      </c>
      <c r="J95" s="69">
        <v>100.0</v>
      </c>
      <c r="K95" s="87"/>
      <c r="L95" s="71">
        <v>0.8743055555555556</v>
      </c>
      <c r="M95" s="147" t="s">
        <v>1829</v>
      </c>
      <c r="N95" s="90">
        <v>5000.0</v>
      </c>
      <c r="O95" s="126" t="s">
        <v>2109</v>
      </c>
      <c r="P95" s="75">
        <v>0.8506944444444444</v>
      </c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45455.0</v>
      </c>
      <c r="I96" s="68" t="s">
        <v>2713</v>
      </c>
      <c r="J96" s="69">
        <v>68900.0</v>
      </c>
      <c r="K96" s="87"/>
      <c r="L96" s="71">
        <v>0.8763888888888889</v>
      </c>
      <c r="M96" s="72" t="s">
        <v>827</v>
      </c>
      <c r="N96" s="90">
        <v>10580.51</v>
      </c>
      <c r="O96" s="74" t="s">
        <v>43</v>
      </c>
      <c r="P96" s="75">
        <v>0.8875</v>
      </c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45455.0</v>
      </c>
      <c r="I97" s="84"/>
      <c r="J97" s="17"/>
      <c r="K97" s="85"/>
      <c r="L97" s="86"/>
      <c r="M97" s="72" t="s">
        <v>827</v>
      </c>
      <c r="N97" s="90">
        <v>20000.0</v>
      </c>
      <c r="O97" s="74" t="s">
        <v>2703</v>
      </c>
      <c r="P97" s="75">
        <v>0.9041666666666667</v>
      </c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45455.0</v>
      </c>
      <c r="I98" s="84"/>
      <c r="J98" s="17"/>
      <c r="K98" s="85"/>
      <c r="L98" s="86"/>
      <c r="M98" s="147" t="s">
        <v>1829</v>
      </c>
      <c r="N98" s="90">
        <v>23000.0</v>
      </c>
      <c r="O98" s="126" t="s">
        <v>2109</v>
      </c>
      <c r="P98" s="75">
        <v>0.9111111111111111</v>
      </c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45455.0</v>
      </c>
      <c r="I99" s="154"/>
      <c r="J99" s="17"/>
      <c r="K99" s="92"/>
      <c r="L99" s="173"/>
      <c r="M99" s="72" t="s">
        <v>20</v>
      </c>
      <c r="N99" s="90">
        <v>140.0</v>
      </c>
      <c r="O99" s="74" t="s">
        <v>2517</v>
      </c>
      <c r="P99" s="75">
        <v>0.9409722222222222</v>
      </c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45455.0</v>
      </c>
      <c r="I100" s="84"/>
      <c r="J100" s="17"/>
      <c r="K100" s="85"/>
      <c r="L100" s="86"/>
      <c r="M100" s="72" t="s">
        <v>2393</v>
      </c>
      <c r="N100" s="90">
        <v>4241.06</v>
      </c>
      <c r="O100" s="74" t="s">
        <v>2722</v>
      </c>
      <c r="P100" s="75">
        <v>0.9451388888888889</v>
      </c>
      <c r="Q100" s="41"/>
      <c r="R100" s="39"/>
      <c r="S100" s="76" t="s">
        <v>2722</v>
      </c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45456.0</v>
      </c>
      <c r="I101" s="84"/>
      <c r="J101" s="17"/>
      <c r="K101" s="87"/>
      <c r="L101" s="71"/>
      <c r="M101" s="147" t="s">
        <v>1829</v>
      </c>
      <c r="N101" s="90">
        <v>10000.0</v>
      </c>
      <c r="O101" s="126" t="s">
        <v>2109</v>
      </c>
      <c r="P101" s="75">
        <v>0.3972222222222222</v>
      </c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45456.0</v>
      </c>
      <c r="I102" s="68" t="s">
        <v>2713</v>
      </c>
      <c r="J102" s="69">
        <v>100.0</v>
      </c>
      <c r="K102" s="87"/>
      <c r="L102" s="71">
        <v>0.5659722222222222</v>
      </c>
      <c r="M102" s="72"/>
      <c r="N102" s="90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45456.0</v>
      </c>
      <c r="I103" s="68" t="s">
        <v>2713</v>
      </c>
      <c r="J103" s="69">
        <v>91900.0</v>
      </c>
      <c r="K103" s="87"/>
      <c r="L103" s="71">
        <v>0.5673611111111111</v>
      </c>
      <c r="M103" s="147" t="s">
        <v>1829</v>
      </c>
      <c r="N103" s="90">
        <v>35000.0</v>
      </c>
      <c r="O103" s="126" t="s">
        <v>2109</v>
      </c>
      <c r="P103" s="75">
        <v>0.5791666666666667</v>
      </c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45456.0</v>
      </c>
      <c r="I104" s="84"/>
      <c r="J104" s="17"/>
      <c r="K104" s="93"/>
      <c r="L104" s="155"/>
      <c r="M104" s="72" t="s">
        <v>2468</v>
      </c>
      <c r="N104" s="90">
        <v>5050.0</v>
      </c>
      <c r="O104" s="74" t="s">
        <v>2723</v>
      </c>
      <c r="P104" s="75">
        <v>0.6055555555555555</v>
      </c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45456.0</v>
      </c>
      <c r="I105" s="68"/>
      <c r="J105" s="69"/>
      <c r="K105" s="87"/>
      <c r="L105" s="71"/>
      <c r="M105" s="72" t="s">
        <v>827</v>
      </c>
      <c r="N105" s="90">
        <v>4040.0</v>
      </c>
      <c r="O105" s="74" t="s">
        <v>43</v>
      </c>
      <c r="P105" s="75">
        <v>0.6138888888888889</v>
      </c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45456.0</v>
      </c>
      <c r="I106" s="154"/>
      <c r="J106" s="17"/>
      <c r="K106" s="93"/>
      <c r="L106" s="155"/>
      <c r="M106" s="72" t="s">
        <v>2708</v>
      </c>
      <c r="N106" s="90">
        <v>330.0</v>
      </c>
      <c r="O106" s="74" t="s">
        <v>2724</v>
      </c>
      <c r="P106" s="75">
        <v>0.6638888888888889</v>
      </c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45456.0</v>
      </c>
      <c r="I107" s="84"/>
      <c r="J107" s="17"/>
      <c r="K107" s="93"/>
      <c r="L107" s="155"/>
      <c r="M107" s="147" t="s">
        <v>1829</v>
      </c>
      <c r="N107" s="90">
        <v>38000.0</v>
      </c>
      <c r="O107" s="126" t="s">
        <v>2109</v>
      </c>
      <c r="P107" s="75">
        <v>0.7576388888888889</v>
      </c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45456.0</v>
      </c>
      <c r="I108" s="84"/>
      <c r="J108" s="17"/>
      <c r="K108" s="85"/>
      <c r="L108" s="86"/>
      <c r="M108" s="72" t="s">
        <v>1829</v>
      </c>
      <c r="N108" s="90">
        <v>10000.0</v>
      </c>
      <c r="O108" s="74" t="s">
        <v>2109</v>
      </c>
      <c r="P108" s="75">
        <v>0.9131944444444444</v>
      </c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45457.0</v>
      </c>
      <c r="I109" s="68" t="s">
        <v>2706</v>
      </c>
      <c r="J109" s="69">
        <v>10000.0</v>
      </c>
      <c r="K109" s="70" t="s">
        <v>2306</v>
      </c>
      <c r="L109" s="71">
        <v>0.5111111111111111</v>
      </c>
      <c r="M109" s="72"/>
      <c r="N109" s="90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45457.0</v>
      </c>
      <c r="I110" s="68" t="s">
        <v>2706</v>
      </c>
      <c r="J110" s="69">
        <v>10000.0</v>
      </c>
      <c r="K110" s="70" t="s">
        <v>2306</v>
      </c>
      <c r="L110" s="71">
        <v>0.6354166666666666</v>
      </c>
      <c r="M110" s="72" t="s">
        <v>2468</v>
      </c>
      <c r="N110" s="90">
        <v>8080.0</v>
      </c>
      <c r="O110" s="74" t="s">
        <v>2723</v>
      </c>
      <c r="P110" s="75">
        <v>0.7083333333333334</v>
      </c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>
        <v>45456.0</v>
      </c>
      <c r="I111" s="154"/>
      <c r="J111" s="17"/>
      <c r="K111" s="92"/>
      <c r="L111" s="173"/>
      <c r="M111" s="147" t="s">
        <v>20</v>
      </c>
      <c r="N111" s="19">
        <v>51.5</v>
      </c>
      <c r="O111" s="126" t="s">
        <v>2572</v>
      </c>
      <c r="P111" s="172">
        <v>0.7694444444444445</v>
      </c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>
        <v>45458.0</v>
      </c>
      <c r="I112" s="84"/>
      <c r="J112" s="17"/>
      <c r="K112" s="85"/>
      <c r="L112" s="86"/>
      <c r="M112" s="147" t="s">
        <v>2468</v>
      </c>
      <c r="N112" s="19">
        <v>8080.0</v>
      </c>
      <c r="O112" s="126" t="s">
        <v>2723</v>
      </c>
      <c r="P112" s="172">
        <v>0.6708333333333333</v>
      </c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>
        <v>45458.0</v>
      </c>
      <c r="I113" s="68" t="s">
        <v>2706</v>
      </c>
      <c r="J113" s="17">
        <v>10000.0</v>
      </c>
      <c r="K113" s="70" t="s">
        <v>2306</v>
      </c>
      <c r="L113" s="155">
        <v>0.7381944444444445</v>
      </c>
      <c r="M113" s="147"/>
      <c r="N113" s="19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>
        <v>45460.0</v>
      </c>
      <c r="I114" s="154"/>
      <c r="J114" s="17"/>
      <c r="K114" s="93"/>
      <c r="L114" s="155"/>
      <c r="M114" s="147" t="s">
        <v>827</v>
      </c>
      <c r="N114" s="19">
        <v>4545.25</v>
      </c>
      <c r="O114" s="126" t="s">
        <v>43</v>
      </c>
      <c r="P114" s="172">
        <v>0.5527777777777778</v>
      </c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>
        <v>45460.0</v>
      </c>
      <c r="I115" s="84"/>
      <c r="J115" s="17"/>
      <c r="K115" s="85"/>
      <c r="L115" s="86"/>
      <c r="M115" s="147" t="s">
        <v>20</v>
      </c>
      <c r="N115" s="19">
        <v>50.0</v>
      </c>
      <c r="O115" s="126" t="s">
        <v>2572</v>
      </c>
      <c r="P115" s="172">
        <v>0.7916666666666666</v>
      </c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>
        <v>45461.0</v>
      </c>
      <c r="I116" s="154" t="s">
        <v>2714</v>
      </c>
      <c r="J116" s="17">
        <v>32199.0</v>
      </c>
      <c r="K116" s="92"/>
      <c r="L116" s="155">
        <v>0.8006944444444445</v>
      </c>
      <c r="M116" s="147" t="s">
        <v>1829</v>
      </c>
      <c r="N116" s="19">
        <v>20000.34</v>
      </c>
      <c r="O116" s="126" t="s">
        <v>2109</v>
      </c>
      <c r="P116" s="172">
        <v>0.8590277777777777</v>
      </c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>
        <v>45461.0</v>
      </c>
      <c r="I117" s="154"/>
      <c r="J117" s="17"/>
      <c r="K117" s="85"/>
      <c r="L117" s="155"/>
      <c r="M117" s="147"/>
      <c r="N117" s="19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>
        <v>45461.0</v>
      </c>
      <c r="I118" s="84" t="s">
        <v>2715</v>
      </c>
      <c r="J118" s="17">
        <v>10.0</v>
      </c>
      <c r="K118" s="93"/>
      <c r="L118" s="155">
        <v>0.9305555555555556</v>
      </c>
      <c r="M118" s="147"/>
      <c r="N118" s="19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>
        <v>45461.0</v>
      </c>
      <c r="I119" s="154" t="s">
        <v>2715</v>
      </c>
      <c r="J119" s="17">
        <v>29990.0</v>
      </c>
      <c r="K119" s="93"/>
      <c r="L119" s="155">
        <v>0.9381944444444444</v>
      </c>
      <c r="M119" s="147"/>
      <c r="N119" s="19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45462.0</v>
      </c>
      <c r="I120" s="68"/>
      <c r="J120" s="69"/>
      <c r="K120" s="87"/>
      <c r="L120" s="71"/>
      <c r="M120" s="147" t="s">
        <v>827</v>
      </c>
      <c r="N120" s="90">
        <v>2667.21</v>
      </c>
      <c r="O120" s="126" t="s">
        <v>43</v>
      </c>
      <c r="P120" s="75">
        <v>0.42986111111111114</v>
      </c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45462.0</v>
      </c>
      <c r="I121" s="84"/>
      <c r="J121" s="17"/>
      <c r="K121" s="70"/>
      <c r="L121" s="88"/>
      <c r="M121" s="72" t="s">
        <v>827</v>
      </c>
      <c r="N121" s="90">
        <v>10000.0</v>
      </c>
      <c r="O121" s="74" t="s">
        <v>2703</v>
      </c>
      <c r="P121" s="75">
        <v>0.4305555555555556</v>
      </c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45462.0</v>
      </c>
      <c r="I122" s="68"/>
      <c r="J122" s="69"/>
      <c r="K122" s="70"/>
      <c r="L122" s="88"/>
      <c r="M122" s="147" t="s">
        <v>1829</v>
      </c>
      <c r="N122" s="90">
        <v>21000.63</v>
      </c>
      <c r="O122" s="126" t="s">
        <v>2109</v>
      </c>
      <c r="P122" s="75">
        <v>0.4305555555555556</v>
      </c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45462.0</v>
      </c>
      <c r="I123" s="68" t="s">
        <v>2714</v>
      </c>
      <c r="J123" s="69">
        <v>27599.0</v>
      </c>
      <c r="K123" s="70"/>
      <c r="L123" s="71">
        <v>0.8729166666666667</v>
      </c>
      <c r="M123" s="72"/>
      <c r="N123" s="90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45463.0</v>
      </c>
      <c r="I124" s="68"/>
      <c r="J124" s="69"/>
      <c r="K124" s="70"/>
      <c r="L124" s="88"/>
      <c r="M124" s="72" t="s">
        <v>2502</v>
      </c>
      <c r="N124" s="90">
        <v>10000.0</v>
      </c>
      <c r="O124" s="74" t="s">
        <v>2583</v>
      </c>
      <c r="P124" s="75">
        <v>0.44722222222222224</v>
      </c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45463.0</v>
      </c>
      <c r="I125" s="84"/>
      <c r="J125" s="17"/>
      <c r="K125" s="85"/>
      <c r="L125" s="86"/>
      <c r="M125" s="72" t="s">
        <v>2725</v>
      </c>
      <c r="N125" s="90">
        <v>20000.0</v>
      </c>
      <c r="O125" s="74"/>
      <c r="P125" s="75">
        <v>0.5083333333333333</v>
      </c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45463.0</v>
      </c>
      <c r="I126" s="84"/>
      <c r="J126" s="17"/>
      <c r="K126" s="85"/>
      <c r="L126" s="86"/>
      <c r="M126" s="72" t="s">
        <v>2393</v>
      </c>
      <c r="N126" s="90">
        <v>2336.75</v>
      </c>
      <c r="O126" s="74" t="s">
        <v>2726</v>
      </c>
      <c r="P126" s="75">
        <v>0.8402777777777778</v>
      </c>
      <c r="Q126" s="41"/>
      <c r="R126" s="39"/>
      <c r="S126" s="76" t="s">
        <v>2726</v>
      </c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45463.0</v>
      </c>
      <c r="I127" s="68" t="s">
        <v>2714</v>
      </c>
      <c r="J127" s="69">
        <v>27599.0</v>
      </c>
      <c r="K127" s="87"/>
      <c r="L127" s="88" t="s">
        <v>360</v>
      </c>
      <c r="M127" s="72"/>
      <c r="N127" s="90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45464.0</v>
      </c>
      <c r="I128" s="68" t="s">
        <v>2716</v>
      </c>
      <c r="J128" s="69">
        <v>10.0</v>
      </c>
      <c r="K128" s="70"/>
      <c r="L128" s="71">
        <v>0.4777777777777778</v>
      </c>
      <c r="M128" s="147"/>
      <c r="N128" s="90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45464.0</v>
      </c>
      <c r="I129" s="68" t="s">
        <v>2716</v>
      </c>
      <c r="J129" s="69">
        <v>19990.0</v>
      </c>
      <c r="K129" s="70"/>
      <c r="L129" s="71">
        <v>0.4826388888888889</v>
      </c>
      <c r="M129" s="147" t="s">
        <v>1829</v>
      </c>
      <c r="N129" s="90">
        <v>20000.9</v>
      </c>
      <c r="O129" s="126" t="s">
        <v>2109</v>
      </c>
      <c r="P129" s="75">
        <v>0.49236111111111114</v>
      </c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45464.0</v>
      </c>
      <c r="I130" s="84"/>
      <c r="J130" s="17"/>
      <c r="K130" s="85"/>
      <c r="L130" s="86"/>
      <c r="M130" s="72" t="s">
        <v>2468</v>
      </c>
      <c r="N130" s="90">
        <v>8080.0</v>
      </c>
      <c r="O130" s="74" t="s">
        <v>2723</v>
      </c>
      <c r="P130" s="75">
        <v>0.49236111111111114</v>
      </c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45464.0</v>
      </c>
      <c r="I131" s="68"/>
      <c r="J131" s="69"/>
      <c r="K131" s="87"/>
      <c r="L131" s="71"/>
      <c r="M131" s="72" t="s">
        <v>20</v>
      </c>
      <c r="N131" s="90">
        <v>623.0</v>
      </c>
      <c r="O131" s="74" t="s">
        <v>2109</v>
      </c>
      <c r="P131" s="75">
        <v>0.7826388888888889</v>
      </c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45464.0</v>
      </c>
      <c r="I132" s="84"/>
      <c r="J132" s="17"/>
      <c r="K132" s="85"/>
      <c r="L132" s="86"/>
      <c r="M132" s="72" t="s">
        <v>20</v>
      </c>
      <c r="N132" s="90">
        <v>70.0</v>
      </c>
      <c r="O132" s="74" t="s">
        <v>2109</v>
      </c>
      <c r="P132" s="75">
        <v>0.7847222222222222</v>
      </c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45464.0</v>
      </c>
      <c r="I133" s="68"/>
      <c r="J133" s="69"/>
      <c r="K133" s="70"/>
      <c r="L133" s="88"/>
      <c r="M133" s="72" t="s">
        <v>827</v>
      </c>
      <c r="N133" s="90">
        <v>10000.0</v>
      </c>
      <c r="O133" s="74" t="s">
        <v>2703</v>
      </c>
      <c r="P133" s="75">
        <v>0.7986111111111112</v>
      </c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45464.0</v>
      </c>
      <c r="I134" s="68"/>
      <c r="J134" s="69"/>
      <c r="K134" s="70"/>
      <c r="L134" s="88"/>
      <c r="M134" s="72" t="s">
        <v>827</v>
      </c>
      <c r="N134" s="90">
        <v>5048.95</v>
      </c>
      <c r="O134" s="74" t="s">
        <v>43</v>
      </c>
      <c r="P134" s="75">
        <v>0.7993055555555556</v>
      </c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45465.0</v>
      </c>
      <c r="I135" s="68" t="s">
        <v>2716</v>
      </c>
      <c r="J135" s="69">
        <v>10.0</v>
      </c>
      <c r="K135" s="85"/>
      <c r="L135" s="71">
        <v>0.4840277777777778</v>
      </c>
      <c r="M135" s="72"/>
      <c r="N135" s="90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45465.0</v>
      </c>
      <c r="I136" s="68" t="s">
        <v>2716</v>
      </c>
      <c r="J136" s="69">
        <v>19990.0</v>
      </c>
      <c r="K136" s="70"/>
      <c r="L136" s="71">
        <v>0.4875</v>
      </c>
      <c r="M136" s="72" t="s">
        <v>20</v>
      </c>
      <c r="N136" s="90">
        <v>1245.0</v>
      </c>
      <c r="O136" s="74" t="s">
        <v>2109</v>
      </c>
      <c r="P136" s="75">
        <v>0.6458333333333334</v>
      </c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45465.0</v>
      </c>
      <c r="I137" s="84"/>
      <c r="J137" s="17"/>
      <c r="K137" s="85"/>
      <c r="L137" s="86"/>
      <c r="M137" s="72" t="s">
        <v>20</v>
      </c>
      <c r="N137" s="90">
        <v>137.0</v>
      </c>
      <c r="O137" s="74" t="s">
        <v>2109</v>
      </c>
      <c r="P137" s="75">
        <v>0.6520833333333333</v>
      </c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45465.0</v>
      </c>
      <c r="I138" s="68" t="s">
        <v>2716</v>
      </c>
      <c r="J138" s="69">
        <v>10.0</v>
      </c>
      <c r="K138" s="70"/>
      <c r="L138" s="71">
        <v>0.6854166666666667</v>
      </c>
      <c r="M138" s="72"/>
      <c r="N138" s="90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45465.0</v>
      </c>
      <c r="I139" s="68" t="s">
        <v>2716</v>
      </c>
      <c r="J139" s="69">
        <v>29990.0</v>
      </c>
      <c r="K139" s="70"/>
      <c r="L139" s="71">
        <v>0.6895833333333333</v>
      </c>
      <c r="M139" s="147" t="s">
        <v>1829</v>
      </c>
      <c r="N139" s="90">
        <v>20000.72</v>
      </c>
      <c r="O139" s="126" t="s">
        <v>2109</v>
      </c>
      <c r="P139" s="75">
        <v>0.7520833333333333</v>
      </c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45465.0</v>
      </c>
      <c r="I140" s="68"/>
      <c r="J140" s="69"/>
      <c r="K140" s="70"/>
      <c r="L140" s="88"/>
      <c r="M140" s="72" t="s">
        <v>20</v>
      </c>
      <c r="N140" s="90">
        <v>300.0</v>
      </c>
      <c r="O140" s="74" t="s">
        <v>2620</v>
      </c>
      <c r="P140" s="75">
        <v>0.8972222222222223</v>
      </c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>
        <v>45466.0</v>
      </c>
      <c r="I141" s="84"/>
      <c r="J141" s="17"/>
      <c r="K141" s="85"/>
      <c r="L141" s="86"/>
      <c r="M141" s="147" t="s">
        <v>20</v>
      </c>
      <c r="N141" s="90">
        <v>51.5</v>
      </c>
      <c r="O141" s="126" t="s">
        <v>2572</v>
      </c>
      <c r="P141" s="75">
        <v>0.48055555555555557</v>
      </c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>
        <v>45466.0</v>
      </c>
      <c r="I142" s="68" t="s">
        <v>2716</v>
      </c>
      <c r="J142" s="69">
        <v>10.0</v>
      </c>
      <c r="K142" s="85"/>
      <c r="L142" s="71">
        <v>0.5638888888888889</v>
      </c>
      <c r="M142" s="72"/>
      <c r="N142" s="90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>
        <v>45466.0</v>
      </c>
      <c r="I143" s="68" t="s">
        <v>2716</v>
      </c>
      <c r="J143" s="69">
        <v>19990.0</v>
      </c>
      <c r="K143" s="85"/>
      <c r="L143" s="71">
        <v>0.5673611111111111</v>
      </c>
      <c r="M143" s="147" t="s">
        <v>1829</v>
      </c>
      <c r="N143" s="90">
        <v>20000.49</v>
      </c>
      <c r="O143" s="126" t="s">
        <v>2109</v>
      </c>
      <c r="P143" s="75">
        <v>0.5916666666666667</v>
      </c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>
        <v>45466.0</v>
      </c>
      <c r="I144" s="68" t="s">
        <v>2717</v>
      </c>
      <c r="J144" s="69">
        <v>100000.0</v>
      </c>
      <c r="K144" s="85"/>
      <c r="L144" s="71">
        <v>0.625</v>
      </c>
      <c r="M144" s="72" t="s">
        <v>20</v>
      </c>
      <c r="N144" s="90">
        <v>747.0</v>
      </c>
      <c r="O144" s="74" t="s">
        <v>2109</v>
      </c>
      <c r="P144" s="75">
        <v>0.7118055555555556</v>
      </c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>
        <v>45466.0</v>
      </c>
      <c r="I145" s="68"/>
      <c r="J145" s="69"/>
      <c r="K145" s="87"/>
      <c r="L145" s="71"/>
      <c r="M145" s="72" t="s">
        <v>20</v>
      </c>
      <c r="N145" s="90">
        <v>85.0</v>
      </c>
      <c r="O145" s="74" t="s">
        <v>2109</v>
      </c>
      <c r="P145" s="75">
        <v>0.7159722222222222</v>
      </c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>
        <v>45466.0</v>
      </c>
      <c r="I146" s="68"/>
      <c r="J146" s="69"/>
      <c r="K146" s="87"/>
      <c r="L146" s="71"/>
      <c r="M146" s="147" t="s">
        <v>1829</v>
      </c>
      <c r="N146" s="90">
        <v>35000.77</v>
      </c>
      <c r="O146" s="126" t="s">
        <v>2109</v>
      </c>
      <c r="P146" s="75">
        <v>0.8833333333333333</v>
      </c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>
        <v>45466.0</v>
      </c>
      <c r="I147" s="84"/>
      <c r="J147" s="17"/>
      <c r="K147" s="85"/>
      <c r="L147" s="86"/>
      <c r="M147" s="72" t="s">
        <v>20</v>
      </c>
      <c r="N147" s="90">
        <v>200.0</v>
      </c>
      <c r="O147" s="74" t="s">
        <v>211</v>
      </c>
      <c r="P147" s="75">
        <v>0.9180555555555555</v>
      </c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>
        <v>45466.0</v>
      </c>
      <c r="I148" s="84"/>
      <c r="J148" s="17"/>
      <c r="K148" s="85"/>
      <c r="L148" s="86"/>
      <c r="M148" s="72" t="s">
        <v>20</v>
      </c>
      <c r="N148" s="90">
        <v>1020.0</v>
      </c>
      <c r="O148" s="74" t="s">
        <v>2109</v>
      </c>
      <c r="P148" s="75">
        <v>0.9229166666666667</v>
      </c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>
        <v>45466.0</v>
      </c>
      <c r="I149" s="84"/>
      <c r="J149" s="17"/>
      <c r="K149" s="85"/>
      <c r="L149" s="86"/>
      <c r="M149" s="147" t="s">
        <v>1829</v>
      </c>
      <c r="N149" s="90">
        <v>45000.87</v>
      </c>
      <c r="O149" s="126" t="s">
        <v>2109</v>
      </c>
      <c r="P149" s="75">
        <v>0.925</v>
      </c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>
        <v>45466.0</v>
      </c>
      <c r="I150" s="84"/>
      <c r="J150" s="17"/>
      <c r="K150" s="85"/>
      <c r="L150" s="86"/>
      <c r="M150" s="72" t="s">
        <v>20</v>
      </c>
      <c r="N150" s="90">
        <v>113.0</v>
      </c>
      <c r="O150" s="74" t="s">
        <v>2109</v>
      </c>
      <c r="P150" s="75">
        <v>0.9256944444444445</v>
      </c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>
        <v>45466.0</v>
      </c>
      <c r="I151" s="68"/>
      <c r="J151" s="69"/>
      <c r="K151" s="70"/>
      <c r="L151" s="88"/>
      <c r="M151" s="147" t="s">
        <v>1829</v>
      </c>
      <c r="N151" s="90">
        <v>35000.23</v>
      </c>
      <c r="O151" s="126" t="s">
        <v>2109</v>
      </c>
      <c r="P151" s="75">
        <v>0.9333333333333333</v>
      </c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>
        <v>45466.0</v>
      </c>
      <c r="I152" s="68"/>
      <c r="J152" s="69"/>
      <c r="K152" s="87"/>
      <c r="L152" s="71"/>
      <c r="M152" s="72" t="s">
        <v>827</v>
      </c>
      <c r="N152" s="90">
        <v>3030.0</v>
      </c>
      <c r="O152" s="74" t="s">
        <v>43</v>
      </c>
      <c r="P152" s="75">
        <v>0.9395833333333333</v>
      </c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>
        <v>45467.0</v>
      </c>
      <c r="I153" s="68" t="s">
        <v>2717</v>
      </c>
      <c r="J153" s="69">
        <v>50000.0</v>
      </c>
      <c r="K153" s="85"/>
      <c r="L153" s="71">
        <v>0.5152777777777777</v>
      </c>
      <c r="M153" s="72" t="s">
        <v>2502</v>
      </c>
      <c r="N153" s="90">
        <v>10000.0</v>
      </c>
      <c r="O153" s="74" t="s">
        <v>2583</v>
      </c>
      <c r="P153" s="75">
        <v>0.5631944444444444</v>
      </c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>
        <v>45467.0</v>
      </c>
      <c r="I154" s="84"/>
      <c r="J154" s="17"/>
      <c r="K154" s="85"/>
      <c r="L154" s="86"/>
      <c r="M154" s="147" t="s">
        <v>1829</v>
      </c>
      <c r="N154" s="19">
        <v>45000.94</v>
      </c>
      <c r="O154" s="209" t="s">
        <v>2109</v>
      </c>
      <c r="P154" s="172">
        <v>0.6694444444444444</v>
      </c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>
        <v>45467.0</v>
      </c>
      <c r="I155" s="68" t="s">
        <v>2717</v>
      </c>
      <c r="J155" s="69">
        <v>80000.0</v>
      </c>
      <c r="K155" s="85"/>
      <c r="L155" s="71">
        <v>0.7111111111111111</v>
      </c>
      <c r="M155" s="72" t="s">
        <v>827</v>
      </c>
      <c r="N155" s="90">
        <v>7979.0</v>
      </c>
      <c r="O155" s="74" t="s">
        <v>43</v>
      </c>
      <c r="P155" s="75">
        <v>0.7527777777777778</v>
      </c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>
        <v>45467.0</v>
      </c>
      <c r="I156" s="84"/>
      <c r="J156" s="17"/>
      <c r="K156" s="85"/>
      <c r="L156" s="86"/>
      <c r="M156" s="147" t="s">
        <v>1829</v>
      </c>
      <c r="N156" s="90">
        <v>50000.2</v>
      </c>
      <c r="O156" s="209" t="s">
        <v>2109</v>
      </c>
      <c r="P156" s="75">
        <v>0.8076388888888889</v>
      </c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>
        <v>45467.0</v>
      </c>
      <c r="I157" s="68" t="s">
        <v>2714</v>
      </c>
      <c r="J157" s="69">
        <v>22999.0</v>
      </c>
      <c r="K157" s="87"/>
      <c r="L157" s="71">
        <v>0.8375</v>
      </c>
      <c r="M157" s="72" t="s">
        <v>20</v>
      </c>
      <c r="N157" s="90">
        <v>51.5</v>
      </c>
      <c r="O157" s="74" t="s">
        <v>2704</v>
      </c>
      <c r="P157" s="75">
        <v>0.8604166666666667</v>
      </c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>
        <v>45467.0</v>
      </c>
      <c r="I158" s="68"/>
      <c r="J158" s="69"/>
      <c r="K158" s="87"/>
      <c r="L158" s="71"/>
      <c r="M158" s="72" t="s">
        <v>827</v>
      </c>
      <c r="N158" s="90">
        <v>20000.0</v>
      </c>
      <c r="O158" s="74" t="s">
        <v>2703</v>
      </c>
      <c r="P158" s="75">
        <v>0.8993055555555556</v>
      </c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>
        <v>45468.0</v>
      </c>
      <c r="I159" s="68"/>
      <c r="J159" s="69"/>
      <c r="K159" s="85"/>
      <c r="L159" s="71"/>
      <c r="M159" s="147" t="s">
        <v>1829</v>
      </c>
      <c r="N159" s="90">
        <v>35000.2</v>
      </c>
      <c r="O159" s="126" t="s">
        <v>2109</v>
      </c>
      <c r="P159" s="75">
        <v>0.5388888888888889</v>
      </c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>
        <v>45468.0</v>
      </c>
      <c r="I160" s="154" t="s">
        <v>2716</v>
      </c>
      <c r="J160" s="17">
        <v>10.0</v>
      </c>
      <c r="K160" s="93"/>
      <c r="L160" s="155">
        <v>0.54375</v>
      </c>
      <c r="M160" s="72"/>
      <c r="N160" s="90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>
        <v>45468.0</v>
      </c>
      <c r="I161" s="84" t="s">
        <v>2716</v>
      </c>
      <c r="J161" s="17">
        <v>19990.0</v>
      </c>
      <c r="K161" s="93"/>
      <c r="L161" s="155">
        <v>0.5534722222222223</v>
      </c>
      <c r="M161" s="72"/>
      <c r="N161" s="90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>
        <v>45468.0</v>
      </c>
      <c r="I162" s="84" t="s">
        <v>2716</v>
      </c>
      <c r="J162" s="69">
        <v>20000.0</v>
      </c>
      <c r="K162" s="87"/>
      <c r="L162" s="71">
        <v>0.6083333333333333</v>
      </c>
      <c r="M162" s="147" t="s">
        <v>1829</v>
      </c>
      <c r="N162" s="90">
        <v>40000.11</v>
      </c>
      <c r="O162" s="126" t="s">
        <v>2109</v>
      </c>
      <c r="P162" s="75">
        <v>0.8965277777777778</v>
      </c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>
        <v>45468.0</v>
      </c>
      <c r="I163" s="68"/>
      <c r="J163" s="69"/>
      <c r="K163" s="87"/>
      <c r="L163" s="71"/>
      <c r="M163" s="72" t="s">
        <v>20</v>
      </c>
      <c r="N163" s="90">
        <v>1220.0</v>
      </c>
      <c r="O163" s="74" t="s">
        <v>2109</v>
      </c>
      <c r="P163" s="75">
        <v>0.98125</v>
      </c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>
        <v>45468.0</v>
      </c>
      <c r="I164" s="68" t="s">
        <v>2727</v>
      </c>
      <c r="J164" s="69">
        <v>11.5</v>
      </c>
      <c r="K164" s="87"/>
      <c r="L164" s="71"/>
      <c r="M164" s="72" t="s">
        <v>20</v>
      </c>
      <c r="N164" s="90">
        <v>135.0</v>
      </c>
      <c r="O164" s="74" t="s">
        <v>2109</v>
      </c>
      <c r="P164" s="75">
        <v>0.9833333333333333</v>
      </c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>
        <v>45469.0</v>
      </c>
      <c r="I165" s="68"/>
      <c r="J165" s="69"/>
      <c r="K165" s="87"/>
      <c r="L165" s="71"/>
      <c r="M165" s="147" t="s">
        <v>1829</v>
      </c>
      <c r="N165" s="90">
        <v>9000.73</v>
      </c>
      <c r="O165" s="126" t="s">
        <v>2109</v>
      </c>
      <c r="P165" s="75">
        <v>0.5305555555555556</v>
      </c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>
        <v>45469.0</v>
      </c>
      <c r="I166" s="68" t="s">
        <v>2717</v>
      </c>
      <c r="J166" s="69">
        <v>100000.0</v>
      </c>
      <c r="K166" s="87"/>
      <c r="L166" s="71">
        <v>0.5486111111111112</v>
      </c>
      <c r="M166" s="147" t="s">
        <v>1829</v>
      </c>
      <c r="N166" s="90">
        <v>40000.11</v>
      </c>
      <c r="O166" s="126" t="s">
        <v>2109</v>
      </c>
      <c r="P166" s="75">
        <v>0.5652777777777778</v>
      </c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>
        <v>45469.0</v>
      </c>
      <c r="I167" s="84"/>
      <c r="J167" s="17"/>
      <c r="K167" s="85"/>
      <c r="L167" s="86"/>
      <c r="M167" s="72" t="s">
        <v>827</v>
      </c>
      <c r="N167" s="90">
        <v>7228.92</v>
      </c>
      <c r="O167" s="74" t="s">
        <v>43</v>
      </c>
      <c r="P167" s="75">
        <v>0.58125</v>
      </c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>
        <v>45469.0</v>
      </c>
      <c r="I168" s="84"/>
      <c r="J168" s="17"/>
      <c r="K168" s="85"/>
      <c r="L168" s="86"/>
      <c r="M168" s="72" t="s">
        <v>827</v>
      </c>
      <c r="N168" s="90">
        <v>20000.0</v>
      </c>
      <c r="O168" s="74" t="s">
        <v>2703</v>
      </c>
      <c r="P168" s="75">
        <v>0.5923611111111111</v>
      </c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>
        <v>45469.0</v>
      </c>
      <c r="I169" s="84"/>
      <c r="J169" s="17"/>
      <c r="K169" s="85"/>
      <c r="L169" s="86"/>
      <c r="M169" s="72" t="s">
        <v>20</v>
      </c>
      <c r="N169" s="90">
        <v>1400.0</v>
      </c>
      <c r="O169" s="74" t="s">
        <v>2728</v>
      </c>
      <c r="P169" s="75">
        <v>0.6979166666666666</v>
      </c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>
        <v>45469.0</v>
      </c>
      <c r="I170" s="84"/>
      <c r="J170" s="17"/>
      <c r="K170" s="85"/>
      <c r="L170" s="86"/>
      <c r="M170" s="72" t="s">
        <v>2502</v>
      </c>
      <c r="N170" s="90">
        <v>10000.0</v>
      </c>
      <c r="O170" s="74" t="s">
        <v>2583</v>
      </c>
      <c r="P170" s="75">
        <v>0.7409722222222223</v>
      </c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>
        <v>45469.0</v>
      </c>
      <c r="I171" s="84"/>
      <c r="J171" s="17"/>
      <c r="K171" s="85"/>
      <c r="L171" s="86"/>
      <c r="M171" s="147" t="s">
        <v>1829</v>
      </c>
      <c r="N171" s="90">
        <v>20000.71</v>
      </c>
      <c r="O171" s="126" t="s">
        <v>2109</v>
      </c>
      <c r="P171" s="75">
        <v>0.7597222222222222</v>
      </c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>
        <v>45470.0</v>
      </c>
      <c r="I172" s="68" t="s">
        <v>2717</v>
      </c>
      <c r="J172" s="69">
        <v>50000.0</v>
      </c>
      <c r="K172" s="87"/>
      <c r="L172" s="71">
        <v>0.6277777777777778</v>
      </c>
      <c r="M172" s="72" t="s">
        <v>2393</v>
      </c>
      <c r="N172" s="90">
        <v>4083.7</v>
      </c>
      <c r="O172" s="74" t="s">
        <v>2729</v>
      </c>
      <c r="P172" s="75">
        <v>0.6333333333333333</v>
      </c>
      <c r="Q172" s="41"/>
      <c r="R172" s="39"/>
      <c r="S172" s="76" t="s">
        <v>2729</v>
      </c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>
        <v>45470.0</v>
      </c>
      <c r="I173" s="154" t="s">
        <v>2716</v>
      </c>
      <c r="J173" s="17">
        <v>10.0</v>
      </c>
      <c r="K173" s="87"/>
      <c r="L173" s="71">
        <v>0.8722222222222222</v>
      </c>
      <c r="M173" s="72"/>
      <c r="N173" s="90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>
        <v>45470.0</v>
      </c>
      <c r="I174" s="84" t="s">
        <v>2716</v>
      </c>
      <c r="J174" s="69">
        <v>9990.0</v>
      </c>
      <c r="K174" s="87"/>
      <c r="L174" s="71">
        <v>0.875</v>
      </c>
      <c r="M174" s="147" t="s">
        <v>1829</v>
      </c>
      <c r="N174" s="90">
        <v>35000.24</v>
      </c>
      <c r="O174" s="126" t="s">
        <v>2109</v>
      </c>
      <c r="P174" s="75">
        <v>0.9756944444444444</v>
      </c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>
        <v>45471.0</v>
      </c>
      <c r="I175" s="68" t="s">
        <v>2714</v>
      </c>
      <c r="J175" s="69">
        <v>13799.0</v>
      </c>
      <c r="K175" s="85"/>
      <c r="L175" s="71">
        <v>0.5645833333333333</v>
      </c>
      <c r="M175" s="72"/>
      <c r="N175" s="90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>
        <v>45471.0</v>
      </c>
      <c r="I176" s="84" t="s">
        <v>2716</v>
      </c>
      <c r="J176" s="69">
        <v>10000.0</v>
      </c>
      <c r="K176" s="70" t="s">
        <v>2306</v>
      </c>
      <c r="L176" s="71">
        <v>0.6222222222222222</v>
      </c>
      <c r="M176" s="72" t="s">
        <v>1968</v>
      </c>
      <c r="N176" s="90">
        <v>20000.0</v>
      </c>
      <c r="O176" s="74"/>
      <c r="P176" s="75">
        <v>0.6319444444444444</v>
      </c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>
        <v>45471.0</v>
      </c>
      <c r="I177" s="84"/>
      <c r="J177" s="17"/>
      <c r="K177" s="85"/>
      <c r="L177" s="86"/>
      <c r="M177" s="72" t="s">
        <v>1968</v>
      </c>
      <c r="N177" s="90">
        <v>10000.0</v>
      </c>
      <c r="O177" s="74"/>
      <c r="P177" s="75">
        <v>0.8944444444444445</v>
      </c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>
        <v>45473.0</v>
      </c>
      <c r="I178" s="68"/>
      <c r="J178" s="69"/>
      <c r="K178" s="87"/>
      <c r="L178" s="71"/>
      <c r="M178" s="72" t="s">
        <v>20</v>
      </c>
      <c r="N178" s="90">
        <v>78.6</v>
      </c>
      <c r="O178" s="74" t="s">
        <v>2730</v>
      </c>
      <c r="P178" s="75">
        <v>0.6090277777777777</v>
      </c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>
        <v>45473.0</v>
      </c>
      <c r="I179" s="68"/>
      <c r="J179" s="69"/>
      <c r="K179" s="87"/>
      <c r="L179" s="71"/>
      <c r="M179" s="72" t="s">
        <v>20</v>
      </c>
      <c r="N179" s="90">
        <v>2080.0</v>
      </c>
      <c r="O179" s="74" t="s">
        <v>2109</v>
      </c>
      <c r="P179" s="75">
        <v>0.6145833333333334</v>
      </c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>
        <v>45473.0</v>
      </c>
      <c r="I180" s="68"/>
      <c r="J180" s="69"/>
      <c r="K180" s="85"/>
      <c r="L180" s="86"/>
      <c r="M180" s="72" t="s">
        <v>1968</v>
      </c>
      <c r="N180" s="90">
        <v>10000.0</v>
      </c>
      <c r="O180" s="74"/>
      <c r="P180" s="75">
        <v>0.6409722222222223</v>
      </c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autoFilter ref="$A$1:$AB$1000"/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9" width="16.25"/>
    <col customWidth="1" min="10" max="16" width="13.25"/>
    <col customWidth="1" min="17" max="17" width="3.38"/>
    <col customWidth="1" min="18" max="18" width="4.25"/>
    <col customWidth="1" min="19" max="19" width="32.5"/>
    <col customWidth="1" min="20" max="20" width="15.13"/>
    <col customWidth="1" min="21" max="28" width="6.88"/>
  </cols>
  <sheetData>
    <row r="1" ht="48.75" customHeight="1">
      <c r="A1" s="9"/>
      <c r="B1" s="2"/>
      <c r="C1" s="3" t="s">
        <v>2731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6"/>
      <c r="U1" s="6"/>
      <c r="V1" s="6"/>
      <c r="W1" s="6"/>
      <c r="X1" s="7"/>
      <c r="Y1" s="8"/>
      <c r="Z1" s="8"/>
      <c r="AA1" s="8"/>
      <c r="AB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1"/>
      <c r="M2" s="13"/>
      <c r="N2" s="14"/>
      <c r="O2" s="13"/>
      <c r="P2" s="13"/>
      <c r="Q2" s="9"/>
      <c r="R2" s="5"/>
      <c r="S2" s="6"/>
      <c r="T2" s="6"/>
      <c r="U2" s="6"/>
      <c r="V2" s="6"/>
      <c r="W2" s="6"/>
      <c r="X2" s="7"/>
      <c r="Y2" s="8"/>
      <c r="Z2" s="8"/>
      <c r="AA2" s="8"/>
      <c r="AB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6"/>
      <c r="M3" s="18"/>
      <c r="N3" s="19"/>
      <c r="O3" s="18"/>
      <c r="P3" s="18"/>
      <c r="Q3" s="8"/>
      <c r="R3" s="5"/>
      <c r="S3" s="6"/>
      <c r="T3" s="6"/>
      <c r="U3" s="6"/>
      <c r="V3" s="6"/>
      <c r="W3" s="6"/>
      <c r="X3" s="7"/>
      <c r="Y3" s="8"/>
      <c r="Z3" s="8"/>
      <c r="AA3" s="8"/>
      <c r="AB3" s="8"/>
    </row>
    <row r="4" ht="57.0" customHeight="1">
      <c r="A4" s="20"/>
      <c r="B4" s="21"/>
      <c r="C4" s="22" t="s">
        <v>2732</v>
      </c>
      <c r="D4" s="21"/>
      <c r="E4" s="20"/>
      <c r="F4" s="21"/>
      <c r="G4" s="23" t="s">
        <v>2733</v>
      </c>
      <c r="H4" s="4"/>
      <c r="I4" s="4"/>
      <c r="J4" s="4"/>
      <c r="K4" s="4"/>
      <c r="L4" s="4"/>
      <c r="M4" s="4"/>
      <c r="N4" s="4"/>
      <c r="O4" s="4"/>
      <c r="P4" s="23"/>
      <c r="Q4" s="21"/>
      <c r="R4" s="24"/>
      <c r="S4" s="27"/>
      <c r="T4" s="27"/>
      <c r="U4" s="27"/>
      <c r="V4" s="27"/>
      <c r="W4" s="27"/>
      <c r="X4" s="28"/>
      <c r="Y4" s="21"/>
      <c r="Z4" s="21"/>
      <c r="AA4" s="21"/>
      <c r="AB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4"/>
      <c r="L5" s="35"/>
      <c r="M5" s="36" t="s">
        <v>8</v>
      </c>
      <c r="N5" s="37"/>
      <c r="O5" s="37"/>
      <c r="P5" s="38"/>
      <c r="Q5" s="30"/>
      <c r="R5" s="39"/>
      <c r="U5" s="40"/>
      <c r="V5" s="40"/>
      <c r="W5" s="40"/>
      <c r="X5" s="41"/>
      <c r="Y5" s="30"/>
      <c r="Z5" s="30"/>
      <c r="AA5" s="30"/>
      <c r="AB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7" t="s">
        <v>12</v>
      </c>
      <c r="L6" s="48" t="s">
        <v>13</v>
      </c>
      <c r="M6" s="49" t="s">
        <v>10</v>
      </c>
      <c r="N6" s="50" t="s">
        <v>11</v>
      </c>
      <c r="O6" s="51" t="s">
        <v>12</v>
      </c>
      <c r="P6" s="51" t="s">
        <v>13</v>
      </c>
      <c r="Q6" s="30"/>
      <c r="R6" s="39"/>
      <c r="S6" s="40"/>
      <c r="T6" s="76"/>
      <c r="U6" s="40"/>
      <c r="V6" s="40"/>
      <c r="W6" s="40"/>
      <c r="X6" s="41"/>
      <c r="Y6" s="30"/>
      <c r="Z6" s="30"/>
      <c r="AA6" s="30"/>
      <c r="AB6" s="30"/>
    </row>
    <row r="7" ht="27.75" customHeight="1">
      <c r="A7" s="29"/>
      <c r="B7" s="30"/>
      <c r="C7" s="53" t="s">
        <v>999</v>
      </c>
      <c r="D7" s="54" t="s">
        <v>16</v>
      </c>
      <c r="E7" s="29"/>
      <c r="F7" s="30"/>
      <c r="G7" s="55">
        <v>1.0</v>
      </c>
      <c r="H7" s="241"/>
      <c r="I7" s="57"/>
      <c r="J7" s="58"/>
      <c r="K7" s="59"/>
      <c r="L7" s="60"/>
      <c r="M7" s="61"/>
      <c r="N7" s="62"/>
      <c r="O7" s="63"/>
      <c r="P7" s="205"/>
      <c r="Q7" s="41"/>
      <c r="R7" s="39"/>
      <c r="S7" s="40"/>
      <c r="T7" s="76"/>
      <c r="U7" s="40"/>
      <c r="V7" s="40"/>
      <c r="W7" s="40"/>
      <c r="X7" s="41"/>
      <c r="Y7" s="30"/>
      <c r="Z7" s="30"/>
      <c r="AA7" s="30"/>
      <c r="AB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/>
      <c r="I8" s="68"/>
      <c r="J8" s="69"/>
      <c r="K8" s="70"/>
      <c r="L8" s="88"/>
      <c r="M8" s="72"/>
      <c r="N8" s="90"/>
      <c r="O8" s="74"/>
      <c r="P8" s="75"/>
      <c r="Q8" s="41"/>
      <c r="R8" s="39"/>
      <c r="S8" s="40"/>
      <c r="T8" s="76"/>
      <c r="U8" s="40"/>
      <c r="V8" s="40"/>
      <c r="W8" s="40"/>
      <c r="X8" s="41"/>
      <c r="Y8" s="30"/>
      <c r="Z8" s="30"/>
      <c r="AA8" s="30"/>
      <c r="AB8" s="30"/>
    </row>
    <row r="9" ht="27.75" customHeight="1">
      <c r="A9" s="29"/>
      <c r="B9" s="30"/>
      <c r="C9" s="77">
        <f>C21</f>
        <v>0</v>
      </c>
      <c r="D9" s="30"/>
      <c r="E9" s="29"/>
      <c r="F9" s="30"/>
      <c r="G9" s="66">
        <v>3.0</v>
      </c>
      <c r="H9" s="153"/>
      <c r="I9" s="68"/>
      <c r="J9" s="69"/>
      <c r="K9" s="70"/>
      <c r="L9" s="88"/>
      <c r="M9" s="72"/>
      <c r="N9" s="90"/>
      <c r="O9" s="74"/>
      <c r="P9" s="75"/>
      <c r="Q9" s="41"/>
      <c r="R9" s="39"/>
      <c r="S9" s="40"/>
      <c r="T9" s="76"/>
      <c r="U9" s="40"/>
      <c r="V9" s="40"/>
      <c r="W9" s="40"/>
      <c r="X9" s="41"/>
      <c r="Y9" s="30"/>
      <c r="Z9" s="30"/>
      <c r="AA9" s="30"/>
      <c r="AB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/>
      <c r="I10" s="84"/>
      <c r="J10" s="17"/>
      <c r="K10" s="85"/>
      <c r="L10" s="86"/>
      <c r="M10" s="72"/>
      <c r="N10" s="90"/>
      <c r="O10" s="74"/>
      <c r="P10" s="75"/>
      <c r="Q10" s="41"/>
      <c r="R10" s="39"/>
      <c r="S10" s="40"/>
      <c r="T10" s="76"/>
      <c r="U10" s="40"/>
      <c r="V10" s="40"/>
      <c r="W10" s="40"/>
      <c r="X10" s="41"/>
      <c r="Y10" s="30"/>
      <c r="Z10" s="30"/>
      <c r="AA10" s="30"/>
      <c r="AB10" s="30"/>
    </row>
    <row r="11" ht="27.75" customHeight="1">
      <c r="A11" s="29"/>
      <c r="B11" s="30"/>
      <c r="C11" s="79">
        <f>C23</f>
        <v>0</v>
      </c>
      <c r="D11" s="30"/>
      <c r="E11" s="29"/>
      <c r="F11" s="30"/>
      <c r="G11" s="66">
        <v>5.0</v>
      </c>
      <c r="H11" s="153"/>
      <c r="I11" s="68"/>
      <c r="J11" s="69"/>
      <c r="K11" s="87"/>
      <c r="L11" s="71"/>
      <c r="M11" s="72"/>
      <c r="N11" s="90"/>
      <c r="O11" s="74"/>
      <c r="P11" s="94"/>
      <c r="Q11" s="41"/>
      <c r="R11" s="39"/>
      <c r="S11" s="40"/>
      <c r="T11" s="76"/>
      <c r="U11" s="76"/>
      <c r="V11" s="40"/>
      <c r="W11" s="40"/>
      <c r="X11" s="41"/>
      <c r="Y11" s="30"/>
      <c r="Z11" s="30"/>
      <c r="AA11" s="30"/>
      <c r="AB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/>
      <c r="I12" s="68"/>
      <c r="J12" s="69"/>
      <c r="K12" s="87"/>
      <c r="L12" s="71"/>
      <c r="M12" s="72"/>
      <c r="N12" s="90"/>
      <c r="O12" s="74"/>
      <c r="P12" s="75"/>
      <c r="Q12" s="41"/>
      <c r="R12" s="39"/>
      <c r="S12" s="40"/>
      <c r="T12" s="76"/>
      <c r="U12" s="40"/>
      <c r="V12" s="40"/>
      <c r="W12" s="40"/>
      <c r="X12" s="41"/>
      <c r="Y12" s="30"/>
      <c r="Z12" s="30"/>
      <c r="AA12" s="30"/>
      <c r="AB12" s="30"/>
    </row>
    <row r="13" ht="27.75" customHeight="1">
      <c r="A13" s="29"/>
      <c r="B13" s="30"/>
      <c r="C13" s="82">
        <f>C9-C11</f>
        <v>0</v>
      </c>
      <c r="D13" s="30"/>
      <c r="E13" s="29"/>
      <c r="F13" s="30"/>
      <c r="G13" s="66">
        <v>7.0</v>
      </c>
      <c r="H13" s="153"/>
      <c r="I13" s="68"/>
      <c r="J13" s="69"/>
      <c r="K13" s="87"/>
      <c r="L13" s="71"/>
      <c r="M13" s="72"/>
      <c r="N13" s="90"/>
      <c r="O13" s="74"/>
      <c r="P13" s="75"/>
      <c r="Q13" s="41"/>
      <c r="R13" s="39"/>
      <c r="S13" s="40"/>
      <c r="T13" s="76"/>
      <c r="U13" s="40"/>
      <c r="V13" s="76"/>
      <c r="W13" s="40"/>
      <c r="X13" s="41"/>
      <c r="Y13" s="30"/>
      <c r="Z13" s="30"/>
      <c r="AA13" s="30"/>
      <c r="AB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/>
      <c r="I14" s="84"/>
      <c r="J14" s="17"/>
      <c r="K14" s="85"/>
      <c r="L14" s="86"/>
      <c r="M14" s="72"/>
      <c r="N14" s="90"/>
      <c r="O14" s="74"/>
      <c r="P14" s="75"/>
      <c r="Q14" s="41"/>
      <c r="R14" s="39"/>
      <c r="S14" s="40"/>
      <c r="T14" s="76"/>
      <c r="U14" s="40"/>
      <c r="V14" s="40"/>
      <c r="W14" s="40"/>
      <c r="X14" s="41"/>
      <c r="Y14" s="30"/>
      <c r="Z14" s="30"/>
      <c r="AA14" s="30"/>
      <c r="AB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/>
      <c r="I15" s="68"/>
      <c r="J15" s="69"/>
      <c r="K15" s="87"/>
      <c r="L15" s="71"/>
      <c r="M15" s="72"/>
      <c r="N15" s="90"/>
      <c r="O15" s="74"/>
      <c r="P15" s="75"/>
      <c r="Q15" s="41"/>
      <c r="R15" s="39"/>
      <c r="S15" s="40"/>
      <c r="T15" s="76"/>
      <c r="U15" s="76"/>
      <c r="V15" s="40"/>
      <c r="W15" s="40"/>
      <c r="X15" s="41"/>
      <c r="Y15" s="30"/>
      <c r="Z15" s="30"/>
      <c r="AA15" s="30"/>
      <c r="AB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/>
      <c r="I16" s="154"/>
      <c r="J16" s="17"/>
      <c r="K16" s="92"/>
      <c r="L16" s="173"/>
      <c r="M16" s="72"/>
      <c r="N16" s="90"/>
      <c r="O16" s="74"/>
      <c r="P16" s="75"/>
      <c r="Q16" s="41"/>
      <c r="R16" s="39"/>
      <c r="S16" s="40"/>
      <c r="T16" s="76"/>
      <c r="U16" s="40"/>
      <c r="V16" s="76"/>
      <c r="W16" s="40"/>
      <c r="X16" s="41"/>
      <c r="Y16" s="30"/>
      <c r="Z16" s="30"/>
      <c r="AA16" s="30"/>
      <c r="AB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/>
      <c r="I17" s="154"/>
      <c r="J17" s="17"/>
      <c r="K17" s="92"/>
      <c r="L17" s="173"/>
      <c r="M17" s="72"/>
      <c r="N17" s="90"/>
      <c r="O17" s="74"/>
      <c r="P17" s="75"/>
      <c r="Q17" s="41"/>
      <c r="R17" s="39"/>
      <c r="S17" s="40"/>
      <c r="T17" s="76"/>
      <c r="U17" s="40"/>
      <c r="V17" s="40"/>
      <c r="W17" s="40"/>
      <c r="X17" s="41"/>
      <c r="Y17" s="30"/>
      <c r="Z17" s="30"/>
      <c r="AA17" s="30"/>
      <c r="AB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/>
      <c r="I18" s="154"/>
      <c r="J18" s="17"/>
      <c r="K18" s="92"/>
      <c r="L18" s="173"/>
      <c r="M18" s="72"/>
      <c r="N18" s="90"/>
      <c r="O18" s="74"/>
      <c r="P18" s="75"/>
      <c r="Q18" s="41"/>
      <c r="R18" s="39"/>
      <c r="S18" s="40"/>
      <c r="T18" s="76"/>
      <c r="U18" s="40"/>
      <c r="V18" s="40"/>
      <c r="W18" s="40"/>
      <c r="X18" s="41"/>
      <c r="Y18" s="30"/>
      <c r="Z18" s="30"/>
      <c r="AA18" s="30"/>
      <c r="AB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30"/>
      <c r="I19" s="154"/>
      <c r="J19" s="17"/>
      <c r="K19" s="93"/>
      <c r="L19" s="155"/>
      <c r="M19" s="147"/>
      <c r="N19" s="19"/>
      <c r="O19" s="209"/>
      <c r="P19" s="172"/>
      <c r="Q19" s="41"/>
      <c r="R19" s="39"/>
      <c r="S19" s="40"/>
      <c r="T19" s="76"/>
      <c r="U19" s="40"/>
      <c r="V19" s="40"/>
      <c r="W19" s="40"/>
      <c r="X19" s="41"/>
      <c r="Y19" s="30"/>
      <c r="Z19" s="30"/>
      <c r="AA19" s="30"/>
      <c r="AB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30"/>
      <c r="I20" s="154"/>
      <c r="J20" s="17"/>
      <c r="K20" s="93"/>
      <c r="L20" s="155"/>
      <c r="M20" s="147"/>
      <c r="N20" s="19"/>
      <c r="O20" s="126"/>
      <c r="P20" s="174"/>
      <c r="Q20" s="41"/>
      <c r="R20" s="39"/>
      <c r="S20" s="40"/>
      <c r="T20" s="76"/>
      <c r="U20" s="40"/>
      <c r="V20" s="40"/>
      <c r="W20" s="40"/>
      <c r="X20" s="41"/>
      <c r="Y20" s="30"/>
      <c r="Z20" s="30"/>
      <c r="AA20" s="30"/>
      <c r="AB20" s="30"/>
    </row>
    <row r="21" ht="27.75" customHeight="1">
      <c r="A21" s="29"/>
      <c r="B21" s="30"/>
      <c r="C21" s="77">
        <f>SUMIFS(J:J,H:H,"&gt;="&amp;$C$17,H:H,"&lt;="&amp;$C$19)</f>
        <v>0</v>
      </c>
      <c r="D21" s="30"/>
      <c r="E21" s="29"/>
      <c r="F21" s="30"/>
      <c r="G21" s="66">
        <v>15.0</v>
      </c>
      <c r="H21" s="130"/>
      <c r="I21" s="154"/>
      <c r="J21" s="17"/>
      <c r="K21" s="93"/>
      <c r="L21" s="155"/>
      <c r="M21" s="147"/>
      <c r="N21" s="19"/>
      <c r="O21" s="126"/>
      <c r="P21" s="174"/>
      <c r="Q21" s="41"/>
      <c r="R21" s="39"/>
      <c r="S21" s="40"/>
      <c r="T21" s="76"/>
      <c r="U21" s="40"/>
      <c r="V21" s="40"/>
      <c r="W21" s="40"/>
      <c r="X21" s="41"/>
      <c r="Y21" s="30"/>
      <c r="Z21" s="30"/>
      <c r="AA21" s="30"/>
      <c r="AB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30"/>
      <c r="I22" s="68"/>
      <c r="J22" s="17"/>
      <c r="K22" s="93"/>
      <c r="L22" s="155"/>
      <c r="M22" s="72"/>
      <c r="N22" s="19"/>
      <c r="O22" s="74"/>
      <c r="P22" s="75"/>
      <c r="Q22" s="41"/>
      <c r="R22" s="39"/>
      <c r="S22" s="40"/>
      <c r="T22" s="76"/>
      <c r="U22" s="40"/>
      <c r="V22" s="40"/>
      <c r="W22" s="40"/>
      <c r="X22" s="41"/>
      <c r="Y22" s="30"/>
      <c r="Z22" s="30"/>
      <c r="AA22" s="30"/>
      <c r="AB22" s="30"/>
    </row>
    <row r="23" ht="27.75" customHeight="1">
      <c r="A23" s="29"/>
      <c r="B23" s="30"/>
      <c r="C23" s="79">
        <f>SUMIFS(N:N,H:H,"&gt;="&amp;$C$17,H:H,"&lt;="&amp;$C$19)</f>
        <v>0</v>
      </c>
      <c r="D23" s="30"/>
      <c r="E23" s="29"/>
      <c r="F23" s="30"/>
      <c r="G23" s="66">
        <v>17.0</v>
      </c>
      <c r="H23" s="153"/>
      <c r="I23" s="68"/>
      <c r="J23" s="69"/>
      <c r="K23" s="87"/>
      <c r="L23" s="71"/>
      <c r="M23" s="72"/>
      <c r="N23" s="90"/>
      <c r="O23" s="74"/>
      <c r="P23" s="75"/>
      <c r="Q23" s="41"/>
      <c r="R23" s="39"/>
      <c r="S23" s="40"/>
      <c r="T23" s="76"/>
      <c r="U23" s="40"/>
      <c r="V23" s="40"/>
      <c r="W23" s="40"/>
      <c r="X23" s="41"/>
      <c r="Y23" s="30"/>
      <c r="Z23" s="30"/>
      <c r="AA23" s="30"/>
      <c r="AB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/>
      <c r="I24" s="68"/>
      <c r="J24" s="69"/>
      <c r="K24" s="85"/>
      <c r="L24" s="86"/>
      <c r="M24" s="72"/>
      <c r="N24" s="90"/>
      <c r="O24" s="74"/>
      <c r="P24" s="75"/>
      <c r="Q24" s="41"/>
      <c r="R24" s="39"/>
      <c r="S24" s="40"/>
      <c r="T24" s="40"/>
      <c r="U24" s="40"/>
      <c r="V24" s="40"/>
      <c r="W24" s="40"/>
      <c r="X24" s="41"/>
      <c r="Y24" s="30"/>
      <c r="Z24" s="30"/>
      <c r="AA24" s="30"/>
      <c r="AB24" s="30"/>
    </row>
    <row r="25" ht="27.75" customHeight="1">
      <c r="A25" s="29"/>
      <c r="B25" s="30"/>
      <c r="C25" s="82">
        <f>C21-C23</f>
        <v>0</v>
      </c>
      <c r="D25" s="30"/>
      <c r="E25" s="29"/>
      <c r="F25" s="30"/>
      <c r="G25" s="66">
        <v>19.0</v>
      </c>
      <c r="H25" s="153"/>
      <c r="I25" s="68"/>
      <c r="J25" s="69"/>
      <c r="K25" s="70"/>
      <c r="L25" s="88"/>
      <c r="M25" s="72"/>
      <c r="N25" s="90"/>
      <c r="O25" s="74"/>
      <c r="P25" s="75"/>
      <c r="Q25" s="41"/>
      <c r="R25" s="39"/>
      <c r="S25" s="40"/>
      <c r="T25" s="40"/>
      <c r="U25" s="40"/>
      <c r="V25" s="40"/>
      <c r="W25" s="40"/>
      <c r="X25" s="41"/>
      <c r="Y25" s="30"/>
      <c r="Z25" s="30"/>
      <c r="AA25" s="30"/>
      <c r="AB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/>
      <c r="I26" s="68"/>
      <c r="J26" s="69"/>
      <c r="K26" s="70"/>
      <c r="L26" s="71"/>
      <c r="M26" s="72"/>
      <c r="N26" s="90"/>
      <c r="O26" s="74"/>
      <c r="P26" s="94"/>
      <c r="Q26" s="41"/>
      <c r="R26" s="39"/>
      <c r="S26" s="40"/>
      <c r="T26" s="40"/>
      <c r="U26" s="40"/>
      <c r="V26" s="40"/>
      <c r="W26" s="40"/>
      <c r="X26" s="41"/>
      <c r="Y26" s="30"/>
      <c r="Z26" s="30"/>
      <c r="AA26" s="30"/>
      <c r="AB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/>
      <c r="I27" s="68"/>
      <c r="J27" s="69"/>
      <c r="K27" s="70"/>
      <c r="L27" s="71"/>
      <c r="M27" s="72"/>
      <c r="N27" s="90"/>
      <c r="O27" s="74"/>
      <c r="P27" s="75"/>
      <c r="Q27" s="41"/>
      <c r="R27" s="39"/>
      <c r="S27" s="40"/>
      <c r="T27" s="40"/>
      <c r="U27" s="40"/>
      <c r="V27" s="40"/>
      <c r="W27" s="40"/>
      <c r="X27" s="41"/>
      <c r="Y27" s="30"/>
      <c r="Z27" s="30"/>
      <c r="AA27" s="30"/>
      <c r="AB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/>
      <c r="I28" s="68"/>
      <c r="J28" s="69"/>
      <c r="K28" s="85"/>
      <c r="L28" s="86"/>
      <c r="M28" s="72"/>
      <c r="N28" s="90"/>
      <c r="O28" s="74"/>
      <c r="P28" s="75"/>
      <c r="Q28" s="41"/>
      <c r="R28" s="39"/>
      <c r="S28" s="40"/>
      <c r="T28" s="40"/>
      <c r="U28" s="40"/>
      <c r="V28" s="40"/>
      <c r="W28" s="40"/>
      <c r="X28" s="41"/>
      <c r="Y28" s="30"/>
      <c r="Z28" s="30"/>
      <c r="AA28" s="30"/>
      <c r="AB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/>
      <c r="I29" s="68"/>
      <c r="J29" s="69"/>
      <c r="K29" s="70"/>
      <c r="L29" s="71"/>
      <c r="M29" s="72"/>
      <c r="N29" s="90"/>
      <c r="O29" s="74"/>
      <c r="P29" s="75"/>
      <c r="Q29" s="41"/>
      <c r="R29" s="39"/>
      <c r="S29" s="40"/>
      <c r="T29" s="40"/>
      <c r="U29" s="40"/>
      <c r="V29" s="40"/>
      <c r="W29" s="40"/>
      <c r="X29" s="41"/>
      <c r="Y29" s="30"/>
      <c r="Z29" s="30"/>
      <c r="AA29" s="30"/>
      <c r="AB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/>
      <c r="I30" s="68"/>
      <c r="J30" s="69"/>
      <c r="K30" s="85"/>
      <c r="L30" s="86"/>
      <c r="M30" s="72"/>
      <c r="N30" s="90"/>
      <c r="O30" s="74"/>
      <c r="P30" s="75"/>
      <c r="Q30" s="41"/>
      <c r="R30" s="39"/>
      <c r="S30" s="40"/>
      <c r="T30" s="40"/>
      <c r="U30" s="40"/>
      <c r="V30" s="40"/>
      <c r="W30" s="40"/>
      <c r="X30" s="41"/>
      <c r="Y30" s="30"/>
      <c r="Z30" s="30"/>
      <c r="AA30" s="30"/>
      <c r="AB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/>
      <c r="I31" s="68"/>
      <c r="J31" s="69"/>
      <c r="K31" s="70"/>
      <c r="L31" s="88"/>
      <c r="M31" s="72"/>
      <c r="N31" s="90"/>
      <c r="O31" s="74"/>
      <c r="P31" s="75"/>
      <c r="Q31" s="41"/>
      <c r="R31" s="39"/>
      <c r="S31" s="40"/>
      <c r="T31" s="40"/>
      <c r="U31" s="40"/>
      <c r="V31" s="40"/>
      <c r="W31" s="40"/>
      <c r="X31" s="41"/>
      <c r="Y31" s="30"/>
      <c r="Z31" s="30"/>
      <c r="AA31" s="30"/>
      <c r="AB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/>
      <c r="I32" s="84"/>
      <c r="J32" s="17"/>
      <c r="K32" s="85"/>
      <c r="L32" s="86"/>
      <c r="M32" s="72"/>
      <c r="N32" s="90"/>
      <c r="O32" s="74"/>
      <c r="P32" s="75"/>
      <c r="Q32" s="41"/>
      <c r="R32" s="39"/>
      <c r="S32" s="40"/>
      <c r="T32" s="40"/>
      <c r="U32" s="40"/>
      <c r="V32" s="40"/>
      <c r="W32" s="40"/>
      <c r="X32" s="41"/>
      <c r="Y32" s="30"/>
      <c r="Z32" s="30"/>
      <c r="AA32" s="30"/>
      <c r="AB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/>
      <c r="I33" s="154"/>
      <c r="J33" s="69"/>
      <c r="K33" s="70"/>
      <c r="L33" s="71"/>
      <c r="M33" s="72"/>
      <c r="N33" s="90"/>
      <c r="O33" s="74"/>
      <c r="P33" s="75"/>
      <c r="Q33" s="41"/>
      <c r="R33" s="39"/>
      <c r="S33" s="40"/>
      <c r="T33" s="40"/>
      <c r="U33" s="40"/>
      <c r="V33" s="40"/>
      <c r="W33" s="40"/>
      <c r="X33" s="41"/>
      <c r="Y33" s="30"/>
      <c r="Z33" s="30"/>
      <c r="AA33" s="30"/>
      <c r="AB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/>
      <c r="I34" s="154"/>
      <c r="J34" s="69"/>
      <c r="K34" s="87"/>
      <c r="L34" s="71"/>
      <c r="M34" s="72"/>
      <c r="N34" s="90"/>
      <c r="O34" s="74"/>
      <c r="P34" s="94"/>
      <c r="Q34" s="41"/>
      <c r="R34" s="39"/>
      <c r="S34" s="40"/>
      <c r="T34" s="40"/>
      <c r="U34" s="40"/>
      <c r="V34" s="40"/>
      <c r="W34" s="40"/>
      <c r="X34" s="41"/>
      <c r="Y34" s="30"/>
      <c r="Z34" s="30"/>
      <c r="AA34" s="30"/>
      <c r="AB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/>
      <c r="I35" s="68"/>
      <c r="J35" s="69"/>
      <c r="K35" s="85"/>
      <c r="L35" s="71"/>
      <c r="M35" s="72"/>
      <c r="N35" s="90"/>
      <c r="O35" s="74"/>
      <c r="P35" s="75"/>
      <c r="Q35" s="41"/>
      <c r="R35" s="39"/>
      <c r="S35" s="40"/>
      <c r="T35" s="40"/>
      <c r="U35" s="40"/>
      <c r="V35" s="40"/>
      <c r="W35" s="40"/>
      <c r="X35" s="41"/>
      <c r="Y35" s="30"/>
      <c r="Z35" s="30"/>
      <c r="AA35" s="30"/>
      <c r="AB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/>
      <c r="I36" s="84"/>
      <c r="J36" s="17"/>
      <c r="K36" s="85"/>
      <c r="L36" s="86"/>
      <c r="M36" s="72"/>
      <c r="N36" s="90"/>
      <c r="O36" s="74"/>
      <c r="P36" s="75"/>
      <c r="Q36" s="41"/>
      <c r="R36" s="39"/>
      <c r="S36" s="40"/>
      <c r="T36" s="40"/>
      <c r="U36" s="40"/>
      <c r="V36" s="40"/>
      <c r="W36" s="40"/>
      <c r="X36" s="41"/>
      <c r="Y36" s="30"/>
      <c r="Z36" s="30"/>
      <c r="AA36" s="30"/>
      <c r="AB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/>
      <c r="I37" s="68"/>
      <c r="J37" s="69"/>
      <c r="K37" s="85"/>
      <c r="L37" s="86"/>
      <c r="M37" s="72"/>
      <c r="N37" s="90"/>
      <c r="O37" s="74"/>
      <c r="P37" s="75"/>
      <c r="Q37" s="41"/>
      <c r="R37" s="39"/>
      <c r="T37" s="40"/>
      <c r="U37" s="40"/>
      <c r="V37" s="40"/>
      <c r="W37" s="40"/>
      <c r="X37" s="41"/>
      <c r="Y37" s="30"/>
      <c r="Z37" s="30"/>
      <c r="AA37" s="30"/>
      <c r="AB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/>
      <c r="I38" s="68"/>
      <c r="J38" s="69"/>
      <c r="K38" s="85"/>
      <c r="L38" s="86"/>
      <c r="M38" s="72"/>
      <c r="N38" s="90"/>
      <c r="O38" s="74"/>
      <c r="P38" s="75"/>
      <c r="Q38" s="41"/>
      <c r="R38" s="39"/>
      <c r="S38" s="40"/>
      <c r="T38" s="40"/>
      <c r="U38" s="40"/>
      <c r="V38" s="40"/>
      <c r="W38" s="40"/>
      <c r="X38" s="41"/>
      <c r="Y38" s="30"/>
      <c r="Z38" s="30"/>
      <c r="AA38" s="30"/>
      <c r="AB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/>
      <c r="I39" s="68"/>
      <c r="J39" s="69"/>
      <c r="K39" s="70"/>
      <c r="L39" s="88"/>
      <c r="M39" s="72"/>
      <c r="N39" s="90"/>
      <c r="O39" s="74"/>
      <c r="P39" s="75"/>
      <c r="Q39" s="41"/>
      <c r="R39" s="39"/>
      <c r="S39" s="76"/>
      <c r="T39" s="40"/>
      <c r="U39" s="40"/>
      <c r="V39" s="40"/>
      <c r="W39" s="40"/>
      <c r="X39" s="41"/>
      <c r="Y39" s="30"/>
      <c r="Z39" s="30"/>
      <c r="AA39" s="30"/>
      <c r="AB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/>
      <c r="I40" s="68"/>
      <c r="J40" s="69"/>
      <c r="K40" s="70"/>
      <c r="L40" s="88"/>
      <c r="M40" s="72"/>
      <c r="N40" s="90"/>
      <c r="O40" s="74"/>
      <c r="P40" s="75"/>
      <c r="Q40" s="41"/>
      <c r="R40" s="39"/>
      <c r="S40" s="40"/>
      <c r="T40" s="40"/>
      <c r="U40" s="40"/>
      <c r="V40" s="40"/>
      <c r="W40" s="40"/>
      <c r="X40" s="41"/>
      <c r="Y40" s="30"/>
      <c r="Z40" s="30"/>
      <c r="AA40" s="30"/>
      <c r="AB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/>
      <c r="I41" s="68"/>
      <c r="J41" s="69"/>
      <c r="K41" s="70"/>
      <c r="L41" s="88"/>
      <c r="M41" s="72"/>
      <c r="N41" s="90"/>
      <c r="O41" s="74"/>
      <c r="P41" s="75"/>
      <c r="Q41" s="41"/>
      <c r="R41" s="39"/>
      <c r="S41" s="40"/>
      <c r="T41" s="40"/>
      <c r="U41" s="40"/>
      <c r="V41" s="40"/>
      <c r="W41" s="40"/>
      <c r="X41" s="41"/>
      <c r="Y41" s="30"/>
      <c r="Z41" s="30"/>
      <c r="AA41" s="30"/>
      <c r="AB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/>
      <c r="I42" s="68"/>
      <c r="J42" s="69"/>
      <c r="K42" s="70"/>
      <c r="L42" s="88"/>
      <c r="M42" s="72"/>
      <c r="N42" s="90"/>
      <c r="O42" s="74"/>
      <c r="P42" s="75"/>
      <c r="Q42" s="41"/>
      <c r="R42" s="39"/>
      <c r="S42" s="40"/>
      <c r="T42" s="40"/>
      <c r="U42" s="40"/>
      <c r="V42" s="40"/>
      <c r="W42" s="40"/>
      <c r="X42" s="41"/>
      <c r="Y42" s="30"/>
      <c r="Z42" s="30"/>
      <c r="AA42" s="30"/>
      <c r="AB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/>
      <c r="I43" s="68"/>
      <c r="J43" s="69"/>
      <c r="K43" s="87"/>
      <c r="L43" s="71"/>
      <c r="M43" s="72"/>
      <c r="N43" s="90"/>
      <c r="O43" s="74"/>
      <c r="P43" s="75"/>
      <c r="Q43" s="41"/>
      <c r="R43" s="39"/>
      <c r="S43" s="40"/>
      <c r="T43" s="40"/>
      <c r="U43" s="40"/>
      <c r="V43" s="40"/>
      <c r="W43" s="40"/>
      <c r="X43" s="41"/>
      <c r="Y43" s="30"/>
      <c r="Z43" s="30"/>
      <c r="AA43" s="30"/>
      <c r="AB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/>
      <c r="I44" s="84"/>
      <c r="J44" s="17"/>
      <c r="K44" s="85"/>
      <c r="L44" s="86"/>
      <c r="M44" s="72"/>
      <c r="N44" s="90"/>
      <c r="O44" s="74"/>
      <c r="P44" s="75"/>
      <c r="Q44" s="41"/>
      <c r="R44" s="39"/>
      <c r="S44" s="40"/>
      <c r="T44" s="40"/>
      <c r="U44" s="40"/>
      <c r="V44" s="40"/>
      <c r="W44" s="40"/>
      <c r="X44" s="41"/>
      <c r="Y44" s="30"/>
      <c r="Z44" s="30"/>
      <c r="AA44" s="30"/>
      <c r="AB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/>
      <c r="I45" s="68"/>
      <c r="J45" s="69"/>
      <c r="K45" s="85"/>
      <c r="L45" s="86"/>
      <c r="M45" s="72"/>
      <c r="N45" s="90"/>
      <c r="O45" s="74"/>
      <c r="P45" s="75"/>
      <c r="Q45" s="41"/>
      <c r="R45" s="39"/>
      <c r="S45" s="40"/>
      <c r="T45" s="40"/>
      <c r="U45" s="40"/>
      <c r="V45" s="40"/>
      <c r="W45" s="40"/>
      <c r="X45" s="41"/>
      <c r="Y45" s="30"/>
      <c r="Z45" s="30"/>
      <c r="AA45" s="30"/>
      <c r="AB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/>
      <c r="I46" s="84"/>
      <c r="J46" s="17"/>
      <c r="K46" s="85"/>
      <c r="L46" s="86"/>
      <c r="M46" s="72"/>
      <c r="N46" s="90"/>
      <c r="O46" s="74"/>
      <c r="P46" s="75"/>
      <c r="Q46" s="41"/>
      <c r="R46" s="39"/>
      <c r="T46" s="40"/>
      <c r="U46" s="40"/>
      <c r="V46" s="40"/>
      <c r="W46" s="40"/>
      <c r="X46" s="41"/>
      <c r="Y46" s="30"/>
      <c r="Z46" s="30"/>
      <c r="AA46" s="30"/>
      <c r="AB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/>
      <c r="I47" s="68"/>
      <c r="J47" s="69"/>
      <c r="K47" s="70"/>
      <c r="L47" s="71"/>
      <c r="M47" s="72"/>
      <c r="N47" s="90"/>
      <c r="O47" s="74"/>
      <c r="P47" s="94"/>
      <c r="Q47" s="41"/>
      <c r="R47" s="39"/>
      <c r="S47" s="40"/>
      <c r="T47" s="40"/>
      <c r="U47" s="40"/>
      <c r="V47" s="40"/>
      <c r="W47" s="40"/>
      <c r="X47" s="41"/>
      <c r="Y47" s="30"/>
      <c r="Z47" s="30"/>
      <c r="AA47" s="30"/>
      <c r="AB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/>
      <c r="I48" s="68"/>
      <c r="J48" s="69"/>
      <c r="K48" s="87"/>
      <c r="L48" s="71"/>
      <c r="M48" s="72"/>
      <c r="N48" s="90"/>
      <c r="O48" s="74"/>
      <c r="P48" s="94"/>
      <c r="Q48" s="41"/>
      <c r="R48" s="39"/>
      <c r="S48" s="40"/>
      <c r="T48" s="40"/>
      <c r="U48" s="40"/>
      <c r="V48" s="40"/>
      <c r="W48" s="40"/>
      <c r="X48" s="41"/>
      <c r="Y48" s="30"/>
      <c r="Z48" s="30"/>
      <c r="AA48" s="30"/>
      <c r="AB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/>
      <c r="I49" s="68"/>
      <c r="J49" s="69"/>
      <c r="K49" s="85"/>
      <c r="L49" s="71"/>
      <c r="M49" s="147"/>
      <c r="N49" s="90"/>
      <c r="O49" s="126"/>
      <c r="P49" s="75"/>
      <c r="Q49" s="41"/>
      <c r="R49" s="39"/>
      <c r="S49" s="40"/>
      <c r="T49" s="40"/>
      <c r="U49" s="40"/>
      <c r="V49" s="40"/>
      <c r="W49" s="40"/>
      <c r="X49" s="41"/>
      <c r="Y49" s="30"/>
      <c r="Z49" s="30"/>
      <c r="AA49" s="30"/>
      <c r="AB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/>
      <c r="I50" s="68"/>
      <c r="J50" s="69"/>
      <c r="K50" s="85"/>
      <c r="L50" s="71"/>
      <c r="M50" s="72"/>
      <c r="N50" s="90"/>
      <c r="O50" s="74"/>
      <c r="P50" s="94"/>
      <c r="Q50" s="41"/>
      <c r="R50" s="39"/>
      <c r="T50" s="40"/>
      <c r="U50" s="40"/>
      <c r="V50" s="40"/>
      <c r="W50" s="40"/>
      <c r="X50" s="41"/>
      <c r="Y50" s="30"/>
      <c r="Z50" s="30"/>
      <c r="AA50" s="30"/>
      <c r="AB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/>
      <c r="I51" s="68"/>
      <c r="J51" s="69"/>
      <c r="K51" s="87"/>
      <c r="L51" s="71"/>
      <c r="M51" s="147"/>
      <c r="N51" s="90"/>
      <c r="O51" s="126"/>
      <c r="P51" s="75"/>
      <c r="Q51" s="41"/>
      <c r="R51" s="39"/>
      <c r="S51" s="40"/>
      <c r="T51" s="40"/>
      <c r="U51" s="40"/>
      <c r="V51" s="40"/>
      <c r="W51" s="40"/>
      <c r="X51" s="41"/>
      <c r="Y51" s="30"/>
      <c r="Z51" s="30"/>
      <c r="AA51" s="30"/>
      <c r="AB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/>
      <c r="I52" s="68"/>
      <c r="J52" s="69"/>
      <c r="K52" s="87"/>
      <c r="L52" s="71"/>
      <c r="M52" s="72"/>
      <c r="N52" s="90"/>
      <c r="O52" s="74"/>
      <c r="P52" s="75"/>
      <c r="Q52" s="41"/>
      <c r="R52" s="39"/>
      <c r="S52" s="40"/>
      <c r="T52" s="40"/>
      <c r="U52" s="40"/>
      <c r="V52" s="40"/>
      <c r="W52" s="40"/>
      <c r="X52" s="41"/>
      <c r="Y52" s="30"/>
      <c r="Z52" s="30"/>
      <c r="AA52" s="30"/>
      <c r="AB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/>
      <c r="I53" s="68"/>
      <c r="J53" s="69"/>
      <c r="K53" s="70"/>
      <c r="L53" s="88"/>
      <c r="M53" s="72"/>
      <c r="N53" s="90"/>
      <c r="O53" s="74"/>
      <c r="P53" s="75"/>
      <c r="Q53" s="41"/>
      <c r="R53" s="39"/>
      <c r="S53" s="40"/>
      <c r="T53" s="40"/>
      <c r="U53" s="40"/>
      <c r="V53" s="40"/>
      <c r="W53" s="40"/>
      <c r="X53" s="41"/>
      <c r="Y53" s="30"/>
      <c r="Z53" s="30"/>
      <c r="AA53" s="30"/>
      <c r="AB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/>
      <c r="I54" s="84"/>
      <c r="J54" s="17"/>
      <c r="K54" s="85"/>
      <c r="L54" s="86"/>
      <c r="M54" s="72"/>
      <c r="N54" s="90"/>
      <c r="O54" s="74"/>
      <c r="P54" s="75"/>
      <c r="Q54" s="41"/>
      <c r="R54" s="39"/>
      <c r="S54" s="40"/>
      <c r="T54" s="40"/>
      <c r="U54" s="40"/>
      <c r="V54" s="40"/>
      <c r="W54" s="40"/>
      <c r="X54" s="41"/>
      <c r="Y54" s="30"/>
      <c r="Z54" s="30"/>
      <c r="AA54" s="30"/>
      <c r="AB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/>
      <c r="I55" s="68"/>
      <c r="J55" s="69"/>
      <c r="K55" s="87"/>
      <c r="L55" s="71"/>
      <c r="M55" s="72"/>
      <c r="N55" s="90"/>
      <c r="O55" s="74"/>
      <c r="P55" s="75"/>
      <c r="Q55" s="41"/>
      <c r="R55" s="39"/>
      <c r="S55" s="76"/>
      <c r="T55" s="40"/>
      <c r="U55" s="40"/>
      <c r="V55" s="40"/>
      <c r="W55" s="40"/>
      <c r="X55" s="41"/>
      <c r="Y55" s="30"/>
      <c r="Z55" s="30"/>
      <c r="AA55" s="30"/>
      <c r="AB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/>
      <c r="I56" s="154"/>
      <c r="J56" s="69"/>
      <c r="K56" s="87"/>
      <c r="L56" s="71"/>
      <c r="M56" s="72"/>
      <c r="N56" s="90"/>
      <c r="O56" s="74"/>
      <c r="P56" s="75"/>
      <c r="Q56" s="41"/>
      <c r="R56" s="39"/>
      <c r="S56" s="76"/>
      <c r="T56" s="40"/>
      <c r="U56" s="40"/>
      <c r="V56" s="40"/>
      <c r="W56" s="40"/>
      <c r="X56" s="41"/>
      <c r="Y56" s="30"/>
      <c r="Z56" s="30"/>
      <c r="AA56" s="30"/>
      <c r="AB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/>
      <c r="I57" s="68"/>
      <c r="J57" s="69"/>
      <c r="K57" s="70"/>
      <c r="L57" s="71"/>
      <c r="M57" s="72"/>
      <c r="N57" s="90"/>
      <c r="O57" s="74"/>
      <c r="P57" s="94"/>
      <c r="Q57" s="41"/>
      <c r="R57" s="39"/>
      <c r="S57" s="40"/>
      <c r="T57" s="40"/>
      <c r="U57" s="40"/>
      <c r="V57" s="40"/>
      <c r="W57" s="40"/>
      <c r="X57" s="41"/>
      <c r="Y57" s="30"/>
      <c r="Z57" s="30"/>
      <c r="AA57" s="30"/>
      <c r="AB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/>
      <c r="I58" s="68"/>
      <c r="J58" s="69"/>
      <c r="K58" s="87"/>
      <c r="L58" s="71"/>
      <c r="M58" s="147"/>
      <c r="N58" s="90"/>
      <c r="O58" s="126"/>
      <c r="P58" s="75"/>
      <c r="Q58" s="41"/>
      <c r="R58" s="39"/>
      <c r="S58" s="76"/>
      <c r="T58" s="40"/>
      <c r="U58" s="40"/>
      <c r="V58" s="40"/>
      <c r="W58" s="40"/>
      <c r="X58" s="41"/>
      <c r="Y58" s="30"/>
      <c r="Z58" s="30"/>
      <c r="AA58" s="30"/>
      <c r="AB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/>
      <c r="I59" s="68"/>
      <c r="J59" s="69"/>
      <c r="K59" s="85"/>
      <c r="L59" s="71"/>
      <c r="M59" s="72"/>
      <c r="N59" s="90"/>
      <c r="O59" s="74"/>
      <c r="P59" s="75"/>
      <c r="Q59" s="41"/>
      <c r="R59" s="39"/>
      <c r="S59" s="40"/>
      <c r="T59" s="40"/>
      <c r="U59" s="40"/>
      <c r="V59" s="40"/>
      <c r="W59" s="40"/>
      <c r="X59" s="41"/>
      <c r="Y59" s="30"/>
      <c r="Z59" s="30"/>
      <c r="AA59" s="30"/>
      <c r="AB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/>
      <c r="I60" s="68"/>
      <c r="J60" s="69"/>
      <c r="K60" s="85"/>
      <c r="L60" s="71"/>
      <c r="M60" s="72"/>
      <c r="N60" s="90"/>
      <c r="O60" s="74"/>
      <c r="P60" s="94"/>
      <c r="Q60" s="41"/>
      <c r="R60" s="39"/>
      <c r="S60" s="40"/>
      <c r="T60" s="40"/>
      <c r="U60" s="40"/>
      <c r="V60" s="40"/>
      <c r="W60" s="40"/>
      <c r="X60" s="41"/>
      <c r="Y60" s="30"/>
      <c r="Z60" s="30"/>
      <c r="AA60" s="30"/>
      <c r="AB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/>
      <c r="I61" s="68"/>
      <c r="J61" s="69"/>
      <c r="K61" s="85"/>
      <c r="L61" s="71"/>
      <c r="M61" s="72"/>
      <c r="N61" s="90"/>
      <c r="O61" s="74"/>
      <c r="P61" s="94"/>
      <c r="Q61" s="41"/>
      <c r="R61" s="39"/>
      <c r="S61" s="40"/>
      <c r="T61" s="40"/>
      <c r="U61" s="40"/>
      <c r="V61" s="40"/>
      <c r="W61" s="40"/>
      <c r="X61" s="41"/>
      <c r="Y61" s="30"/>
      <c r="Z61" s="30"/>
      <c r="AA61" s="30"/>
      <c r="AB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/>
      <c r="I62" s="68"/>
      <c r="J62" s="69"/>
      <c r="K62" s="87"/>
      <c r="L62" s="71"/>
      <c r="M62" s="147"/>
      <c r="N62" s="90"/>
      <c r="O62" s="126"/>
      <c r="P62" s="75"/>
      <c r="Q62" s="41"/>
      <c r="R62" s="39"/>
      <c r="T62" s="40"/>
      <c r="U62" s="40"/>
      <c r="V62" s="40"/>
      <c r="W62" s="40"/>
      <c r="X62" s="41"/>
      <c r="Y62" s="30"/>
      <c r="Z62" s="30"/>
      <c r="AA62" s="30"/>
      <c r="AB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/>
      <c r="I63" s="68"/>
      <c r="J63" s="69"/>
      <c r="K63" s="87"/>
      <c r="L63" s="71"/>
      <c r="M63" s="72"/>
      <c r="N63" s="90"/>
      <c r="O63" s="74"/>
      <c r="P63" s="75"/>
      <c r="Q63" s="41"/>
      <c r="R63" s="39"/>
      <c r="S63" s="76"/>
      <c r="T63" s="40"/>
      <c r="U63" s="40"/>
      <c r="V63" s="40"/>
      <c r="W63" s="40"/>
      <c r="X63" s="41"/>
      <c r="Y63" s="30"/>
      <c r="Z63" s="30"/>
      <c r="AA63" s="30"/>
      <c r="AB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/>
      <c r="I64" s="68"/>
      <c r="J64" s="69"/>
      <c r="K64" s="87"/>
      <c r="L64" s="71"/>
      <c r="M64" s="72"/>
      <c r="N64" s="90"/>
      <c r="O64" s="74"/>
      <c r="P64" s="75"/>
      <c r="Q64" s="41"/>
      <c r="R64" s="39"/>
      <c r="S64" s="76"/>
      <c r="T64" s="40"/>
      <c r="U64" s="40"/>
      <c r="V64" s="40"/>
      <c r="W64" s="40"/>
      <c r="X64" s="41"/>
      <c r="Y64" s="30"/>
      <c r="Z64" s="30"/>
      <c r="AA64" s="30"/>
      <c r="AB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/>
      <c r="I65" s="68"/>
      <c r="J65" s="69"/>
      <c r="K65" s="70"/>
      <c r="L65" s="88"/>
      <c r="M65" s="72"/>
      <c r="N65" s="90"/>
      <c r="O65" s="74"/>
      <c r="P65" s="75"/>
      <c r="Q65" s="41"/>
      <c r="R65" s="39"/>
      <c r="S65" s="40"/>
      <c r="T65" s="40"/>
      <c r="U65" s="40"/>
      <c r="V65" s="40"/>
      <c r="W65" s="40"/>
      <c r="X65" s="41"/>
      <c r="Y65" s="30"/>
      <c r="Z65" s="30"/>
      <c r="AA65" s="30"/>
      <c r="AB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/>
      <c r="I66" s="68"/>
      <c r="J66" s="69"/>
      <c r="K66" s="70"/>
      <c r="L66" s="88"/>
      <c r="M66" s="147"/>
      <c r="N66" s="90"/>
      <c r="O66" s="126"/>
      <c r="P66" s="75"/>
      <c r="Q66" s="41"/>
      <c r="R66" s="39"/>
      <c r="T66" s="40"/>
      <c r="U66" s="40"/>
      <c r="V66" s="40"/>
      <c r="W66" s="40"/>
      <c r="X66" s="41"/>
      <c r="Y66" s="30"/>
      <c r="Z66" s="30"/>
      <c r="AA66" s="30"/>
      <c r="AB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/>
      <c r="I67" s="68"/>
      <c r="J67" s="69"/>
      <c r="K67" s="87"/>
      <c r="L67" s="71"/>
      <c r="M67" s="147"/>
      <c r="N67" s="90"/>
      <c r="O67" s="126"/>
      <c r="P67" s="75"/>
      <c r="Q67" s="41"/>
      <c r="R67" s="39"/>
      <c r="S67" s="40"/>
      <c r="T67" s="40"/>
      <c r="U67" s="40"/>
      <c r="V67" s="40"/>
      <c r="W67" s="40"/>
      <c r="X67" s="41"/>
      <c r="Y67" s="30"/>
      <c r="Z67" s="30"/>
      <c r="AA67" s="30"/>
      <c r="AB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/>
      <c r="I68" s="84"/>
      <c r="J68" s="17"/>
      <c r="K68" s="85"/>
      <c r="L68" s="86"/>
      <c r="M68" s="147"/>
      <c r="N68" s="90"/>
      <c r="O68" s="126"/>
      <c r="P68" s="75"/>
      <c r="Q68" s="41"/>
      <c r="R68" s="39"/>
      <c r="S68" s="40"/>
      <c r="T68" s="40"/>
      <c r="U68" s="40"/>
      <c r="V68" s="40"/>
      <c r="W68" s="40"/>
      <c r="X68" s="41"/>
      <c r="Y68" s="30"/>
      <c r="Z68" s="30"/>
      <c r="AA68" s="30"/>
      <c r="AB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/>
      <c r="I69" s="68"/>
      <c r="J69" s="69"/>
      <c r="K69" s="85"/>
      <c r="L69" s="71"/>
      <c r="M69" s="72"/>
      <c r="N69" s="90"/>
      <c r="O69" s="74"/>
      <c r="P69" s="94"/>
      <c r="Q69" s="41"/>
      <c r="R69" s="39"/>
      <c r="S69" s="40"/>
      <c r="T69" s="40"/>
      <c r="U69" s="40"/>
      <c r="V69" s="40"/>
      <c r="W69" s="40"/>
      <c r="X69" s="41"/>
      <c r="Y69" s="30"/>
      <c r="Z69" s="30"/>
      <c r="AA69" s="30"/>
      <c r="AB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69"/>
      <c r="K70" s="70"/>
      <c r="L70" s="71"/>
      <c r="M70" s="72"/>
      <c r="N70" s="90"/>
      <c r="O70" s="74"/>
      <c r="P70" s="94"/>
      <c r="Q70" s="41"/>
      <c r="R70" s="39"/>
      <c r="S70" s="40"/>
      <c r="T70" s="40"/>
      <c r="U70" s="40"/>
      <c r="V70" s="40"/>
      <c r="W70" s="40"/>
      <c r="X70" s="41"/>
      <c r="Y70" s="30"/>
      <c r="Z70" s="30"/>
      <c r="AA70" s="30"/>
      <c r="AB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68"/>
      <c r="J71" s="69"/>
      <c r="K71" s="87"/>
      <c r="L71" s="71"/>
      <c r="M71" s="72"/>
      <c r="N71" s="90"/>
      <c r="O71" s="74"/>
      <c r="P71" s="94"/>
      <c r="Q71" s="41"/>
      <c r="R71" s="39"/>
      <c r="S71" s="76"/>
      <c r="T71" s="40"/>
      <c r="U71" s="40"/>
      <c r="V71" s="40"/>
      <c r="W71" s="40"/>
      <c r="X71" s="41"/>
      <c r="Y71" s="30"/>
      <c r="Z71" s="30"/>
      <c r="AA71" s="30"/>
      <c r="AB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69"/>
      <c r="K72" s="85"/>
      <c r="L72" s="71"/>
      <c r="M72" s="147"/>
      <c r="N72" s="90"/>
      <c r="O72" s="126"/>
      <c r="P72" s="75"/>
      <c r="Q72" s="41"/>
      <c r="R72" s="39"/>
      <c r="T72" s="40"/>
      <c r="U72" s="40"/>
      <c r="V72" s="40"/>
      <c r="W72" s="40"/>
      <c r="X72" s="41"/>
      <c r="Y72" s="30"/>
      <c r="Z72" s="30"/>
      <c r="AA72" s="30"/>
      <c r="AB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/>
      <c r="I73" s="154"/>
      <c r="J73" s="69"/>
      <c r="K73" s="93"/>
      <c r="L73" s="71"/>
      <c r="M73" s="72"/>
      <c r="N73" s="90"/>
      <c r="O73" s="74"/>
      <c r="P73" s="94"/>
      <c r="Q73" s="41"/>
      <c r="R73" s="39"/>
      <c r="S73" s="76"/>
      <c r="T73" s="40"/>
      <c r="U73" s="40"/>
      <c r="V73" s="40"/>
      <c r="W73" s="40"/>
      <c r="X73" s="41"/>
      <c r="Y73" s="30"/>
      <c r="Z73" s="30"/>
      <c r="AA73" s="30"/>
      <c r="AB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/>
      <c r="I74" s="68"/>
      <c r="J74" s="69"/>
      <c r="K74" s="87"/>
      <c r="L74" s="71"/>
      <c r="M74" s="72"/>
      <c r="N74" s="90"/>
      <c r="O74" s="74"/>
      <c r="P74" s="94"/>
      <c r="Q74" s="41"/>
      <c r="R74" s="39"/>
      <c r="S74" s="40"/>
      <c r="T74" s="40"/>
      <c r="U74" s="40"/>
      <c r="V74" s="40"/>
      <c r="W74" s="40"/>
      <c r="X74" s="41"/>
      <c r="Y74" s="30"/>
      <c r="Z74" s="30"/>
      <c r="AA74" s="30"/>
      <c r="AB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/>
      <c r="I75" s="154"/>
      <c r="J75" s="69"/>
      <c r="K75" s="87"/>
      <c r="L75" s="71"/>
      <c r="M75" s="72"/>
      <c r="N75" s="90"/>
      <c r="O75" s="74"/>
      <c r="P75" s="94"/>
      <c r="Q75" s="41"/>
      <c r="R75" s="39"/>
      <c r="S75" s="76"/>
      <c r="T75" s="40"/>
      <c r="U75" s="40"/>
      <c r="V75" s="40"/>
      <c r="W75" s="40"/>
      <c r="X75" s="41"/>
      <c r="Y75" s="30"/>
      <c r="Z75" s="30"/>
      <c r="AA75" s="30"/>
      <c r="AB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/>
      <c r="I76" s="68"/>
      <c r="J76" s="69"/>
      <c r="K76" s="85"/>
      <c r="L76" s="71"/>
      <c r="M76" s="72"/>
      <c r="N76" s="90"/>
      <c r="O76" s="74"/>
      <c r="P76" s="75"/>
      <c r="Q76" s="41"/>
      <c r="R76" s="39"/>
      <c r="S76" s="76"/>
      <c r="T76" s="40"/>
      <c r="U76" s="40"/>
      <c r="V76" s="40"/>
      <c r="W76" s="40"/>
      <c r="X76" s="41"/>
      <c r="Y76" s="30"/>
      <c r="Z76" s="30"/>
      <c r="AA76" s="30"/>
      <c r="AB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/>
      <c r="I77" s="68"/>
      <c r="J77" s="69"/>
      <c r="K77" s="87"/>
      <c r="L77" s="71"/>
      <c r="M77" s="147"/>
      <c r="N77" s="90"/>
      <c r="O77" s="126"/>
      <c r="P77" s="75"/>
      <c r="Q77" s="41"/>
      <c r="R77" s="39"/>
      <c r="S77" s="40"/>
      <c r="T77" s="40"/>
      <c r="U77" s="40"/>
      <c r="V77" s="40"/>
      <c r="W77" s="40"/>
      <c r="X77" s="41"/>
      <c r="Y77" s="30"/>
      <c r="Z77" s="30"/>
      <c r="AA77" s="30"/>
      <c r="AB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/>
      <c r="I78" s="68"/>
      <c r="J78" s="69"/>
      <c r="K78" s="87"/>
      <c r="L78" s="71"/>
      <c r="M78" s="72"/>
      <c r="N78" s="90"/>
      <c r="O78" s="74"/>
      <c r="P78" s="75"/>
      <c r="Q78" s="41"/>
      <c r="R78" s="39"/>
      <c r="S78" s="40"/>
      <c r="T78" s="40"/>
      <c r="U78" s="40"/>
      <c r="V78" s="40"/>
      <c r="W78" s="40"/>
      <c r="X78" s="41"/>
      <c r="Y78" s="30"/>
      <c r="Z78" s="30"/>
      <c r="AA78" s="30"/>
      <c r="AB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/>
      <c r="I79" s="68"/>
      <c r="J79" s="69"/>
      <c r="K79" s="70"/>
      <c r="L79" s="71"/>
      <c r="M79" s="147"/>
      <c r="N79" s="90"/>
      <c r="O79" s="126"/>
      <c r="P79" s="75"/>
      <c r="Q79" s="41"/>
      <c r="R79" s="39"/>
      <c r="S79" s="40"/>
      <c r="T79" s="40"/>
      <c r="U79" s="40"/>
      <c r="V79" s="40"/>
      <c r="W79" s="40"/>
      <c r="X79" s="41"/>
      <c r="Y79" s="30"/>
      <c r="Z79" s="30"/>
      <c r="AA79" s="30"/>
      <c r="AB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/>
      <c r="I80" s="154"/>
      <c r="J80" s="17"/>
      <c r="K80" s="92"/>
      <c r="L80" s="173"/>
      <c r="M80" s="72"/>
      <c r="N80" s="90"/>
      <c r="O80" s="74"/>
      <c r="P80" s="75"/>
      <c r="Q80" s="41"/>
      <c r="R80" s="39"/>
      <c r="S80" s="40"/>
      <c r="T80" s="40"/>
      <c r="U80" s="40"/>
      <c r="V80" s="40"/>
      <c r="W80" s="40"/>
      <c r="X80" s="41"/>
      <c r="Y80" s="30"/>
      <c r="Z80" s="30"/>
      <c r="AA80" s="30"/>
      <c r="AB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/>
      <c r="I81" s="68"/>
      <c r="J81" s="69"/>
      <c r="K81" s="87"/>
      <c r="L81" s="71"/>
      <c r="M81" s="72"/>
      <c r="N81" s="90"/>
      <c r="O81" s="74"/>
      <c r="P81" s="75"/>
      <c r="Q81" s="41"/>
      <c r="R81" s="39"/>
      <c r="S81" s="40"/>
      <c r="T81" s="40"/>
      <c r="U81" s="40"/>
      <c r="V81" s="40"/>
      <c r="W81" s="40"/>
      <c r="X81" s="41"/>
      <c r="Y81" s="30"/>
      <c r="Z81" s="30"/>
      <c r="AA81" s="30"/>
      <c r="AB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/>
      <c r="I82" s="68"/>
      <c r="J82" s="69"/>
      <c r="K82" s="87"/>
      <c r="L82" s="71"/>
      <c r="M82" s="147"/>
      <c r="N82" s="90"/>
      <c r="O82" s="126"/>
      <c r="P82" s="75"/>
      <c r="Q82" s="41"/>
      <c r="R82" s="39"/>
      <c r="S82" s="40"/>
      <c r="T82" s="40"/>
      <c r="U82" s="40"/>
      <c r="V82" s="40"/>
      <c r="W82" s="40"/>
      <c r="X82" s="41"/>
      <c r="Y82" s="30"/>
      <c r="Z82" s="30"/>
      <c r="AA82" s="30"/>
      <c r="AB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/>
      <c r="I83" s="68"/>
      <c r="J83" s="69"/>
      <c r="K83" s="87"/>
      <c r="L83" s="71"/>
      <c r="M83" s="72"/>
      <c r="N83" s="90"/>
      <c r="O83" s="74"/>
      <c r="P83" s="75"/>
      <c r="Q83" s="41"/>
      <c r="R83" s="39"/>
      <c r="S83" s="76"/>
      <c r="T83" s="40"/>
      <c r="U83" s="40"/>
      <c r="V83" s="40"/>
      <c r="W83" s="40"/>
      <c r="X83" s="41"/>
      <c r="Y83" s="30"/>
      <c r="Z83" s="30"/>
      <c r="AA83" s="30"/>
      <c r="AB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/>
      <c r="I84" s="68"/>
      <c r="J84" s="69"/>
      <c r="K84" s="70"/>
      <c r="L84" s="88"/>
      <c r="M84" s="72"/>
      <c r="N84" s="90"/>
      <c r="O84" s="74"/>
      <c r="P84" s="75"/>
      <c r="Q84" s="41"/>
      <c r="R84" s="39"/>
      <c r="S84" s="40"/>
      <c r="T84" s="40"/>
      <c r="U84" s="40"/>
      <c r="V84" s="40"/>
      <c r="W84" s="40"/>
      <c r="X84" s="41"/>
      <c r="Y84" s="30"/>
      <c r="Z84" s="30"/>
      <c r="AA84" s="30"/>
      <c r="AB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/>
      <c r="I85" s="68"/>
      <c r="J85" s="69"/>
      <c r="K85" s="70"/>
      <c r="L85" s="71"/>
      <c r="M85" s="147"/>
      <c r="N85" s="90"/>
      <c r="O85" s="126"/>
      <c r="P85" s="75"/>
      <c r="Q85" s="41"/>
      <c r="R85" s="39"/>
      <c r="T85" s="40"/>
      <c r="U85" s="40"/>
      <c r="V85" s="40"/>
      <c r="W85" s="40"/>
      <c r="X85" s="41"/>
      <c r="Y85" s="30"/>
      <c r="Z85" s="30"/>
      <c r="AA85" s="30"/>
      <c r="AB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/>
      <c r="I86" s="68"/>
      <c r="J86" s="69"/>
      <c r="K86" s="85"/>
      <c r="L86" s="71"/>
      <c r="M86" s="147"/>
      <c r="N86" s="90"/>
      <c r="O86" s="126"/>
      <c r="P86" s="75"/>
      <c r="Q86" s="41"/>
      <c r="R86" s="39"/>
      <c r="S86" s="40"/>
      <c r="T86" s="40"/>
      <c r="U86" s="40"/>
      <c r="V86" s="40"/>
      <c r="W86" s="40"/>
      <c r="X86" s="41"/>
      <c r="Y86" s="30"/>
      <c r="Z86" s="30"/>
      <c r="AA86" s="30"/>
      <c r="AB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/>
      <c r="I87" s="68"/>
      <c r="J87" s="69"/>
      <c r="K87" s="85"/>
      <c r="L87" s="71"/>
      <c r="M87" s="72"/>
      <c r="N87" s="90"/>
      <c r="O87" s="74"/>
      <c r="P87" s="75"/>
      <c r="Q87" s="41"/>
      <c r="R87" s="39"/>
      <c r="S87" s="40"/>
      <c r="T87" s="40"/>
      <c r="U87" s="40"/>
      <c r="V87" s="40"/>
      <c r="W87" s="40"/>
      <c r="X87" s="41"/>
      <c r="Y87" s="30"/>
      <c r="Z87" s="30"/>
      <c r="AA87" s="30"/>
      <c r="AB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/>
      <c r="I88" s="68"/>
      <c r="J88" s="69"/>
      <c r="K88" s="85"/>
      <c r="L88" s="71"/>
      <c r="M88" s="147"/>
      <c r="N88" s="90"/>
      <c r="O88" s="126"/>
      <c r="P88" s="75"/>
      <c r="Q88" s="41"/>
      <c r="R88" s="39"/>
      <c r="S88" s="76"/>
      <c r="T88" s="40"/>
      <c r="U88" s="40"/>
      <c r="V88" s="40"/>
      <c r="W88" s="40"/>
      <c r="X88" s="41"/>
      <c r="Y88" s="30"/>
      <c r="Z88" s="30"/>
      <c r="AA88" s="30"/>
      <c r="AB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/>
      <c r="I89" s="68"/>
      <c r="J89" s="69"/>
      <c r="K89" s="70"/>
      <c r="L89" s="88"/>
      <c r="M89" s="147"/>
      <c r="N89" s="90"/>
      <c r="O89" s="126"/>
      <c r="P89" s="75"/>
      <c r="Q89" s="41"/>
      <c r="R89" s="39"/>
      <c r="S89" s="40"/>
      <c r="T89" s="40"/>
      <c r="U89" s="40"/>
      <c r="V89" s="40"/>
      <c r="W89" s="40"/>
      <c r="X89" s="41"/>
      <c r="Y89" s="30"/>
      <c r="Z89" s="30"/>
      <c r="AA89" s="30"/>
      <c r="AB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/>
      <c r="I90" s="84"/>
      <c r="J90" s="17"/>
      <c r="K90" s="85"/>
      <c r="L90" s="86"/>
      <c r="M90" s="72"/>
      <c r="N90" s="90"/>
      <c r="O90" s="74"/>
      <c r="P90" s="75"/>
      <c r="Q90" s="41"/>
      <c r="R90" s="39"/>
      <c r="T90" s="40"/>
      <c r="U90" s="40"/>
      <c r="V90" s="40"/>
      <c r="W90" s="40"/>
      <c r="X90" s="41"/>
      <c r="Y90" s="30"/>
      <c r="Z90" s="30"/>
      <c r="AA90" s="30"/>
      <c r="AB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/>
      <c r="I91" s="68"/>
      <c r="J91" s="69"/>
      <c r="K91" s="87"/>
      <c r="L91" s="71"/>
      <c r="M91" s="72"/>
      <c r="N91" s="90"/>
      <c r="O91" s="74"/>
      <c r="P91" s="75"/>
      <c r="Q91" s="41"/>
      <c r="R91" s="39"/>
      <c r="S91" s="40"/>
      <c r="T91" s="40"/>
      <c r="U91" s="40"/>
      <c r="V91" s="40"/>
      <c r="W91" s="40"/>
      <c r="X91" s="41"/>
      <c r="Y91" s="30"/>
      <c r="Z91" s="30"/>
      <c r="AA91" s="30"/>
      <c r="AB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/>
      <c r="I92" s="84"/>
      <c r="J92" s="17"/>
      <c r="K92" s="85"/>
      <c r="L92" s="86"/>
      <c r="M92" s="72"/>
      <c r="N92" s="90"/>
      <c r="O92" s="74"/>
      <c r="P92" s="75"/>
      <c r="Q92" s="41"/>
      <c r="R92" s="39"/>
      <c r="S92" s="40"/>
      <c r="T92" s="40"/>
      <c r="U92" s="40"/>
      <c r="V92" s="40"/>
      <c r="W92" s="40"/>
      <c r="X92" s="41"/>
      <c r="Y92" s="30"/>
      <c r="Z92" s="30"/>
      <c r="AA92" s="30"/>
      <c r="AB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/>
      <c r="I93" s="68"/>
      <c r="J93" s="69"/>
      <c r="K93" s="70"/>
      <c r="L93" s="88"/>
      <c r="M93" s="147"/>
      <c r="N93" s="90"/>
      <c r="O93" s="126"/>
      <c r="P93" s="94"/>
      <c r="Q93" s="41"/>
      <c r="R93" s="39"/>
      <c r="S93" s="40"/>
      <c r="T93" s="40"/>
      <c r="U93" s="40"/>
      <c r="V93" s="40"/>
      <c r="W93" s="40"/>
      <c r="X93" s="41"/>
      <c r="Y93" s="30"/>
      <c r="Z93" s="30"/>
      <c r="AA93" s="30"/>
      <c r="AB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/>
      <c r="I94" s="68"/>
      <c r="J94" s="69"/>
      <c r="K94" s="70"/>
      <c r="L94" s="71"/>
      <c r="M94" s="147"/>
      <c r="N94" s="90"/>
      <c r="O94" s="126"/>
      <c r="P94" s="75"/>
      <c r="Q94" s="41"/>
      <c r="R94" s="39"/>
      <c r="S94" s="40"/>
      <c r="T94" s="40"/>
      <c r="U94" s="40"/>
      <c r="V94" s="40"/>
      <c r="W94" s="40"/>
      <c r="X94" s="41"/>
      <c r="Y94" s="30"/>
      <c r="Z94" s="30"/>
      <c r="AA94" s="30"/>
      <c r="AB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/>
      <c r="I95" s="68"/>
      <c r="J95" s="69"/>
      <c r="K95" s="87"/>
      <c r="L95" s="71"/>
      <c r="M95" s="147"/>
      <c r="N95" s="90"/>
      <c r="O95" s="126"/>
      <c r="P95" s="75"/>
      <c r="Q95" s="41"/>
      <c r="R95" s="39"/>
      <c r="S95" s="40"/>
      <c r="T95" s="40"/>
      <c r="U95" s="40"/>
      <c r="V95" s="40"/>
      <c r="W95" s="40"/>
      <c r="X95" s="41"/>
      <c r="Y95" s="30"/>
      <c r="Z95" s="30"/>
      <c r="AA95" s="30"/>
      <c r="AB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/>
      <c r="I96" s="68"/>
      <c r="J96" s="69"/>
      <c r="K96" s="87"/>
      <c r="L96" s="71"/>
      <c r="M96" s="72"/>
      <c r="N96" s="90"/>
      <c r="O96" s="74"/>
      <c r="P96" s="75"/>
      <c r="Q96" s="41"/>
      <c r="R96" s="39"/>
      <c r="S96" s="40"/>
      <c r="T96" s="40"/>
      <c r="U96" s="40"/>
      <c r="V96" s="40"/>
      <c r="W96" s="40"/>
      <c r="X96" s="41"/>
      <c r="Y96" s="30"/>
      <c r="Z96" s="30"/>
      <c r="AA96" s="30"/>
      <c r="AB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/>
      <c r="I97" s="84"/>
      <c r="J97" s="17"/>
      <c r="K97" s="85"/>
      <c r="L97" s="86"/>
      <c r="M97" s="72"/>
      <c r="N97" s="90"/>
      <c r="O97" s="74"/>
      <c r="P97" s="75"/>
      <c r="Q97" s="41"/>
      <c r="R97" s="39"/>
      <c r="S97" s="40"/>
      <c r="T97" s="40"/>
      <c r="U97" s="40"/>
      <c r="V97" s="40"/>
      <c r="W97" s="40"/>
      <c r="X97" s="41"/>
      <c r="Y97" s="30"/>
      <c r="Z97" s="30"/>
      <c r="AA97" s="30"/>
      <c r="AB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/>
      <c r="I98" s="84"/>
      <c r="J98" s="17"/>
      <c r="K98" s="85"/>
      <c r="L98" s="86"/>
      <c r="M98" s="147"/>
      <c r="N98" s="90"/>
      <c r="O98" s="126"/>
      <c r="P98" s="75"/>
      <c r="Q98" s="41"/>
      <c r="R98" s="39"/>
      <c r="S98" s="40"/>
      <c r="T98" s="40"/>
      <c r="U98" s="40"/>
      <c r="V98" s="40"/>
      <c r="W98" s="40"/>
      <c r="X98" s="41"/>
      <c r="Y98" s="30"/>
      <c r="Z98" s="30"/>
      <c r="AA98" s="30"/>
      <c r="AB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/>
      <c r="I99" s="154"/>
      <c r="J99" s="17"/>
      <c r="K99" s="92"/>
      <c r="L99" s="173"/>
      <c r="M99" s="72"/>
      <c r="N99" s="90"/>
      <c r="O99" s="74"/>
      <c r="P99" s="75"/>
      <c r="Q99" s="41"/>
      <c r="R99" s="39"/>
      <c r="S99" s="40"/>
      <c r="T99" s="40"/>
      <c r="U99" s="40"/>
      <c r="V99" s="40"/>
      <c r="W99" s="40"/>
      <c r="X99" s="41"/>
      <c r="Y99" s="30"/>
      <c r="Z99" s="30"/>
      <c r="AA99" s="30"/>
      <c r="AB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/>
      <c r="I100" s="84"/>
      <c r="J100" s="17"/>
      <c r="K100" s="85"/>
      <c r="L100" s="86"/>
      <c r="M100" s="72"/>
      <c r="N100" s="90"/>
      <c r="O100" s="74"/>
      <c r="P100" s="75"/>
      <c r="Q100" s="41"/>
      <c r="R100" s="39"/>
      <c r="S100" s="76"/>
      <c r="T100" s="40"/>
      <c r="U100" s="40"/>
      <c r="V100" s="40"/>
      <c r="W100" s="40"/>
      <c r="X100" s="41"/>
      <c r="Y100" s="30"/>
      <c r="Z100" s="30"/>
      <c r="AA100" s="30"/>
      <c r="AB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/>
      <c r="I101" s="84"/>
      <c r="J101" s="17"/>
      <c r="K101" s="87"/>
      <c r="L101" s="71"/>
      <c r="M101" s="147"/>
      <c r="N101" s="90"/>
      <c r="O101" s="126"/>
      <c r="P101" s="75"/>
      <c r="Q101" s="41"/>
      <c r="R101" s="39"/>
      <c r="S101" s="40"/>
      <c r="T101" s="40"/>
      <c r="U101" s="40"/>
      <c r="V101" s="40"/>
      <c r="W101" s="40"/>
      <c r="X101" s="41"/>
      <c r="Y101" s="30"/>
      <c r="Z101" s="30"/>
      <c r="AA101" s="30"/>
      <c r="AB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/>
      <c r="I102" s="68"/>
      <c r="J102" s="69"/>
      <c r="K102" s="87"/>
      <c r="L102" s="71"/>
      <c r="M102" s="72"/>
      <c r="N102" s="90"/>
      <c r="O102" s="74"/>
      <c r="P102" s="94"/>
      <c r="Q102" s="41"/>
      <c r="R102" s="39"/>
      <c r="S102" s="40"/>
      <c r="T102" s="40"/>
      <c r="U102" s="40"/>
      <c r="V102" s="40"/>
      <c r="W102" s="40"/>
      <c r="X102" s="41"/>
      <c r="Y102" s="30"/>
      <c r="Z102" s="30"/>
      <c r="AA102" s="30"/>
      <c r="AB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/>
      <c r="I103" s="68"/>
      <c r="J103" s="69"/>
      <c r="K103" s="87"/>
      <c r="L103" s="71"/>
      <c r="M103" s="147"/>
      <c r="N103" s="90"/>
      <c r="O103" s="126"/>
      <c r="P103" s="75"/>
      <c r="Q103" s="41"/>
      <c r="R103" s="39"/>
      <c r="S103" s="40"/>
      <c r="T103" s="40"/>
      <c r="U103" s="40"/>
      <c r="V103" s="40"/>
      <c r="W103" s="40"/>
      <c r="X103" s="41"/>
      <c r="Y103" s="30"/>
      <c r="Z103" s="30"/>
      <c r="AA103" s="30"/>
      <c r="AB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/>
      <c r="I104" s="84"/>
      <c r="J104" s="17"/>
      <c r="K104" s="93"/>
      <c r="L104" s="155"/>
      <c r="M104" s="72"/>
      <c r="N104" s="90"/>
      <c r="O104" s="74"/>
      <c r="P104" s="75"/>
      <c r="Q104" s="41"/>
      <c r="R104" s="39"/>
      <c r="S104" s="208"/>
      <c r="T104" s="40"/>
      <c r="U104" s="40"/>
      <c r="V104" s="40"/>
      <c r="W104" s="40"/>
      <c r="X104" s="41"/>
      <c r="Y104" s="30"/>
      <c r="Z104" s="30"/>
      <c r="AA104" s="30"/>
      <c r="AB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/>
      <c r="I105" s="68"/>
      <c r="J105" s="69"/>
      <c r="K105" s="87"/>
      <c r="L105" s="71"/>
      <c r="M105" s="72"/>
      <c r="N105" s="90"/>
      <c r="O105" s="74"/>
      <c r="P105" s="75"/>
      <c r="Q105" s="41"/>
      <c r="R105" s="39"/>
      <c r="S105" s="40"/>
      <c r="T105" s="40"/>
      <c r="U105" s="40"/>
      <c r="V105" s="40"/>
      <c r="W105" s="40"/>
      <c r="X105" s="41"/>
      <c r="Y105" s="30"/>
      <c r="Z105" s="30"/>
      <c r="AA105" s="30"/>
      <c r="AB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/>
      <c r="I106" s="154"/>
      <c r="J106" s="17"/>
      <c r="K106" s="93"/>
      <c r="L106" s="155"/>
      <c r="M106" s="72"/>
      <c r="N106" s="90"/>
      <c r="O106" s="74"/>
      <c r="P106" s="75"/>
      <c r="Q106" s="41"/>
      <c r="R106" s="39"/>
      <c r="T106" s="40"/>
      <c r="U106" s="40"/>
      <c r="V106" s="40"/>
      <c r="W106" s="40"/>
      <c r="X106" s="41"/>
      <c r="Y106" s="30"/>
      <c r="Z106" s="30"/>
      <c r="AA106" s="30"/>
      <c r="AB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/>
      <c r="I107" s="84"/>
      <c r="J107" s="17"/>
      <c r="K107" s="93"/>
      <c r="L107" s="155"/>
      <c r="M107" s="147"/>
      <c r="N107" s="90"/>
      <c r="O107" s="126"/>
      <c r="P107" s="75"/>
      <c r="Q107" s="41"/>
      <c r="R107" s="39"/>
      <c r="S107" s="40"/>
      <c r="T107" s="40"/>
      <c r="U107" s="40"/>
      <c r="V107" s="40"/>
      <c r="W107" s="40"/>
      <c r="X107" s="41"/>
      <c r="Y107" s="30"/>
      <c r="Z107" s="30"/>
      <c r="AA107" s="30"/>
      <c r="AB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/>
      <c r="I108" s="84"/>
      <c r="J108" s="17"/>
      <c r="K108" s="85"/>
      <c r="L108" s="86"/>
      <c r="M108" s="72"/>
      <c r="N108" s="90"/>
      <c r="O108" s="74"/>
      <c r="P108" s="75"/>
      <c r="Q108" s="41"/>
      <c r="R108" s="39"/>
      <c r="S108" s="76"/>
      <c r="T108" s="40"/>
      <c r="U108" s="40"/>
      <c r="V108" s="40"/>
      <c r="W108" s="40"/>
      <c r="X108" s="41"/>
      <c r="Y108" s="30"/>
      <c r="Z108" s="30"/>
      <c r="AA108" s="30"/>
      <c r="AB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/>
      <c r="I109" s="68"/>
      <c r="J109" s="69"/>
      <c r="K109" s="70"/>
      <c r="L109" s="71"/>
      <c r="M109" s="72"/>
      <c r="N109" s="90"/>
      <c r="O109" s="74"/>
      <c r="P109" s="94"/>
      <c r="Q109" s="41"/>
      <c r="R109" s="39"/>
      <c r="S109" s="40"/>
      <c r="T109" s="40"/>
      <c r="U109" s="40"/>
      <c r="V109" s="40"/>
      <c r="W109" s="40"/>
      <c r="X109" s="41"/>
      <c r="Y109" s="30"/>
      <c r="Z109" s="30"/>
      <c r="AA109" s="30"/>
      <c r="AB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/>
      <c r="I110" s="68"/>
      <c r="J110" s="69"/>
      <c r="K110" s="70"/>
      <c r="L110" s="71"/>
      <c r="M110" s="72"/>
      <c r="N110" s="90"/>
      <c r="O110" s="74"/>
      <c r="P110" s="75"/>
      <c r="Q110" s="41"/>
      <c r="R110" s="39"/>
      <c r="S110" s="40"/>
      <c r="T110" s="40"/>
      <c r="U110" s="40"/>
      <c r="V110" s="40"/>
      <c r="W110" s="40"/>
      <c r="X110" s="41"/>
      <c r="Y110" s="30"/>
      <c r="Z110" s="30"/>
      <c r="AA110" s="30"/>
      <c r="AB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30"/>
      <c r="I111" s="154"/>
      <c r="J111" s="17"/>
      <c r="K111" s="92"/>
      <c r="L111" s="173"/>
      <c r="M111" s="147"/>
      <c r="N111" s="19"/>
      <c r="O111" s="126"/>
      <c r="P111" s="172"/>
      <c r="Q111" s="41"/>
      <c r="R111" s="39"/>
      <c r="S111" s="40"/>
      <c r="T111" s="40"/>
      <c r="U111" s="40"/>
      <c r="V111" s="40"/>
      <c r="W111" s="40"/>
      <c r="X111" s="41"/>
      <c r="Y111" s="30"/>
      <c r="Z111" s="30"/>
      <c r="AA111" s="30"/>
      <c r="AB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30"/>
      <c r="I112" s="84"/>
      <c r="J112" s="17"/>
      <c r="K112" s="85"/>
      <c r="L112" s="86"/>
      <c r="M112" s="147"/>
      <c r="N112" s="19"/>
      <c r="O112" s="126"/>
      <c r="P112" s="172"/>
      <c r="Q112" s="41"/>
      <c r="R112" s="39"/>
      <c r="S112" s="40"/>
      <c r="T112" s="40"/>
      <c r="U112" s="40"/>
      <c r="V112" s="40"/>
      <c r="W112" s="40"/>
      <c r="X112" s="41"/>
      <c r="Y112" s="30"/>
      <c r="Z112" s="30"/>
      <c r="AA112" s="30"/>
      <c r="AB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30"/>
      <c r="I113" s="68"/>
      <c r="J113" s="17"/>
      <c r="K113" s="70"/>
      <c r="L113" s="155"/>
      <c r="M113" s="147"/>
      <c r="N113" s="19"/>
      <c r="O113" s="126"/>
      <c r="P113" s="172"/>
      <c r="Q113" s="41"/>
      <c r="R113" s="39"/>
      <c r="S113" s="76"/>
      <c r="T113" s="40"/>
      <c r="U113" s="40"/>
      <c r="V113" s="40"/>
      <c r="W113" s="40"/>
      <c r="X113" s="41"/>
      <c r="Y113" s="30"/>
      <c r="Z113" s="30"/>
      <c r="AA113" s="30"/>
      <c r="AB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30"/>
      <c r="I114" s="154"/>
      <c r="J114" s="17"/>
      <c r="K114" s="93"/>
      <c r="L114" s="155"/>
      <c r="M114" s="147"/>
      <c r="N114" s="19"/>
      <c r="O114" s="126"/>
      <c r="P114" s="172"/>
      <c r="Q114" s="41"/>
      <c r="R114" s="39"/>
      <c r="S114" s="40"/>
      <c r="T114" s="40"/>
      <c r="U114" s="40"/>
      <c r="V114" s="40"/>
      <c r="W114" s="40"/>
      <c r="X114" s="41"/>
      <c r="Y114" s="30"/>
      <c r="Z114" s="30"/>
      <c r="AA114" s="30"/>
      <c r="AB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30"/>
      <c r="I115" s="84"/>
      <c r="J115" s="17"/>
      <c r="K115" s="85"/>
      <c r="L115" s="86"/>
      <c r="M115" s="147"/>
      <c r="N115" s="19"/>
      <c r="O115" s="126"/>
      <c r="P115" s="172"/>
      <c r="Q115" s="41"/>
      <c r="R115" s="39"/>
      <c r="S115" s="40"/>
      <c r="T115" s="40"/>
      <c r="U115" s="40"/>
      <c r="V115" s="40"/>
      <c r="W115" s="40"/>
      <c r="X115" s="41"/>
      <c r="Y115" s="30"/>
      <c r="Z115" s="30"/>
      <c r="AA115" s="30"/>
      <c r="AB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30"/>
      <c r="I116" s="154"/>
      <c r="J116" s="17"/>
      <c r="K116" s="92"/>
      <c r="L116" s="155"/>
      <c r="M116" s="147"/>
      <c r="N116" s="19"/>
      <c r="O116" s="126"/>
      <c r="P116" s="172"/>
      <c r="Q116" s="41"/>
      <c r="R116" s="39"/>
      <c r="S116" s="40"/>
      <c r="T116" s="40"/>
      <c r="U116" s="40"/>
      <c r="V116" s="40"/>
      <c r="W116" s="40"/>
      <c r="X116" s="41"/>
      <c r="Y116" s="30"/>
      <c r="Z116" s="30"/>
      <c r="AA116" s="30"/>
      <c r="AB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30"/>
      <c r="I117" s="154"/>
      <c r="J117" s="17"/>
      <c r="K117" s="85"/>
      <c r="L117" s="155"/>
      <c r="M117" s="147"/>
      <c r="N117" s="19"/>
      <c r="O117" s="126"/>
      <c r="P117" s="172"/>
      <c r="Q117" s="41"/>
      <c r="R117" s="39"/>
      <c r="S117" s="40"/>
      <c r="T117" s="40"/>
      <c r="U117" s="40"/>
      <c r="V117" s="40"/>
      <c r="W117" s="40"/>
      <c r="X117" s="41"/>
      <c r="Y117" s="30"/>
      <c r="Z117" s="30"/>
      <c r="AA117" s="30"/>
      <c r="AB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30"/>
      <c r="I118" s="84"/>
      <c r="J118" s="17"/>
      <c r="K118" s="93"/>
      <c r="L118" s="155"/>
      <c r="M118" s="147"/>
      <c r="N118" s="19"/>
      <c r="O118" s="126"/>
      <c r="P118" s="174"/>
      <c r="Q118" s="41"/>
      <c r="R118" s="39"/>
      <c r="S118" s="40"/>
      <c r="T118" s="40"/>
      <c r="U118" s="40"/>
      <c r="V118" s="40"/>
      <c r="W118" s="40"/>
      <c r="X118" s="41"/>
      <c r="Y118" s="30"/>
      <c r="Z118" s="30"/>
      <c r="AA118" s="30"/>
      <c r="AB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30"/>
      <c r="I119" s="154"/>
      <c r="J119" s="17"/>
      <c r="K119" s="93"/>
      <c r="L119" s="155"/>
      <c r="M119" s="147"/>
      <c r="N119" s="19"/>
      <c r="O119" s="126"/>
      <c r="P119" s="174"/>
      <c r="Q119" s="41"/>
      <c r="R119" s="39"/>
      <c r="S119" s="40"/>
      <c r="T119" s="40"/>
      <c r="U119" s="40"/>
      <c r="V119" s="40"/>
      <c r="W119" s="40"/>
      <c r="X119" s="41"/>
      <c r="Y119" s="30"/>
      <c r="Z119" s="30"/>
      <c r="AA119" s="30"/>
      <c r="AB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/>
      <c r="I120" s="68"/>
      <c r="J120" s="69"/>
      <c r="K120" s="87"/>
      <c r="L120" s="71"/>
      <c r="M120" s="147"/>
      <c r="N120" s="90"/>
      <c r="O120" s="126"/>
      <c r="P120" s="75"/>
      <c r="Q120" s="41"/>
      <c r="R120" s="39"/>
      <c r="S120" s="40"/>
      <c r="T120" s="40"/>
      <c r="U120" s="40"/>
      <c r="V120" s="40"/>
      <c r="W120" s="40"/>
      <c r="X120" s="41"/>
      <c r="Y120" s="30"/>
      <c r="Z120" s="30"/>
      <c r="AA120" s="30"/>
      <c r="AB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/>
      <c r="I121" s="84"/>
      <c r="J121" s="17"/>
      <c r="K121" s="70"/>
      <c r="L121" s="88"/>
      <c r="M121" s="72"/>
      <c r="N121" s="90"/>
      <c r="O121" s="74"/>
      <c r="P121" s="75"/>
      <c r="Q121" s="41"/>
      <c r="R121" s="39"/>
      <c r="S121" s="40"/>
      <c r="T121" s="40"/>
      <c r="U121" s="40"/>
      <c r="V121" s="40"/>
      <c r="W121" s="40"/>
      <c r="X121" s="41"/>
      <c r="Y121" s="30"/>
      <c r="Z121" s="30"/>
      <c r="AA121" s="30"/>
      <c r="AB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/>
      <c r="I122" s="68"/>
      <c r="J122" s="69"/>
      <c r="K122" s="70"/>
      <c r="L122" s="88"/>
      <c r="M122" s="147"/>
      <c r="N122" s="90"/>
      <c r="O122" s="126"/>
      <c r="P122" s="75"/>
      <c r="Q122" s="41"/>
      <c r="R122" s="39"/>
      <c r="S122" s="40"/>
      <c r="T122" s="40"/>
      <c r="U122" s="40"/>
      <c r="V122" s="40"/>
      <c r="W122" s="40"/>
      <c r="X122" s="41"/>
      <c r="Y122" s="30"/>
      <c r="Z122" s="30"/>
      <c r="AA122" s="30"/>
      <c r="AB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/>
      <c r="I123" s="68"/>
      <c r="J123" s="69"/>
      <c r="K123" s="70"/>
      <c r="L123" s="71"/>
      <c r="M123" s="72"/>
      <c r="N123" s="90"/>
      <c r="O123" s="74"/>
      <c r="P123" s="75"/>
      <c r="Q123" s="41"/>
      <c r="R123" s="39"/>
      <c r="S123" s="40"/>
      <c r="T123" s="40"/>
      <c r="U123" s="40"/>
      <c r="V123" s="40"/>
      <c r="W123" s="40"/>
      <c r="X123" s="41"/>
      <c r="Y123" s="30"/>
      <c r="Z123" s="30"/>
      <c r="AA123" s="30"/>
      <c r="AB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/>
      <c r="I124" s="68"/>
      <c r="J124" s="69"/>
      <c r="K124" s="70"/>
      <c r="L124" s="88"/>
      <c r="M124" s="72"/>
      <c r="N124" s="90"/>
      <c r="O124" s="74"/>
      <c r="P124" s="75"/>
      <c r="Q124" s="41"/>
      <c r="R124" s="39"/>
      <c r="S124" s="76"/>
      <c r="T124" s="40"/>
      <c r="U124" s="40"/>
      <c r="V124" s="40"/>
      <c r="W124" s="40"/>
      <c r="X124" s="41"/>
      <c r="Y124" s="30"/>
      <c r="Z124" s="30"/>
      <c r="AA124" s="30"/>
      <c r="AB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/>
      <c r="I125" s="84"/>
      <c r="J125" s="17"/>
      <c r="K125" s="85"/>
      <c r="L125" s="86"/>
      <c r="M125" s="72"/>
      <c r="N125" s="90"/>
      <c r="O125" s="74"/>
      <c r="P125" s="75"/>
      <c r="Q125" s="41"/>
      <c r="R125" s="39"/>
      <c r="S125" s="40"/>
      <c r="T125" s="40"/>
      <c r="U125" s="40"/>
      <c r="V125" s="40"/>
      <c r="W125" s="40"/>
      <c r="X125" s="41"/>
      <c r="Y125" s="30"/>
      <c r="Z125" s="30"/>
      <c r="AA125" s="30"/>
      <c r="AB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/>
      <c r="I126" s="84"/>
      <c r="J126" s="17"/>
      <c r="K126" s="85"/>
      <c r="L126" s="86"/>
      <c r="M126" s="72"/>
      <c r="N126" s="90"/>
      <c r="O126" s="74"/>
      <c r="P126" s="75"/>
      <c r="Q126" s="41"/>
      <c r="R126" s="39"/>
      <c r="S126" s="76"/>
      <c r="T126" s="40"/>
      <c r="U126" s="40"/>
      <c r="V126" s="40"/>
      <c r="W126" s="40"/>
      <c r="X126" s="41"/>
      <c r="Y126" s="30"/>
      <c r="Z126" s="30"/>
      <c r="AA126" s="30"/>
      <c r="AB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/>
      <c r="I127" s="68"/>
      <c r="J127" s="69"/>
      <c r="K127" s="87"/>
      <c r="L127" s="88"/>
      <c r="M127" s="72"/>
      <c r="N127" s="90"/>
      <c r="O127" s="74"/>
      <c r="P127" s="94"/>
      <c r="Q127" s="41"/>
      <c r="R127" s="39"/>
      <c r="S127" s="40"/>
      <c r="T127" s="76"/>
      <c r="U127" s="40"/>
      <c r="V127" s="40"/>
      <c r="W127" s="40"/>
      <c r="X127" s="41"/>
      <c r="Y127" s="30"/>
      <c r="Z127" s="30"/>
      <c r="AA127" s="30"/>
      <c r="AB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/>
      <c r="I128" s="68"/>
      <c r="J128" s="69"/>
      <c r="K128" s="70"/>
      <c r="L128" s="71"/>
      <c r="M128" s="147"/>
      <c r="N128" s="90"/>
      <c r="O128" s="126"/>
      <c r="P128" s="94"/>
      <c r="Q128" s="41"/>
      <c r="R128" s="39"/>
      <c r="S128" s="40"/>
      <c r="T128" s="40"/>
      <c r="U128" s="40"/>
      <c r="V128" s="40"/>
      <c r="W128" s="40"/>
      <c r="X128" s="41"/>
      <c r="Y128" s="30"/>
      <c r="Z128" s="30"/>
      <c r="AA128" s="30"/>
      <c r="AB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/>
      <c r="I129" s="68"/>
      <c r="J129" s="69"/>
      <c r="K129" s="70"/>
      <c r="L129" s="71"/>
      <c r="M129" s="147"/>
      <c r="N129" s="90"/>
      <c r="O129" s="126"/>
      <c r="P129" s="75"/>
      <c r="Q129" s="41"/>
      <c r="R129" s="39"/>
      <c r="S129" s="40"/>
      <c r="T129" s="40"/>
      <c r="U129" s="40"/>
      <c r="V129" s="40"/>
      <c r="W129" s="40"/>
      <c r="X129" s="41"/>
      <c r="Y129" s="30"/>
      <c r="Z129" s="30"/>
      <c r="AA129" s="30"/>
      <c r="AB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/>
      <c r="I130" s="84"/>
      <c r="J130" s="17"/>
      <c r="K130" s="85"/>
      <c r="L130" s="86"/>
      <c r="M130" s="72"/>
      <c r="N130" s="90"/>
      <c r="O130" s="74"/>
      <c r="P130" s="75"/>
      <c r="Q130" s="41"/>
      <c r="R130" s="39"/>
      <c r="S130" s="40"/>
      <c r="T130" s="40"/>
      <c r="U130" s="40"/>
      <c r="V130" s="40"/>
      <c r="W130" s="40"/>
      <c r="X130" s="41"/>
      <c r="Y130" s="30"/>
      <c r="Z130" s="30"/>
      <c r="AA130" s="30"/>
      <c r="AB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/>
      <c r="I131" s="68"/>
      <c r="J131" s="69"/>
      <c r="K131" s="87"/>
      <c r="L131" s="71"/>
      <c r="M131" s="72"/>
      <c r="N131" s="90"/>
      <c r="O131" s="74"/>
      <c r="P131" s="75"/>
      <c r="Q131" s="41"/>
      <c r="R131" s="39"/>
      <c r="S131" s="76"/>
      <c r="T131" s="40"/>
      <c r="U131" s="40"/>
      <c r="V131" s="40"/>
      <c r="W131" s="40"/>
      <c r="X131" s="41"/>
      <c r="Y131" s="30"/>
      <c r="Z131" s="30"/>
      <c r="AA131" s="30"/>
      <c r="AB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/>
      <c r="I132" s="84"/>
      <c r="J132" s="17"/>
      <c r="K132" s="85"/>
      <c r="L132" s="86"/>
      <c r="M132" s="72"/>
      <c r="N132" s="90"/>
      <c r="O132" s="74"/>
      <c r="P132" s="75"/>
      <c r="Q132" s="41"/>
      <c r="R132" s="39"/>
      <c r="T132" s="40"/>
      <c r="U132" s="40"/>
      <c r="V132" s="40"/>
      <c r="W132" s="40"/>
      <c r="X132" s="41"/>
      <c r="Y132" s="30"/>
      <c r="Z132" s="30"/>
      <c r="AA132" s="30"/>
      <c r="AB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/>
      <c r="I133" s="68"/>
      <c r="J133" s="69"/>
      <c r="K133" s="70"/>
      <c r="L133" s="88"/>
      <c r="M133" s="72"/>
      <c r="N133" s="90"/>
      <c r="O133" s="74"/>
      <c r="P133" s="75"/>
      <c r="Q133" s="41"/>
      <c r="R133" s="39"/>
      <c r="S133" s="40"/>
      <c r="T133" s="40"/>
      <c r="U133" s="40"/>
      <c r="V133" s="40"/>
      <c r="W133" s="40"/>
      <c r="X133" s="41"/>
      <c r="Y133" s="30"/>
      <c r="Z133" s="30"/>
      <c r="AA133" s="30"/>
      <c r="AB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/>
      <c r="I134" s="68"/>
      <c r="J134" s="69"/>
      <c r="K134" s="70"/>
      <c r="L134" s="88"/>
      <c r="M134" s="72"/>
      <c r="N134" s="90"/>
      <c r="O134" s="74"/>
      <c r="P134" s="75"/>
      <c r="Q134" s="41"/>
      <c r="R134" s="39"/>
      <c r="S134" s="40"/>
      <c r="T134" s="40"/>
      <c r="U134" s="40"/>
      <c r="V134" s="40"/>
      <c r="W134" s="40"/>
      <c r="X134" s="41"/>
      <c r="Y134" s="30"/>
      <c r="Z134" s="30"/>
      <c r="AA134" s="30"/>
      <c r="AB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/>
      <c r="I135" s="68"/>
      <c r="J135" s="69"/>
      <c r="K135" s="85"/>
      <c r="L135" s="71"/>
      <c r="M135" s="72"/>
      <c r="N135" s="90"/>
      <c r="O135" s="74"/>
      <c r="P135" s="94"/>
      <c r="Q135" s="41"/>
      <c r="R135" s="39"/>
      <c r="S135" s="40"/>
      <c r="T135" s="40"/>
      <c r="U135" s="40"/>
      <c r="V135" s="40"/>
      <c r="W135" s="40"/>
      <c r="X135" s="41"/>
      <c r="Y135" s="30"/>
      <c r="Z135" s="30"/>
      <c r="AA135" s="30"/>
      <c r="AB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69"/>
      <c r="K136" s="70"/>
      <c r="L136" s="71"/>
      <c r="M136" s="72"/>
      <c r="N136" s="90"/>
      <c r="O136" s="74"/>
      <c r="P136" s="75"/>
      <c r="Q136" s="41"/>
      <c r="R136" s="39"/>
      <c r="S136" s="40"/>
      <c r="T136" s="40"/>
      <c r="U136" s="40"/>
      <c r="V136" s="40"/>
      <c r="W136" s="40"/>
      <c r="X136" s="41"/>
      <c r="Y136" s="30"/>
      <c r="Z136" s="30"/>
      <c r="AA136" s="30"/>
      <c r="AB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17"/>
      <c r="K137" s="85"/>
      <c r="L137" s="86"/>
      <c r="M137" s="72"/>
      <c r="N137" s="90"/>
      <c r="O137" s="74"/>
      <c r="P137" s="75"/>
      <c r="Q137" s="41"/>
      <c r="R137" s="39"/>
      <c r="S137" s="76"/>
      <c r="T137" s="40"/>
      <c r="U137" s="40"/>
      <c r="V137" s="40"/>
      <c r="W137" s="40"/>
      <c r="X137" s="41"/>
      <c r="Y137" s="30"/>
      <c r="Z137" s="30"/>
      <c r="AA137" s="30"/>
      <c r="AB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68"/>
      <c r="J138" s="69"/>
      <c r="K138" s="70"/>
      <c r="L138" s="71"/>
      <c r="M138" s="72"/>
      <c r="N138" s="90"/>
      <c r="O138" s="74"/>
      <c r="P138" s="94"/>
      <c r="Q138" s="41"/>
      <c r="R138" s="39"/>
      <c r="S138" s="40"/>
      <c r="T138" s="40"/>
      <c r="U138" s="40"/>
      <c r="V138" s="40"/>
      <c r="W138" s="40"/>
      <c r="X138" s="41"/>
      <c r="Y138" s="30"/>
      <c r="Z138" s="30"/>
      <c r="AA138" s="30"/>
      <c r="AB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68"/>
      <c r="J139" s="69"/>
      <c r="K139" s="70"/>
      <c r="L139" s="71"/>
      <c r="M139" s="147"/>
      <c r="N139" s="90"/>
      <c r="O139" s="126"/>
      <c r="P139" s="75"/>
      <c r="Q139" s="41"/>
      <c r="R139" s="39"/>
      <c r="S139" s="40"/>
      <c r="T139" s="40"/>
      <c r="U139" s="40"/>
      <c r="V139" s="40"/>
      <c r="W139" s="40"/>
      <c r="X139" s="41"/>
      <c r="Y139" s="30"/>
      <c r="Z139" s="30"/>
      <c r="AA139" s="30"/>
      <c r="AB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69"/>
      <c r="K140" s="70"/>
      <c r="L140" s="88"/>
      <c r="M140" s="72"/>
      <c r="N140" s="90"/>
      <c r="O140" s="74"/>
      <c r="P140" s="75"/>
      <c r="Q140" s="41"/>
      <c r="R140" s="39"/>
      <c r="S140" s="76"/>
      <c r="T140" s="40"/>
      <c r="U140" s="40"/>
      <c r="V140" s="40"/>
      <c r="W140" s="40"/>
      <c r="X140" s="41"/>
      <c r="Y140" s="30"/>
      <c r="Z140" s="30"/>
      <c r="AA140" s="30"/>
      <c r="AB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/>
      <c r="I141" s="84"/>
      <c r="J141" s="17"/>
      <c r="K141" s="85"/>
      <c r="L141" s="86"/>
      <c r="M141" s="147"/>
      <c r="N141" s="90"/>
      <c r="O141" s="126"/>
      <c r="P141" s="75"/>
      <c r="Q141" s="41"/>
      <c r="R141" s="39"/>
      <c r="S141" s="40"/>
      <c r="T141" s="40"/>
      <c r="U141" s="40"/>
      <c r="V141" s="40"/>
      <c r="W141" s="40"/>
      <c r="X141" s="41"/>
      <c r="Y141" s="30"/>
      <c r="Z141" s="30"/>
      <c r="AA141" s="30"/>
      <c r="AB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/>
      <c r="I142" s="68"/>
      <c r="J142" s="69"/>
      <c r="K142" s="85"/>
      <c r="L142" s="71"/>
      <c r="M142" s="72"/>
      <c r="N142" s="90"/>
      <c r="O142" s="74"/>
      <c r="P142" s="94"/>
      <c r="Q142" s="41"/>
      <c r="R142" s="39"/>
      <c r="S142" s="40"/>
      <c r="T142" s="40"/>
      <c r="U142" s="40"/>
      <c r="V142" s="40"/>
      <c r="W142" s="40"/>
      <c r="X142" s="41"/>
      <c r="Y142" s="30"/>
      <c r="Z142" s="30"/>
      <c r="AA142" s="30"/>
      <c r="AB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/>
      <c r="I143" s="68"/>
      <c r="J143" s="69"/>
      <c r="K143" s="85"/>
      <c r="L143" s="71"/>
      <c r="M143" s="147"/>
      <c r="N143" s="90"/>
      <c r="O143" s="126"/>
      <c r="P143" s="75"/>
      <c r="Q143" s="41"/>
      <c r="R143" s="39"/>
      <c r="S143" s="40"/>
      <c r="T143" s="40"/>
      <c r="U143" s="40"/>
      <c r="V143" s="40"/>
      <c r="W143" s="40"/>
      <c r="X143" s="41"/>
      <c r="Y143" s="30"/>
      <c r="Z143" s="30"/>
      <c r="AA143" s="30"/>
      <c r="AB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/>
      <c r="I144" s="68"/>
      <c r="J144" s="69"/>
      <c r="K144" s="85"/>
      <c r="L144" s="71"/>
      <c r="M144" s="72"/>
      <c r="N144" s="90"/>
      <c r="O144" s="74"/>
      <c r="P144" s="75"/>
      <c r="Q144" s="41"/>
      <c r="R144" s="39"/>
      <c r="S144" s="40"/>
      <c r="T144" s="40"/>
      <c r="U144" s="40"/>
      <c r="V144" s="40"/>
      <c r="W144" s="40"/>
      <c r="X144" s="41"/>
      <c r="Y144" s="30"/>
      <c r="Z144" s="30"/>
      <c r="AA144" s="30"/>
      <c r="AB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/>
      <c r="I145" s="68"/>
      <c r="J145" s="69"/>
      <c r="K145" s="87"/>
      <c r="L145" s="71"/>
      <c r="M145" s="72"/>
      <c r="N145" s="90"/>
      <c r="O145" s="74"/>
      <c r="P145" s="75"/>
      <c r="Q145" s="41"/>
      <c r="R145" s="39"/>
      <c r="S145" s="40"/>
      <c r="T145" s="40"/>
      <c r="U145" s="40"/>
      <c r="V145" s="40"/>
      <c r="W145" s="40"/>
      <c r="X145" s="41"/>
      <c r="Y145" s="30"/>
      <c r="Z145" s="30"/>
      <c r="AA145" s="30"/>
      <c r="AB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/>
      <c r="I146" s="68"/>
      <c r="J146" s="69"/>
      <c r="K146" s="87"/>
      <c r="L146" s="71"/>
      <c r="M146" s="147"/>
      <c r="N146" s="90"/>
      <c r="O146" s="126"/>
      <c r="P146" s="75"/>
      <c r="Q146" s="41"/>
      <c r="R146" s="39"/>
      <c r="S146" s="40"/>
      <c r="T146" s="40"/>
      <c r="U146" s="40"/>
      <c r="V146" s="40"/>
      <c r="W146" s="40"/>
      <c r="X146" s="41"/>
      <c r="Y146" s="30"/>
      <c r="Z146" s="30"/>
      <c r="AA146" s="30"/>
      <c r="AB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/>
      <c r="I147" s="84"/>
      <c r="J147" s="17"/>
      <c r="K147" s="85"/>
      <c r="L147" s="86"/>
      <c r="M147" s="72"/>
      <c r="N147" s="90"/>
      <c r="O147" s="74"/>
      <c r="P147" s="75"/>
      <c r="Q147" s="41"/>
      <c r="R147" s="39"/>
      <c r="S147" s="40"/>
      <c r="T147" s="40"/>
      <c r="U147" s="40"/>
      <c r="V147" s="40"/>
      <c r="W147" s="40"/>
      <c r="X147" s="41"/>
      <c r="Y147" s="30"/>
      <c r="Z147" s="30"/>
      <c r="AA147" s="30"/>
      <c r="AB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/>
      <c r="I148" s="84"/>
      <c r="J148" s="17"/>
      <c r="K148" s="85"/>
      <c r="L148" s="86"/>
      <c r="M148" s="72"/>
      <c r="N148" s="90"/>
      <c r="O148" s="74"/>
      <c r="P148" s="75"/>
      <c r="Q148" s="41"/>
      <c r="R148" s="39"/>
      <c r="S148" s="40"/>
      <c r="T148" s="40"/>
      <c r="U148" s="40"/>
      <c r="V148" s="40"/>
      <c r="W148" s="40"/>
      <c r="X148" s="41"/>
      <c r="Y148" s="30"/>
      <c r="Z148" s="30"/>
      <c r="AA148" s="30"/>
      <c r="AB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/>
      <c r="I149" s="84"/>
      <c r="J149" s="17"/>
      <c r="K149" s="85"/>
      <c r="L149" s="86"/>
      <c r="M149" s="147"/>
      <c r="N149" s="90"/>
      <c r="O149" s="126"/>
      <c r="P149" s="75"/>
      <c r="Q149" s="41"/>
      <c r="R149" s="39"/>
      <c r="S149" s="76"/>
      <c r="T149" s="40"/>
      <c r="U149" s="40"/>
      <c r="V149" s="40"/>
      <c r="W149" s="40"/>
      <c r="X149" s="41"/>
      <c r="Y149" s="30"/>
      <c r="Z149" s="30"/>
      <c r="AA149" s="30"/>
      <c r="AB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/>
      <c r="I150" s="84"/>
      <c r="J150" s="17"/>
      <c r="K150" s="85"/>
      <c r="L150" s="86"/>
      <c r="M150" s="72"/>
      <c r="N150" s="90"/>
      <c r="O150" s="74"/>
      <c r="P150" s="75"/>
      <c r="Q150" s="41"/>
      <c r="R150" s="39"/>
      <c r="S150" s="40"/>
      <c r="T150" s="40"/>
      <c r="U150" s="40"/>
      <c r="V150" s="40"/>
      <c r="W150" s="40"/>
      <c r="X150" s="41"/>
      <c r="Y150" s="30"/>
      <c r="Z150" s="30"/>
      <c r="AA150" s="30"/>
      <c r="AB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/>
      <c r="I151" s="68"/>
      <c r="J151" s="69"/>
      <c r="K151" s="70"/>
      <c r="L151" s="88"/>
      <c r="M151" s="147"/>
      <c r="N151" s="90"/>
      <c r="O151" s="126"/>
      <c r="P151" s="75"/>
      <c r="Q151" s="41"/>
      <c r="R151" s="39"/>
      <c r="S151" s="40"/>
      <c r="T151" s="40"/>
      <c r="U151" s="40"/>
      <c r="V151" s="40"/>
      <c r="W151" s="40"/>
      <c r="X151" s="41"/>
      <c r="Y151" s="30"/>
      <c r="Z151" s="30"/>
      <c r="AA151" s="30"/>
      <c r="AB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/>
      <c r="I152" s="68"/>
      <c r="J152" s="69"/>
      <c r="K152" s="87"/>
      <c r="L152" s="71"/>
      <c r="M152" s="72"/>
      <c r="N152" s="90"/>
      <c r="O152" s="74"/>
      <c r="P152" s="75"/>
      <c r="Q152" s="41"/>
      <c r="R152" s="39"/>
      <c r="S152" s="40"/>
      <c r="T152" s="40"/>
      <c r="U152" s="40"/>
      <c r="V152" s="40"/>
      <c r="W152" s="40"/>
      <c r="X152" s="41"/>
      <c r="Y152" s="30"/>
      <c r="Z152" s="30"/>
      <c r="AA152" s="30"/>
      <c r="AB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/>
      <c r="I153" s="68"/>
      <c r="J153" s="69"/>
      <c r="K153" s="85"/>
      <c r="L153" s="71"/>
      <c r="M153" s="72"/>
      <c r="N153" s="90"/>
      <c r="O153" s="74"/>
      <c r="P153" s="75"/>
      <c r="Q153" s="41"/>
      <c r="R153" s="39"/>
      <c r="S153" s="40"/>
      <c r="T153" s="40"/>
      <c r="U153" s="40"/>
      <c r="V153" s="40"/>
      <c r="W153" s="40"/>
      <c r="X153" s="41"/>
      <c r="Y153" s="30"/>
      <c r="Z153" s="30"/>
      <c r="AA153" s="30"/>
      <c r="AB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/>
      <c r="I154" s="84"/>
      <c r="J154" s="17"/>
      <c r="K154" s="85"/>
      <c r="L154" s="86"/>
      <c r="M154" s="147"/>
      <c r="N154" s="19"/>
      <c r="O154" s="209"/>
      <c r="P154" s="172"/>
      <c r="Q154" s="41"/>
      <c r="R154" s="39"/>
      <c r="S154" s="40"/>
      <c r="T154" s="40"/>
      <c r="U154" s="40"/>
      <c r="V154" s="40"/>
      <c r="W154" s="40"/>
      <c r="X154" s="41"/>
      <c r="Y154" s="30"/>
      <c r="Z154" s="30"/>
      <c r="AA154" s="30"/>
      <c r="AB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/>
      <c r="I155" s="68"/>
      <c r="J155" s="69"/>
      <c r="K155" s="85"/>
      <c r="L155" s="71"/>
      <c r="M155" s="72"/>
      <c r="N155" s="90"/>
      <c r="O155" s="74"/>
      <c r="P155" s="75"/>
      <c r="Q155" s="41"/>
      <c r="R155" s="39"/>
      <c r="S155" s="40"/>
      <c r="T155" s="40"/>
      <c r="U155" s="40"/>
      <c r="V155" s="40"/>
      <c r="W155" s="40"/>
      <c r="X155" s="41"/>
      <c r="Y155" s="30"/>
      <c r="Z155" s="30"/>
      <c r="AA155" s="30"/>
      <c r="AB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/>
      <c r="I156" s="84"/>
      <c r="J156" s="17"/>
      <c r="K156" s="85"/>
      <c r="L156" s="86"/>
      <c r="M156" s="147"/>
      <c r="N156" s="90"/>
      <c r="O156" s="209"/>
      <c r="P156" s="75"/>
      <c r="Q156" s="41"/>
      <c r="R156" s="39"/>
      <c r="S156" s="40"/>
      <c r="T156" s="40"/>
      <c r="U156" s="40"/>
      <c r="V156" s="40"/>
      <c r="W156" s="40"/>
      <c r="X156" s="41"/>
      <c r="Y156" s="30"/>
      <c r="Z156" s="30"/>
      <c r="AA156" s="30"/>
      <c r="AB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/>
      <c r="I157" s="68"/>
      <c r="J157" s="69"/>
      <c r="K157" s="87"/>
      <c r="L157" s="71"/>
      <c r="M157" s="72"/>
      <c r="N157" s="90"/>
      <c r="O157" s="74"/>
      <c r="P157" s="75"/>
      <c r="Q157" s="41"/>
      <c r="R157" s="39"/>
      <c r="S157" s="40"/>
      <c r="T157" s="40"/>
      <c r="U157" s="40"/>
      <c r="V157" s="40"/>
      <c r="W157" s="40"/>
      <c r="X157" s="41"/>
      <c r="Y157" s="30"/>
      <c r="Z157" s="30"/>
      <c r="AA157" s="30"/>
      <c r="AB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/>
      <c r="I158" s="68"/>
      <c r="J158" s="69"/>
      <c r="K158" s="87"/>
      <c r="L158" s="71"/>
      <c r="M158" s="72"/>
      <c r="N158" s="90"/>
      <c r="O158" s="74"/>
      <c r="P158" s="75"/>
      <c r="Q158" s="41"/>
      <c r="R158" s="39"/>
      <c r="S158" s="40"/>
      <c r="T158" s="40"/>
      <c r="U158" s="40"/>
      <c r="V158" s="40"/>
      <c r="W158" s="40"/>
      <c r="X158" s="41"/>
      <c r="Y158" s="30"/>
      <c r="Z158" s="30"/>
      <c r="AA158" s="30"/>
      <c r="AB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/>
      <c r="I159" s="68"/>
      <c r="J159" s="69"/>
      <c r="K159" s="85"/>
      <c r="L159" s="71"/>
      <c r="M159" s="147"/>
      <c r="N159" s="90"/>
      <c r="O159" s="126"/>
      <c r="P159" s="75"/>
      <c r="Q159" s="41"/>
      <c r="R159" s="39"/>
      <c r="S159" s="40"/>
      <c r="T159" s="40"/>
      <c r="U159" s="40"/>
      <c r="V159" s="40"/>
      <c r="W159" s="40"/>
      <c r="X159" s="41"/>
      <c r="Y159" s="30"/>
      <c r="Z159" s="30"/>
      <c r="AA159" s="30"/>
      <c r="AB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/>
      <c r="I160" s="154"/>
      <c r="J160" s="17"/>
      <c r="K160" s="93"/>
      <c r="L160" s="155"/>
      <c r="M160" s="72"/>
      <c r="N160" s="90"/>
      <c r="O160" s="128"/>
      <c r="P160" s="129"/>
      <c r="Q160" s="41"/>
      <c r="R160" s="39"/>
      <c r="S160" s="40"/>
      <c r="T160" s="40"/>
      <c r="U160" s="40"/>
      <c r="V160" s="40"/>
      <c r="W160" s="40"/>
      <c r="X160" s="41"/>
      <c r="Y160" s="30"/>
      <c r="Z160" s="30"/>
      <c r="AA160" s="30"/>
      <c r="AB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/>
      <c r="I161" s="84"/>
      <c r="J161" s="17"/>
      <c r="K161" s="93"/>
      <c r="L161" s="155"/>
      <c r="M161" s="72"/>
      <c r="N161" s="90"/>
      <c r="O161" s="239"/>
      <c r="P161" s="75"/>
      <c r="Q161" s="41"/>
      <c r="R161" s="39"/>
      <c r="S161" s="40"/>
      <c r="T161" s="40"/>
      <c r="U161" s="40"/>
      <c r="V161" s="40"/>
      <c r="W161" s="40"/>
      <c r="X161" s="41"/>
      <c r="Y161" s="30"/>
      <c r="Z161" s="30"/>
      <c r="AA161" s="30"/>
      <c r="AB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/>
      <c r="I162" s="84"/>
      <c r="J162" s="69"/>
      <c r="K162" s="87"/>
      <c r="L162" s="71"/>
      <c r="M162" s="147"/>
      <c r="N162" s="90"/>
      <c r="O162" s="126"/>
      <c r="P162" s="75"/>
      <c r="Q162" s="41"/>
      <c r="R162" s="39"/>
      <c r="S162" s="40"/>
      <c r="T162" s="40"/>
      <c r="U162" s="40"/>
      <c r="V162" s="40"/>
      <c r="W162" s="40"/>
      <c r="X162" s="41"/>
      <c r="Y162" s="30"/>
      <c r="Z162" s="30"/>
      <c r="AA162" s="30"/>
      <c r="AB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/>
      <c r="I163" s="68"/>
      <c r="J163" s="69"/>
      <c r="K163" s="87"/>
      <c r="L163" s="71"/>
      <c r="M163" s="72"/>
      <c r="N163" s="90"/>
      <c r="O163" s="74"/>
      <c r="P163" s="75"/>
      <c r="Q163" s="41"/>
      <c r="R163" s="39"/>
      <c r="S163" s="40"/>
      <c r="T163" s="40"/>
      <c r="U163" s="40"/>
      <c r="V163" s="40"/>
      <c r="W163" s="40"/>
      <c r="X163" s="41"/>
      <c r="Y163" s="30"/>
      <c r="Z163" s="30"/>
      <c r="AA163" s="30"/>
      <c r="AB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/>
      <c r="I164" s="68"/>
      <c r="J164" s="69"/>
      <c r="K164" s="87"/>
      <c r="L164" s="71"/>
      <c r="M164" s="72"/>
      <c r="N164" s="90"/>
      <c r="O164" s="74"/>
      <c r="P164" s="75"/>
      <c r="Q164" s="41"/>
      <c r="R164" s="39"/>
      <c r="S164" s="40"/>
      <c r="T164" s="40"/>
      <c r="U164" s="40"/>
      <c r="V164" s="40"/>
      <c r="W164" s="40"/>
      <c r="X164" s="41"/>
      <c r="Y164" s="30"/>
      <c r="Z164" s="30"/>
      <c r="AA164" s="30"/>
      <c r="AB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/>
      <c r="I165" s="68"/>
      <c r="J165" s="69"/>
      <c r="K165" s="87"/>
      <c r="L165" s="71"/>
      <c r="M165" s="147"/>
      <c r="N165" s="90"/>
      <c r="O165" s="126"/>
      <c r="P165" s="75"/>
      <c r="Q165" s="41"/>
      <c r="R165" s="39"/>
      <c r="S165" s="40"/>
      <c r="T165" s="40"/>
      <c r="U165" s="40"/>
      <c r="V165" s="40"/>
      <c r="W165" s="40"/>
      <c r="X165" s="41"/>
      <c r="Y165" s="30"/>
      <c r="Z165" s="30"/>
      <c r="AA165" s="30"/>
      <c r="AB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/>
      <c r="I166" s="68"/>
      <c r="J166" s="69"/>
      <c r="K166" s="87"/>
      <c r="L166" s="71"/>
      <c r="M166" s="147"/>
      <c r="N166" s="90"/>
      <c r="O166" s="126"/>
      <c r="P166" s="75"/>
      <c r="Q166" s="41"/>
      <c r="R166" s="39"/>
      <c r="S166" s="40"/>
      <c r="T166" s="40"/>
      <c r="U166" s="40"/>
      <c r="V166" s="40"/>
      <c r="W166" s="40"/>
      <c r="X166" s="41"/>
      <c r="Y166" s="30"/>
      <c r="Z166" s="30"/>
      <c r="AA166" s="30"/>
      <c r="AB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/>
      <c r="I167" s="84"/>
      <c r="J167" s="17"/>
      <c r="K167" s="85"/>
      <c r="L167" s="86"/>
      <c r="M167" s="72"/>
      <c r="N167" s="90"/>
      <c r="O167" s="74"/>
      <c r="P167" s="75"/>
      <c r="Q167" s="41"/>
      <c r="R167" s="39"/>
      <c r="S167" s="40"/>
      <c r="T167" s="40"/>
      <c r="U167" s="40"/>
      <c r="V167" s="40"/>
      <c r="W167" s="40"/>
      <c r="X167" s="41"/>
      <c r="Y167" s="30"/>
      <c r="Z167" s="30"/>
      <c r="AA167" s="30"/>
      <c r="AB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/>
      <c r="I168" s="84"/>
      <c r="J168" s="17"/>
      <c r="K168" s="85"/>
      <c r="L168" s="86"/>
      <c r="M168" s="72"/>
      <c r="N168" s="90"/>
      <c r="O168" s="74"/>
      <c r="P168" s="75"/>
      <c r="Q168" s="41"/>
      <c r="R168" s="39"/>
      <c r="S168" s="40"/>
      <c r="T168" s="40"/>
      <c r="U168" s="40"/>
      <c r="V168" s="40"/>
      <c r="W168" s="40"/>
      <c r="X168" s="41"/>
      <c r="Y168" s="30"/>
      <c r="Z168" s="30"/>
      <c r="AA168" s="30"/>
      <c r="AB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/>
      <c r="I169" s="84"/>
      <c r="J169" s="17"/>
      <c r="K169" s="85"/>
      <c r="L169" s="86"/>
      <c r="M169" s="72"/>
      <c r="N169" s="90"/>
      <c r="O169" s="74"/>
      <c r="P169" s="75"/>
      <c r="Q169" s="41"/>
      <c r="R169" s="39"/>
      <c r="S169" s="40"/>
      <c r="T169" s="40"/>
      <c r="U169" s="40"/>
      <c r="V169" s="40"/>
      <c r="W169" s="40"/>
      <c r="X169" s="41"/>
      <c r="Y169" s="30"/>
      <c r="Z169" s="30"/>
      <c r="AA169" s="30"/>
      <c r="AB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/>
      <c r="I170" s="84"/>
      <c r="J170" s="17"/>
      <c r="K170" s="85"/>
      <c r="L170" s="86"/>
      <c r="M170" s="72"/>
      <c r="N170" s="90"/>
      <c r="O170" s="74"/>
      <c r="P170" s="75"/>
      <c r="Q170" s="41"/>
      <c r="R170" s="39"/>
      <c r="S170" s="40"/>
      <c r="T170" s="40"/>
      <c r="U170" s="40"/>
      <c r="V170" s="40"/>
      <c r="W170" s="40"/>
      <c r="X170" s="41"/>
      <c r="Y170" s="30"/>
      <c r="Z170" s="30"/>
      <c r="AA170" s="30"/>
      <c r="AB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/>
      <c r="I171" s="84"/>
      <c r="J171" s="17"/>
      <c r="K171" s="85"/>
      <c r="L171" s="86"/>
      <c r="M171" s="147"/>
      <c r="N171" s="90"/>
      <c r="O171" s="126"/>
      <c r="P171" s="75"/>
      <c r="Q171" s="41"/>
      <c r="R171" s="39"/>
      <c r="S171" s="40"/>
      <c r="T171" s="40"/>
      <c r="U171" s="40"/>
      <c r="V171" s="40"/>
      <c r="W171" s="40"/>
      <c r="X171" s="41"/>
      <c r="Y171" s="30"/>
      <c r="Z171" s="30"/>
      <c r="AA171" s="30"/>
      <c r="AB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/>
      <c r="I172" s="68"/>
      <c r="J172" s="69"/>
      <c r="K172" s="87"/>
      <c r="L172" s="71"/>
      <c r="M172" s="72"/>
      <c r="N172" s="90"/>
      <c r="O172" s="74"/>
      <c r="P172" s="75"/>
      <c r="Q172" s="41"/>
      <c r="R172" s="39"/>
      <c r="S172" s="40"/>
      <c r="T172" s="40"/>
      <c r="U172" s="40"/>
      <c r="V172" s="40"/>
      <c r="W172" s="40"/>
      <c r="X172" s="41"/>
      <c r="Y172" s="30"/>
      <c r="Z172" s="30"/>
      <c r="AA172" s="30"/>
      <c r="AB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/>
      <c r="I173" s="154"/>
      <c r="J173" s="17"/>
      <c r="K173" s="87"/>
      <c r="L173" s="71"/>
      <c r="M173" s="72"/>
      <c r="N173" s="90"/>
      <c r="O173" s="74"/>
      <c r="P173" s="94"/>
      <c r="Q173" s="41"/>
      <c r="R173" s="39"/>
      <c r="S173" s="40"/>
      <c r="T173" s="40"/>
      <c r="U173" s="40"/>
      <c r="V173" s="40"/>
      <c r="W173" s="40"/>
      <c r="X173" s="41"/>
      <c r="Y173" s="30"/>
      <c r="Z173" s="30"/>
      <c r="AA173" s="30"/>
      <c r="AB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/>
      <c r="I174" s="84"/>
      <c r="J174" s="69"/>
      <c r="K174" s="87"/>
      <c r="L174" s="71"/>
      <c r="M174" s="147"/>
      <c r="N174" s="90"/>
      <c r="O174" s="126"/>
      <c r="P174" s="75"/>
      <c r="Q174" s="41"/>
      <c r="R174" s="39"/>
      <c r="S174" s="40"/>
      <c r="T174" s="40"/>
      <c r="U174" s="40"/>
      <c r="V174" s="40"/>
      <c r="W174" s="40"/>
      <c r="X174" s="41"/>
      <c r="Y174" s="30"/>
      <c r="Z174" s="30"/>
      <c r="AA174" s="30"/>
      <c r="AB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/>
      <c r="I175" s="68"/>
      <c r="J175" s="69"/>
      <c r="K175" s="85"/>
      <c r="L175" s="71"/>
      <c r="M175" s="72"/>
      <c r="N175" s="90"/>
      <c r="O175" s="74"/>
      <c r="P175" s="94"/>
      <c r="Q175" s="41"/>
      <c r="R175" s="39"/>
      <c r="S175" s="40"/>
      <c r="T175" s="40"/>
      <c r="U175" s="40"/>
      <c r="V175" s="40"/>
      <c r="W175" s="40"/>
      <c r="X175" s="41"/>
      <c r="Y175" s="30"/>
      <c r="Z175" s="30"/>
      <c r="AA175" s="30"/>
      <c r="AB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/>
      <c r="I176" s="84"/>
      <c r="J176" s="69"/>
      <c r="K176" s="70"/>
      <c r="L176" s="71"/>
      <c r="M176" s="72"/>
      <c r="N176" s="90"/>
      <c r="O176" s="74"/>
      <c r="P176" s="75"/>
      <c r="Q176" s="41"/>
      <c r="R176" s="39"/>
      <c r="S176" s="40"/>
      <c r="T176" s="40"/>
      <c r="U176" s="40"/>
      <c r="V176" s="40"/>
      <c r="W176" s="40"/>
      <c r="X176" s="41"/>
      <c r="Y176" s="30"/>
      <c r="Z176" s="30"/>
      <c r="AA176" s="30"/>
      <c r="AB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/>
      <c r="I177" s="84"/>
      <c r="J177" s="17"/>
      <c r="K177" s="85"/>
      <c r="L177" s="86"/>
      <c r="M177" s="72"/>
      <c r="N177" s="90"/>
      <c r="O177" s="74"/>
      <c r="P177" s="75"/>
      <c r="Q177" s="41"/>
      <c r="R177" s="39"/>
      <c r="S177" s="40"/>
      <c r="T177" s="40"/>
      <c r="U177" s="40"/>
      <c r="V177" s="40"/>
      <c r="W177" s="40"/>
      <c r="X177" s="41"/>
      <c r="Y177" s="30"/>
      <c r="Z177" s="30"/>
      <c r="AA177" s="30"/>
      <c r="AB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/>
      <c r="I178" s="68"/>
      <c r="J178" s="69"/>
      <c r="K178" s="87"/>
      <c r="L178" s="71"/>
      <c r="M178" s="72"/>
      <c r="N178" s="90"/>
      <c r="O178" s="74"/>
      <c r="P178" s="94"/>
      <c r="Q178" s="41"/>
      <c r="R178" s="39"/>
      <c r="S178" s="40"/>
      <c r="T178" s="40"/>
      <c r="U178" s="40"/>
      <c r="V178" s="40"/>
      <c r="W178" s="40"/>
      <c r="X178" s="41"/>
      <c r="Y178" s="30"/>
      <c r="Z178" s="30"/>
      <c r="AA178" s="30"/>
      <c r="AB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/>
      <c r="I179" s="68"/>
      <c r="J179" s="69"/>
      <c r="K179" s="87"/>
      <c r="L179" s="71"/>
      <c r="M179" s="72"/>
      <c r="N179" s="90"/>
      <c r="O179" s="74"/>
      <c r="P179" s="94"/>
      <c r="Q179" s="41"/>
      <c r="R179" s="39"/>
      <c r="S179" s="40"/>
      <c r="T179" s="40"/>
      <c r="U179" s="40"/>
      <c r="V179" s="40"/>
      <c r="W179" s="40"/>
      <c r="X179" s="41"/>
      <c r="Y179" s="30"/>
      <c r="Z179" s="30"/>
      <c r="AA179" s="30"/>
      <c r="AB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/>
      <c r="I180" s="84"/>
      <c r="J180" s="17"/>
      <c r="K180" s="85"/>
      <c r="L180" s="86"/>
      <c r="M180" s="72"/>
      <c r="N180" s="90"/>
      <c r="O180" s="74"/>
      <c r="P180" s="94"/>
      <c r="Q180" s="41"/>
      <c r="R180" s="39"/>
      <c r="S180" s="40"/>
      <c r="T180" s="40"/>
      <c r="U180" s="40"/>
      <c r="V180" s="40"/>
      <c r="W180" s="40"/>
      <c r="X180" s="41"/>
      <c r="Y180" s="30"/>
      <c r="Z180" s="30"/>
      <c r="AA180" s="30"/>
      <c r="AB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/>
      <c r="I181" s="84"/>
      <c r="J181" s="17"/>
      <c r="K181" s="85"/>
      <c r="L181" s="86"/>
      <c r="M181" s="72"/>
      <c r="N181" s="90"/>
      <c r="O181" s="74"/>
      <c r="P181" s="94"/>
      <c r="Q181" s="41"/>
      <c r="R181" s="39"/>
      <c r="S181" s="40"/>
      <c r="T181" s="40"/>
      <c r="U181" s="40"/>
      <c r="V181" s="40"/>
      <c r="W181" s="40"/>
      <c r="X181" s="41"/>
      <c r="Y181" s="30"/>
      <c r="Z181" s="30"/>
      <c r="AA181" s="30"/>
      <c r="AB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/>
      <c r="I182" s="84"/>
      <c r="J182" s="17"/>
      <c r="K182" s="85"/>
      <c r="L182" s="86"/>
      <c r="M182" s="72"/>
      <c r="N182" s="90"/>
      <c r="O182" s="74"/>
      <c r="P182" s="94"/>
      <c r="Q182" s="41"/>
      <c r="R182" s="39"/>
      <c r="S182" s="40"/>
      <c r="T182" s="40"/>
      <c r="U182" s="40"/>
      <c r="V182" s="40"/>
      <c r="W182" s="40"/>
      <c r="X182" s="41"/>
      <c r="Y182" s="30"/>
      <c r="Z182" s="30"/>
      <c r="AA182" s="30"/>
      <c r="AB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/>
      <c r="I183" s="68"/>
      <c r="J183" s="69"/>
      <c r="K183" s="87"/>
      <c r="L183" s="71"/>
      <c r="M183" s="127"/>
      <c r="N183" s="19"/>
      <c r="O183" s="128"/>
      <c r="P183" s="129"/>
      <c r="Q183" s="41"/>
      <c r="R183" s="39"/>
      <c r="S183" s="40"/>
      <c r="T183" s="40"/>
      <c r="U183" s="40"/>
      <c r="V183" s="40"/>
      <c r="W183" s="40"/>
      <c r="X183" s="41"/>
      <c r="Y183" s="30"/>
      <c r="Z183" s="30"/>
      <c r="AA183" s="30"/>
      <c r="AB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/>
      <c r="I184" s="68"/>
      <c r="J184" s="69"/>
      <c r="K184" s="87"/>
      <c r="L184" s="71"/>
      <c r="M184" s="127"/>
      <c r="N184" s="19"/>
      <c r="O184" s="128"/>
      <c r="P184" s="129"/>
      <c r="Q184" s="41"/>
      <c r="R184" s="39"/>
      <c r="S184" s="40"/>
      <c r="T184" s="40"/>
      <c r="U184" s="40"/>
      <c r="V184" s="40"/>
      <c r="W184" s="40"/>
      <c r="X184" s="41"/>
      <c r="Y184" s="30"/>
      <c r="Z184" s="30"/>
      <c r="AA184" s="30"/>
      <c r="AB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/>
      <c r="I185" s="68"/>
      <c r="J185" s="69"/>
      <c r="K185" s="87"/>
      <c r="L185" s="71"/>
      <c r="M185" s="72"/>
      <c r="N185" s="90"/>
      <c r="O185" s="74"/>
      <c r="P185" s="94"/>
      <c r="Q185" s="41"/>
      <c r="R185" s="39"/>
      <c r="S185" s="40"/>
      <c r="T185" s="40"/>
      <c r="U185" s="40"/>
      <c r="V185" s="40"/>
      <c r="W185" s="40"/>
      <c r="X185" s="41"/>
      <c r="Y185" s="30"/>
      <c r="Z185" s="30"/>
      <c r="AA185" s="30"/>
      <c r="AB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/>
      <c r="I186" s="84"/>
      <c r="J186" s="17"/>
      <c r="K186" s="85"/>
      <c r="L186" s="86"/>
      <c r="M186" s="72"/>
      <c r="N186" s="90"/>
      <c r="O186" s="74"/>
      <c r="P186" s="94"/>
      <c r="Q186" s="41"/>
      <c r="R186" s="39"/>
      <c r="S186" s="40"/>
      <c r="T186" s="40"/>
      <c r="U186" s="40"/>
      <c r="V186" s="40"/>
      <c r="W186" s="40"/>
      <c r="X186" s="41"/>
      <c r="Y186" s="30"/>
      <c r="Z186" s="30"/>
      <c r="AA186" s="30"/>
      <c r="AB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/>
      <c r="I187" s="84"/>
      <c r="J187" s="17"/>
      <c r="K187" s="85"/>
      <c r="L187" s="86"/>
      <c r="M187" s="72"/>
      <c r="N187" s="90"/>
      <c r="O187" s="74"/>
      <c r="P187" s="94"/>
      <c r="Q187" s="41"/>
      <c r="R187" s="39"/>
      <c r="S187" s="40"/>
      <c r="T187" s="40"/>
      <c r="U187" s="40"/>
      <c r="V187" s="40"/>
      <c r="W187" s="40"/>
      <c r="X187" s="41"/>
      <c r="Y187" s="30"/>
      <c r="Z187" s="30"/>
      <c r="AA187" s="30"/>
      <c r="AB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/>
      <c r="I188" s="84"/>
      <c r="J188" s="17"/>
      <c r="K188" s="85"/>
      <c r="L188" s="86"/>
      <c r="M188" s="72"/>
      <c r="N188" s="90"/>
      <c r="O188" s="74"/>
      <c r="P188" s="94"/>
      <c r="Q188" s="41"/>
      <c r="R188" s="39"/>
      <c r="S188" s="40"/>
      <c r="T188" s="40"/>
      <c r="U188" s="40"/>
      <c r="V188" s="40"/>
      <c r="W188" s="40"/>
      <c r="X188" s="41"/>
      <c r="Y188" s="30"/>
      <c r="Z188" s="30"/>
      <c r="AA188" s="30"/>
      <c r="AB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/>
      <c r="I189" s="84"/>
      <c r="J189" s="17"/>
      <c r="K189" s="85"/>
      <c r="L189" s="86"/>
      <c r="M189" s="72"/>
      <c r="N189" s="90"/>
      <c r="O189" s="74"/>
      <c r="P189" s="94"/>
      <c r="Q189" s="41"/>
      <c r="R189" s="39"/>
      <c r="S189" s="40"/>
      <c r="T189" s="40"/>
      <c r="U189" s="40"/>
      <c r="V189" s="40"/>
      <c r="W189" s="40"/>
      <c r="X189" s="41"/>
      <c r="Y189" s="30"/>
      <c r="Z189" s="30"/>
      <c r="AA189" s="30"/>
      <c r="AB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/>
      <c r="I190" s="84"/>
      <c r="J190" s="17"/>
      <c r="K190" s="85"/>
      <c r="L190" s="86"/>
      <c r="M190" s="72"/>
      <c r="N190" s="90"/>
      <c r="O190" s="74"/>
      <c r="P190" s="94"/>
      <c r="Q190" s="41"/>
      <c r="R190" s="39"/>
      <c r="S190" s="40"/>
      <c r="T190" s="40"/>
      <c r="U190" s="40"/>
      <c r="V190" s="40"/>
      <c r="W190" s="40"/>
      <c r="X190" s="41"/>
      <c r="Y190" s="30"/>
      <c r="Z190" s="30"/>
      <c r="AA190" s="30"/>
      <c r="AB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/>
      <c r="I191" s="68"/>
      <c r="J191" s="69"/>
      <c r="K191" s="87"/>
      <c r="L191" s="71"/>
      <c r="M191" s="127"/>
      <c r="N191" s="19"/>
      <c r="O191" s="128"/>
      <c r="P191" s="129"/>
      <c r="Q191" s="41"/>
      <c r="R191" s="39"/>
      <c r="S191" s="40"/>
      <c r="T191" s="40"/>
      <c r="U191" s="40"/>
      <c r="V191" s="40"/>
      <c r="W191" s="40"/>
      <c r="X191" s="41"/>
      <c r="Y191" s="30"/>
      <c r="Z191" s="30"/>
      <c r="AA191" s="30"/>
      <c r="AB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85"/>
      <c r="L192" s="86"/>
      <c r="M192" s="127"/>
      <c r="N192" s="19"/>
      <c r="O192" s="128"/>
      <c r="P192" s="129"/>
      <c r="Q192" s="41"/>
      <c r="R192" s="39"/>
      <c r="S192" s="40"/>
      <c r="T192" s="40"/>
      <c r="U192" s="40"/>
      <c r="V192" s="40"/>
      <c r="W192" s="40"/>
      <c r="X192" s="41"/>
      <c r="Y192" s="30"/>
      <c r="Z192" s="30"/>
      <c r="AA192" s="30"/>
      <c r="AB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85"/>
      <c r="L193" s="86"/>
      <c r="M193" s="127"/>
      <c r="N193" s="19"/>
      <c r="O193" s="128"/>
      <c r="P193" s="129"/>
      <c r="Q193" s="41"/>
      <c r="R193" s="39"/>
      <c r="S193" s="40"/>
      <c r="T193" s="40"/>
      <c r="U193" s="40"/>
      <c r="V193" s="40"/>
      <c r="W193" s="40"/>
      <c r="X193" s="41"/>
      <c r="Y193" s="30"/>
      <c r="Z193" s="30"/>
      <c r="AA193" s="30"/>
      <c r="AB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85"/>
      <c r="L194" s="86"/>
      <c r="M194" s="127"/>
      <c r="N194" s="19"/>
      <c r="O194" s="128"/>
      <c r="P194" s="129"/>
      <c r="Q194" s="41"/>
      <c r="R194" s="39"/>
      <c r="S194" s="40"/>
      <c r="T194" s="40"/>
      <c r="U194" s="40"/>
      <c r="V194" s="40"/>
      <c r="W194" s="40"/>
      <c r="X194" s="41"/>
      <c r="Y194" s="30"/>
      <c r="Z194" s="30"/>
      <c r="AA194" s="30"/>
      <c r="AB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85"/>
      <c r="L195" s="86"/>
      <c r="M195" s="127"/>
      <c r="N195" s="19"/>
      <c r="O195" s="128"/>
      <c r="P195" s="129"/>
      <c r="Q195" s="41"/>
      <c r="R195" s="39"/>
      <c r="S195" s="40"/>
      <c r="T195" s="40"/>
      <c r="U195" s="40"/>
      <c r="V195" s="40"/>
      <c r="W195" s="40"/>
      <c r="X195" s="41"/>
      <c r="Y195" s="30"/>
      <c r="Z195" s="30"/>
      <c r="AA195" s="30"/>
      <c r="AB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85"/>
      <c r="L196" s="86"/>
      <c r="M196" s="127"/>
      <c r="N196" s="19"/>
      <c r="O196" s="128"/>
      <c r="P196" s="129"/>
      <c r="Q196" s="41"/>
      <c r="R196" s="39"/>
      <c r="S196" s="40"/>
      <c r="T196" s="40"/>
      <c r="U196" s="40"/>
      <c r="V196" s="40"/>
      <c r="W196" s="40"/>
      <c r="X196" s="41"/>
      <c r="Y196" s="30"/>
      <c r="Z196" s="30"/>
      <c r="AA196" s="30"/>
      <c r="AB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85"/>
      <c r="L197" s="86"/>
      <c r="M197" s="127"/>
      <c r="N197" s="19"/>
      <c r="O197" s="128"/>
      <c r="P197" s="129"/>
      <c r="Q197" s="41"/>
      <c r="R197" s="39"/>
      <c r="S197" s="40"/>
      <c r="T197" s="40"/>
      <c r="U197" s="40"/>
      <c r="V197" s="40"/>
      <c r="W197" s="40"/>
      <c r="X197" s="41"/>
      <c r="Y197" s="30"/>
      <c r="Z197" s="30"/>
      <c r="AA197" s="30"/>
      <c r="AB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85"/>
      <c r="L198" s="86"/>
      <c r="M198" s="127"/>
      <c r="N198" s="19"/>
      <c r="O198" s="128"/>
      <c r="P198" s="129"/>
      <c r="Q198" s="41"/>
      <c r="R198" s="39"/>
      <c r="S198" s="40"/>
      <c r="T198" s="40"/>
      <c r="U198" s="40"/>
      <c r="V198" s="40"/>
      <c r="W198" s="40"/>
      <c r="X198" s="41"/>
      <c r="Y198" s="30"/>
      <c r="Z198" s="30"/>
      <c r="AA198" s="30"/>
      <c r="AB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85"/>
      <c r="L199" s="86"/>
      <c r="M199" s="127"/>
      <c r="N199" s="19"/>
      <c r="O199" s="128"/>
      <c r="P199" s="129"/>
      <c r="Q199" s="41"/>
      <c r="R199" s="39"/>
      <c r="S199" s="40"/>
      <c r="T199" s="40"/>
      <c r="U199" s="40"/>
      <c r="V199" s="40"/>
      <c r="W199" s="40"/>
      <c r="X199" s="41"/>
      <c r="Y199" s="30"/>
      <c r="Z199" s="30"/>
      <c r="AA199" s="30"/>
      <c r="AB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85"/>
      <c r="L200" s="86"/>
      <c r="M200" s="127"/>
      <c r="N200" s="19"/>
      <c r="O200" s="128"/>
      <c r="P200" s="129"/>
      <c r="Q200" s="41"/>
      <c r="R200" s="39"/>
      <c r="S200" s="40"/>
      <c r="T200" s="40"/>
      <c r="U200" s="40"/>
      <c r="V200" s="40"/>
      <c r="W200" s="40"/>
      <c r="X200" s="41"/>
      <c r="Y200" s="30"/>
      <c r="Z200" s="30"/>
      <c r="AA200" s="30"/>
      <c r="AB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85"/>
      <c r="L201" s="86"/>
      <c r="M201" s="127"/>
      <c r="N201" s="19"/>
      <c r="O201" s="128"/>
      <c r="P201" s="129"/>
      <c r="Q201" s="41"/>
      <c r="R201" s="39"/>
      <c r="S201" s="40"/>
      <c r="T201" s="40"/>
      <c r="U201" s="40"/>
      <c r="V201" s="40"/>
      <c r="W201" s="40"/>
      <c r="X201" s="41"/>
      <c r="Y201" s="30"/>
      <c r="Z201" s="30"/>
      <c r="AA201" s="30"/>
      <c r="AB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85"/>
      <c r="L202" s="86"/>
      <c r="M202" s="127"/>
      <c r="N202" s="19"/>
      <c r="O202" s="128"/>
      <c r="P202" s="129"/>
      <c r="Q202" s="41"/>
      <c r="R202" s="39"/>
      <c r="S202" s="40"/>
      <c r="T202" s="40"/>
      <c r="U202" s="40"/>
      <c r="V202" s="40"/>
      <c r="W202" s="40"/>
      <c r="X202" s="41"/>
      <c r="Y202" s="30"/>
      <c r="Z202" s="30"/>
      <c r="AA202" s="30"/>
      <c r="AB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85"/>
      <c r="L203" s="86"/>
      <c r="M203" s="127"/>
      <c r="N203" s="19"/>
      <c r="O203" s="128"/>
      <c r="P203" s="129"/>
      <c r="Q203" s="41"/>
      <c r="R203" s="39"/>
      <c r="S203" s="40"/>
      <c r="T203" s="40"/>
      <c r="U203" s="40"/>
      <c r="V203" s="40"/>
      <c r="W203" s="40"/>
      <c r="X203" s="41"/>
      <c r="Y203" s="30"/>
      <c r="Z203" s="30"/>
      <c r="AA203" s="30"/>
      <c r="AB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85"/>
      <c r="L204" s="86"/>
      <c r="M204" s="127"/>
      <c r="N204" s="19"/>
      <c r="O204" s="128"/>
      <c r="P204" s="129"/>
      <c r="Q204" s="41"/>
      <c r="R204" s="39"/>
      <c r="S204" s="40"/>
      <c r="T204" s="40"/>
      <c r="U204" s="40"/>
      <c r="V204" s="40"/>
      <c r="W204" s="40"/>
      <c r="X204" s="41"/>
      <c r="Y204" s="30"/>
      <c r="Z204" s="30"/>
      <c r="AA204" s="30"/>
      <c r="AB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85"/>
      <c r="L205" s="86"/>
      <c r="M205" s="127"/>
      <c r="N205" s="19"/>
      <c r="O205" s="128"/>
      <c r="P205" s="129"/>
      <c r="Q205" s="41"/>
      <c r="R205" s="39"/>
      <c r="S205" s="40"/>
      <c r="T205" s="40"/>
      <c r="U205" s="40"/>
      <c r="V205" s="40"/>
      <c r="W205" s="40"/>
      <c r="X205" s="41"/>
      <c r="Y205" s="30"/>
      <c r="Z205" s="30"/>
      <c r="AA205" s="30"/>
      <c r="AB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85"/>
      <c r="L206" s="86"/>
      <c r="M206" s="127"/>
      <c r="N206" s="19"/>
      <c r="O206" s="128"/>
      <c r="P206" s="129"/>
      <c r="Q206" s="41"/>
      <c r="R206" s="39"/>
      <c r="S206" s="40"/>
      <c r="T206" s="40"/>
      <c r="U206" s="40"/>
      <c r="V206" s="40"/>
      <c r="W206" s="40"/>
      <c r="X206" s="41"/>
      <c r="Y206" s="30"/>
      <c r="Z206" s="30"/>
      <c r="AA206" s="30"/>
      <c r="AB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85"/>
      <c r="L207" s="86"/>
      <c r="M207" s="127"/>
      <c r="N207" s="19"/>
      <c r="O207" s="128"/>
      <c r="P207" s="129"/>
      <c r="Q207" s="41"/>
      <c r="R207" s="39"/>
      <c r="S207" s="40"/>
      <c r="T207" s="40"/>
      <c r="U207" s="40"/>
      <c r="V207" s="40"/>
      <c r="W207" s="40"/>
      <c r="X207" s="41"/>
      <c r="Y207" s="30"/>
      <c r="Z207" s="30"/>
      <c r="AA207" s="30"/>
      <c r="AB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85"/>
      <c r="L208" s="86"/>
      <c r="M208" s="127"/>
      <c r="N208" s="19"/>
      <c r="O208" s="128"/>
      <c r="P208" s="129"/>
      <c r="Q208" s="41"/>
      <c r="R208" s="39"/>
      <c r="S208" s="40"/>
      <c r="T208" s="40"/>
      <c r="U208" s="40"/>
      <c r="V208" s="40"/>
      <c r="W208" s="40"/>
      <c r="X208" s="41"/>
      <c r="Y208" s="30"/>
      <c r="Z208" s="30"/>
      <c r="AA208" s="30"/>
      <c r="AB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85"/>
      <c r="L209" s="86"/>
      <c r="M209" s="127"/>
      <c r="N209" s="19"/>
      <c r="O209" s="128"/>
      <c r="P209" s="129"/>
      <c r="Q209" s="41"/>
      <c r="R209" s="39"/>
      <c r="S209" s="40"/>
      <c r="T209" s="40"/>
      <c r="U209" s="40"/>
      <c r="V209" s="40"/>
      <c r="W209" s="40"/>
      <c r="X209" s="41"/>
      <c r="Y209" s="30"/>
      <c r="Z209" s="30"/>
      <c r="AA209" s="30"/>
      <c r="AB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85"/>
      <c r="L210" s="86"/>
      <c r="M210" s="127"/>
      <c r="N210" s="19"/>
      <c r="O210" s="128"/>
      <c r="P210" s="129"/>
      <c r="Q210" s="41"/>
      <c r="R210" s="39"/>
      <c r="S210" s="40"/>
      <c r="T210" s="40"/>
      <c r="U210" s="40"/>
      <c r="V210" s="40"/>
      <c r="W210" s="40"/>
      <c r="X210" s="41"/>
      <c r="Y210" s="30"/>
      <c r="Z210" s="30"/>
      <c r="AA210" s="30"/>
      <c r="AB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85"/>
      <c r="L211" s="86"/>
      <c r="M211" s="127"/>
      <c r="N211" s="19"/>
      <c r="O211" s="128"/>
      <c r="P211" s="129"/>
      <c r="Q211" s="41"/>
      <c r="R211" s="39"/>
      <c r="S211" s="40"/>
      <c r="T211" s="40"/>
      <c r="U211" s="40"/>
      <c r="V211" s="40"/>
      <c r="W211" s="40"/>
      <c r="X211" s="41"/>
      <c r="Y211" s="30"/>
      <c r="Z211" s="30"/>
      <c r="AA211" s="30"/>
      <c r="AB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85"/>
      <c r="L212" s="86"/>
      <c r="M212" s="127"/>
      <c r="N212" s="19"/>
      <c r="O212" s="128"/>
      <c r="P212" s="129"/>
      <c r="Q212" s="41"/>
      <c r="R212" s="39"/>
      <c r="S212" s="40"/>
      <c r="T212" s="40"/>
      <c r="U212" s="40"/>
      <c r="V212" s="40"/>
      <c r="W212" s="40"/>
      <c r="X212" s="41"/>
      <c r="Y212" s="30"/>
      <c r="Z212" s="30"/>
      <c r="AA212" s="30"/>
      <c r="AB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85"/>
      <c r="L213" s="86"/>
      <c r="M213" s="127"/>
      <c r="N213" s="19"/>
      <c r="O213" s="128"/>
      <c r="P213" s="129"/>
      <c r="Q213" s="41"/>
      <c r="R213" s="39"/>
      <c r="S213" s="40"/>
      <c r="T213" s="40"/>
      <c r="U213" s="40"/>
      <c r="V213" s="40"/>
      <c r="W213" s="40"/>
      <c r="X213" s="41"/>
      <c r="Y213" s="30"/>
      <c r="Z213" s="30"/>
      <c r="AA213" s="30"/>
      <c r="AB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85"/>
      <c r="L214" s="86"/>
      <c r="M214" s="127"/>
      <c r="N214" s="19"/>
      <c r="O214" s="128"/>
      <c r="P214" s="129"/>
      <c r="Q214" s="41"/>
      <c r="R214" s="39"/>
      <c r="S214" s="40"/>
      <c r="T214" s="40"/>
      <c r="U214" s="40"/>
      <c r="V214" s="40"/>
      <c r="W214" s="40"/>
      <c r="X214" s="41"/>
      <c r="Y214" s="30"/>
      <c r="Z214" s="30"/>
      <c r="AA214" s="30"/>
      <c r="AB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85"/>
      <c r="L215" s="86"/>
      <c r="M215" s="127"/>
      <c r="N215" s="19"/>
      <c r="O215" s="128"/>
      <c r="P215" s="129"/>
      <c r="Q215" s="41"/>
      <c r="R215" s="39"/>
      <c r="S215" s="40"/>
      <c r="T215" s="40"/>
      <c r="U215" s="40"/>
      <c r="V215" s="40"/>
      <c r="W215" s="40"/>
      <c r="X215" s="41"/>
      <c r="Y215" s="30"/>
      <c r="Z215" s="30"/>
      <c r="AA215" s="30"/>
      <c r="AB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85"/>
      <c r="L216" s="86"/>
      <c r="M216" s="127"/>
      <c r="N216" s="19"/>
      <c r="O216" s="128"/>
      <c r="P216" s="129"/>
      <c r="Q216" s="41"/>
      <c r="R216" s="39"/>
      <c r="S216" s="40"/>
      <c r="T216" s="40"/>
      <c r="U216" s="40"/>
      <c r="V216" s="40"/>
      <c r="W216" s="40"/>
      <c r="X216" s="41"/>
      <c r="Y216" s="30"/>
      <c r="Z216" s="30"/>
      <c r="AA216" s="30"/>
      <c r="AB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85"/>
      <c r="L217" s="86"/>
      <c r="M217" s="127"/>
      <c r="N217" s="19"/>
      <c r="O217" s="128"/>
      <c r="P217" s="129"/>
      <c r="Q217" s="41"/>
      <c r="R217" s="39"/>
      <c r="S217" s="40"/>
      <c r="T217" s="40"/>
      <c r="U217" s="40"/>
      <c r="V217" s="40"/>
      <c r="W217" s="40"/>
      <c r="X217" s="41"/>
      <c r="Y217" s="30"/>
      <c r="Z217" s="30"/>
      <c r="AA217" s="30"/>
      <c r="AB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85"/>
      <c r="L218" s="86"/>
      <c r="M218" s="127"/>
      <c r="N218" s="19"/>
      <c r="O218" s="128"/>
      <c r="P218" s="129"/>
      <c r="Q218" s="41"/>
      <c r="R218" s="39"/>
      <c r="S218" s="40"/>
      <c r="T218" s="40"/>
      <c r="U218" s="40"/>
      <c r="V218" s="40"/>
      <c r="W218" s="40"/>
      <c r="X218" s="41"/>
      <c r="Y218" s="30"/>
      <c r="Z218" s="30"/>
      <c r="AA218" s="30"/>
      <c r="AB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85"/>
      <c r="L219" s="86"/>
      <c r="M219" s="127"/>
      <c r="N219" s="19"/>
      <c r="O219" s="128"/>
      <c r="P219" s="129"/>
      <c r="Q219" s="41"/>
      <c r="R219" s="39"/>
      <c r="S219" s="40"/>
      <c r="T219" s="40"/>
      <c r="U219" s="40"/>
      <c r="V219" s="40"/>
      <c r="W219" s="40"/>
      <c r="X219" s="41"/>
      <c r="Y219" s="30"/>
      <c r="Z219" s="30"/>
      <c r="AA219" s="30"/>
      <c r="AB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85"/>
      <c r="L220" s="86"/>
      <c r="M220" s="127"/>
      <c r="N220" s="19"/>
      <c r="O220" s="128"/>
      <c r="P220" s="129"/>
      <c r="Q220" s="41"/>
      <c r="R220" s="39"/>
      <c r="S220" s="40"/>
      <c r="T220" s="40"/>
      <c r="U220" s="40"/>
      <c r="V220" s="40"/>
      <c r="W220" s="40"/>
      <c r="X220" s="41"/>
      <c r="Y220" s="30"/>
      <c r="Z220" s="30"/>
      <c r="AA220" s="30"/>
      <c r="AB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85"/>
      <c r="L221" s="86"/>
      <c r="M221" s="127"/>
      <c r="N221" s="19"/>
      <c r="O221" s="128"/>
      <c r="P221" s="129"/>
      <c r="Q221" s="41"/>
      <c r="R221" s="39"/>
      <c r="S221" s="40"/>
      <c r="T221" s="40"/>
      <c r="U221" s="40"/>
      <c r="V221" s="40"/>
      <c r="W221" s="40"/>
      <c r="X221" s="41"/>
      <c r="Y221" s="30"/>
      <c r="Z221" s="30"/>
      <c r="AA221" s="30"/>
      <c r="AB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85"/>
      <c r="L222" s="86"/>
      <c r="M222" s="127"/>
      <c r="N222" s="19"/>
      <c r="O222" s="128"/>
      <c r="P222" s="129"/>
      <c r="Q222" s="41"/>
      <c r="R222" s="39"/>
      <c r="S222" s="40"/>
      <c r="T222" s="40"/>
      <c r="U222" s="40"/>
      <c r="V222" s="40"/>
      <c r="W222" s="40"/>
      <c r="X222" s="41"/>
      <c r="Y222" s="30"/>
      <c r="Z222" s="30"/>
      <c r="AA222" s="30"/>
      <c r="AB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85"/>
      <c r="L223" s="86"/>
      <c r="M223" s="127"/>
      <c r="N223" s="19"/>
      <c r="O223" s="128"/>
      <c r="P223" s="129"/>
      <c r="Q223" s="41"/>
      <c r="R223" s="39"/>
      <c r="S223" s="40"/>
      <c r="T223" s="40"/>
      <c r="U223" s="40"/>
      <c r="V223" s="40"/>
      <c r="W223" s="40"/>
      <c r="X223" s="41"/>
      <c r="Y223" s="30"/>
      <c r="Z223" s="30"/>
      <c r="AA223" s="30"/>
      <c r="AB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85"/>
      <c r="L224" s="86"/>
      <c r="M224" s="127"/>
      <c r="N224" s="19"/>
      <c r="O224" s="128"/>
      <c r="P224" s="129"/>
      <c r="Q224" s="41"/>
      <c r="R224" s="39"/>
      <c r="S224" s="40"/>
      <c r="T224" s="40"/>
      <c r="U224" s="40"/>
      <c r="V224" s="40"/>
      <c r="W224" s="40"/>
      <c r="X224" s="41"/>
      <c r="Y224" s="30"/>
      <c r="Z224" s="30"/>
      <c r="AA224" s="30"/>
      <c r="AB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85"/>
      <c r="L225" s="86"/>
      <c r="M225" s="127"/>
      <c r="N225" s="19"/>
      <c r="O225" s="128"/>
      <c r="P225" s="129"/>
      <c r="Q225" s="41"/>
      <c r="R225" s="39"/>
      <c r="S225" s="40"/>
      <c r="T225" s="40"/>
      <c r="U225" s="40"/>
      <c r="V225" s="40"/>
      <c r="W225" s="40"/>
      <c r="X225" s="41"/>
      <c r="Y225" s="30"/>
      <c r="Z225" s="30"/>
      <c r="AA225" s="30"/>
      <c r="AB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85"/>
      <c r="L226" s="86"/>
      <c r="M226" s="127"/>
      <c r="N226" s="19"/>
      <c r="O226" s="128"/>
      <c r="P226" s="129"/>
      <c r="Q226" s="41"/>
      <c r="R226" s="39"/>
      <c r="S226" s="40"/>
      <c r="T226" s="40"/>
      <c r="U226" s="40"/>
      <c r="V226" s="40"/>
      <c r="W226" s="40"/>
      <c r="X226" s="41"/>
      <c r="Y226" s="30"/>
      <c r="Z226" s="30"/>
      <c r="AA226" s="30"/>
      <c r="AB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85"/>
      <c r="L227" s="86"/>
      <c r="M227" s="127"/>
      <c r="N227" s="19"/>
      <c r="O227" s="128"/>
      <c r="P227" s="129"/>
      <c r="Q227" s="41"/>
      <c r="R227" s="39"/>
      <c r="S227" s="40"/>
      <c r="T227" s="40"/>
      <c r="U227" s="40"/>
      <c r="V227" s="40"/>
      <c r="W227" s="40"/>
      <c r="X227" s="41"/>
      <c r="Y227" s="30"/>
      <c r="Z227" s="30"/>
      <c r="AA227" s="30"/>
      <c r="AB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85"/>
      <c r="L228" s="86"/>
      <c r="M228" s="127"/>
      <c r="N228" s="19"/>
      <c r="O228" s="128"/>
      <c r="P228" s="129"/>
      <c r="Q228" s="41"/>
      <c r="R228" s="39"/>
      <c r="S228" s="40"/>
      <c r="T228" s="40"/>
      <c r="U228" s="40"/>
      <c r="V228" s="40"/>
      <c r="W228" s="40"/>
      <c r="X228" s="41"/>
      <c r="Y228" s="30"/>
      <c r="Z228" s="30"/>
      <c r="AA228" s="30"/>
      <c r="AB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85"/>
      <c r="L229" s="86"/>
      <c r="M229" s="127"/>
      <c r="N229" s="19"/>
      <c r="O229" s="128"/>
      <c r="P229" s="129"/>
      <c r="Q229" s="41"/>
      <c r="R229" s="39"/>
      <c r="S229" s="40"/>
      <c r="T229" s="40"/>
      <c r="U229" s="40"/>
      <c r="V229" s="40"/>
      <c r="W229" s="40"/>
      <c r="X229" s="41"/>
      <c r="Y229" s="30"/>
      <c r="Z229" s="30"/>
      <c r="AA229" s="30"/>
      <c r="AB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85"/>
      <c r="L230" s="86"/>
      <c r="M230" s="127"/>
      <c r="N230" s="19"/>
      <c r="O230" s="128"/>
      <c r="P230" s="129"/>
      <c r="Q230" s="41"/>
      <c r="R230" s="39"/>
      <c r="S230" s="40"/>
      <c r="T230" s="40"/>
      <c r="U230" s="40"/>
      <c r="V230" s="40"/>
      <c r="W230" s="40"/>
      <c r="X230" s="41"/>
      <c r="Y230" s="30"/>
      <c r="Z230" s="30"/>
      <c r="AA230" s="30"/>
      <c r="AB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85"/>
      <c r="L231" s="86"/>
      <c r="M231" s="127"/>
      <c r="N231" s="19"/>
      <c r="O231" s="128"/>
      <c r="P231" s="129"/>
      <c r="Q231" s="41"/>
      <c r="R231" s="39"/>
      <c r="S231" s="40"/>
      <c r="T231" s="40"/>
      <c r="U231" s="40"/>
      <c r="V231" s="40"/>
      <c r="W231" s="40"/>
      <c r="X231" s="41"/>
      <c r="Y231" s="30"/>
      <c r="Z231" s="30"/>
      <c r="AA231" s="30"/>
      <c r="AB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85"/>
      <c r="L232" s="86"/>
      <c r="M232" s="127"/>
      <c r="N232" s="19"/>
      <c r="O232" s="128"/>
      <c r="P232" s="129"/>
      <c r="Q232" s="41"/>
      <c r="R232" s="39"/>
      <c r="S232" s="40"/>
      <c r="T232" s="40"/>
      <c r="U232" s="40"/>
      <c r="V232" s="40"/>
      <c r="W232" s="40"/>
      <c r="X232" s="41"/>
      <c r="Y232" s="30"/>
      <c r="Z232" s="30"/>
      <c r="AA232" s="30"/>
      <c r="AB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85"/>
      <c r="L233" s="86"/>
      <c r="M233" s="127"/>
      <c r="N233" s="19"/>
      <c r="O233" s="128"/>
      <c r="P233" s="129"/>
      <c r="Q233" s="41"/>
      <c r="R233" s="39"/>
      <c r="S233" s="40"/>
      <c r="T233" s="40"/>
      <c r="U233" s="40"/>
      <c r="V233" s="40"/>
      <c r="W233" s="40"/>
      <c r="X233" s="41"/>
      <c r="Y233" s="30"/>
      <c r="Z233" s="30"/>
      <c r="AA233" s="30"/>
      <c r="AB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85"/>
      <c r="L234" s="86"/>
      <c r="M234" s="127"/>
      <c r="N234" s="19"/>
      <c r="O234" s="128"/>
      <c r="P234" s="129"/>
      <c r="Q234" s="41"/>
      <c r="R234" s="39"/>
      <c r="S234" s="40"/>
      <c r="T234" s="40"/>
      <c r="U234" s="40"/>
      <c r="V234" s="40"/>
      <c r="W234" s="40"/>
      <c r="X234" s="41"/>
      <c r="Y234" s="30"/>
      <c r="Z234" s="30"/>
      <c r="AA234" s="30"/>
      <c r="AB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85"/>
      <c r="L235" s="86"/>
      <c r="M235" s="127"/>
      <c r="N235" s="19"/>
      <c r="O235" s="128"/>
      <c r="P235" s="129"/>
      <c r="Q235" s="41"/>
      <c r="R235" s="39"/>
      <c r="S235" s="40"/>
      <c r="T235" s="40"/>
      <c r="U235" s="40"/>
      <c r="V235" s="40"/>
      <c r="W235" s="40"/>
      <c r="X235" s="41"/>
      <c r="Y235" s="30"/>
      <c r="Z235" s="30"/>
      <c r="AA235" s="30"/>
      <c r="AB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85"/>
      <c r="L236" s="86"/>
      <c r="M236" s="127"/>
      <c r="N236" s="19"/>
      <c r="O236" s="128"/>
      <c r="P236" s="129"/>
      <c r="Q236" s="41"/>
      <c r="R236" s="39"/>
      <c r="S236" s="40"/>
      <c r="T236" s="40"/>
      <c r="U236" s="40"/>
      <c r="V236" s="40"/>
      <c r="W236" s="40"/>
      <c r="X236" s="41"/>
      <c r="Y236" s="30"/>
      <c r="Z236" s="30"/>
      <c r="AA236" s="30"/>
      <c r="AB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85"/>
      <c r="L237" s="86"/>
      <c r="M237" s="127"/>
      <c r="N237" s="19"/>
      <c r="O237" s="128"/>
      <c r="P237" s="129"/>
      <c r="Q237" s="41"/>
      <c r="R237" s="39"/>
      <c r="S237" s="40"/>
      <c r="T237" s="40"/>
      <c r="U237" s="40"/>
      <c r="V237" s="40"/>
      <c r="W237" s="40"/>
      <c r="X237" s="41"/>
      <c r="Y237" s="30"/>
      <c r="Z237" s="30"/>
      <c r="AA237" s="30"/>
      <c r="AB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85"/>
      <c r="L238" s="86"/>
      <c r="M238" s="127"/>
      <c r="N238" s="19"/>
      <c r="O238" s="128"/>
      <c r="P238" s="129"/>
      <c r="Q238" s="41"/>
      <c r="R238" s="39"/>
      <c r="S238" s="40"/>
      <c r="T238" s="40"/>
      <c r="U238" s="40"/>
      <c r="V238" s="40"/>
      <c r="W238" s="40"/>
      <c r="X238" s="41"/>
      <c r="Y238" s="30"/>
      <c r="Z238" s="30"/>
      <c r="AA238" s="30"/>
      <c r="AB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85"/>
      <c r="L239" s="86"/>
      <c r="M239" s="127"/>
      <c r="N239" s="19"/>
      <c r="O239" s="128"/>
      <c r="P239" s="129"/>
      <c r="Q239" s="41"/>
      <c r="R239" s="39"/>
      <c r="S239" s="40"/>
      <c r="T239" s="40"/>
      <c r="U239" s="40"/>
      <c r="V239" s="40"/>
      <c r="W239" s="40"/>
      <c r="X239" s="41"/>
      <c r="Y239" s="30"/>
      <c r="Z239" s="30"/>
      <c r="AA239" s="30"/>
      <c r="AB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85"/>
      <c r="L240" s="86"/>
      <c r="M240" s="127"/>
      <c r="N240" s="19"/>
      <c r="O240" s="128"/>
      <c r="P240" s="129"/>
      <c r="Q240" s="41"/>
      <c r="R240" s="39"/>
      <c r="S240" s="40"/>
      <c r="T240" s="40"/>
      <c r="U240" s="40"/>
      <c r="V240" s="40"/>
      <c r="W240" s="40"/>
      <c r="X240" s="41"/>
      <c r="Y240" s="30"/>
      <c r="Z240" s="30"/>
      <c r="AA240" s="30"/>
      <c r="AB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85"/>
      <c r="L241" s="86"/>
      <c r="M241" s="127"/>
      <c r="N241" s="19"/>
      <c r="O241" s="128"/>
      <c r="P241" s="129"/>
      <c r="Q241" s="41"/>
      <c r="R241" s="39"/>
      <c r="S241" s="40"/>
      <c r="T241" s="40"/>
      <c r="U241" s="40"/>
      <c r="V241" s="40"/>
      <c r="W241" s="40"/>
      <c r="X241" s="41"/>
      <c r="Y241" s="30"/>
      <c r="Z241" s="30"/>
      <c r="AA241" s="30"/>
      <c r="AB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85"/>
      <c r="L242" s="86"/>
      <c r="M242" s="127"/>
      <c r="N242" s="19"/>
      <c r="O242" s="128"/>
      <c r="P242" s="129"/>
      <c r="Q242" s="41"/>
      <c r="R242" s="39"/>
      <c r="S242" s="40"/>
      <c r="T242" s="40"/>
      <c r="U242" s="40"/>
      <c r="V242" s="40"/>
      <c r="W242" s="40"/>
      <c r="X242" s="41"/>
      <c r="Y242" s="30"/>
      <c r="Z242" s="30"/>
      <c r="AA242" s="30"/>
      <c r="AB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85"/>
      <c r="L243" s="86"/>
      <c r="M243" s="127"/>
      <c r="N243" s="19"/>
      <c r="O243" s="128"/>
      <c r="P243" s="129"/>
      <c r="Q243" s="41"/>
      <c r="R243" s="39"/>
      <c r="S243" s="40"/>
      <c r="T243" s="40"/>
      <c r="U243" s="40"/>
      <c r="V243" s="40"/>
      <c r="W243" s="40"/>
      <c r="X243" s="41"/>
      <c r="Y243" s="30"/>
      <c r="Z243" s="30"/>
      <c r="AA243" s="30"/>
      <c r="AB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85"/>
      <c r="L244" s="86"/>
      <c r="M244" s="127"/>
      <c r="N244" s="19"/>
      <c r="O244" s="128"/>
      <c r="P244" s="129"/>
      <c r="Q244" s="41"/>
      <c r="R244" s="39"/>
      <c r="S244" s="40"/>
      <c r="T244" s="40"/>
      <c r="U244" s="40"/>
      <c r="V244" s="40"/>
      <c r="W244" s="40"/>
      <c r="X244" s="41"/>
      <c r="Y244" s="30"/>
      <c r="Z244" s="30"/>
      <c r="AA244" s="30"/>
      <c r="AB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85"/>
      <c r="L245" s="86"/>
      <c r="M245" s="127"/>
      <c r="N245" s="19"/>
      <c r="O245" s="128"/>
      <c r="P245" s="129"/>
      <c r="Q245" s="41"/>
      <c r="R245" s="39"/>
      <c r="S245" s="40"/>
      <c r="T245" s="40"/>
      <c r="U245" s="40"/>
      <c r="V245" s="40"/>
      <c r="W245" s="40"/>
      <c r="X245" s="41"/>
      <c r="Y245" s="30"/>
      <c r="Z245" s="30"/>
      <c r="AA245" s="30"/>
      <c r="AB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85"/>
      <c r="L246" s="86"/>
      <c r="M246" s="127"/>
      <c r="N246" s="19"/>
      <c r="O246" s="128"/>
      <c r="P246" s="129"/>
      <c r="Q246" s="41"/>
      <c r="R246" s="39"/>
      <c r="S246" s="40"/>
      <c r="T246" s="40"/>
      <c r="U246" s="40"/>
      <c r="V246" s="40"/>
      <c r="W246" s="40"/>
      <c r="X246" s="41"/>
      <c r="Y246" s="30"/>
      <c r="Z246" s="30"/>
      <c r="AA246" s="30"/>
      <c r="AB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85"/>
      <c r="L247" s="86"/>
      <c r="M247" s="127"/>
      <c r="N247" s="19"/>
      <c r="O247" s="128"/>
      <c r="P247" s="129"/>
      <c r="Q247" s="41"/>
      <c r="R247" s="39"/>
      <c r="S247" s="40"/>
      <c r="T247" s="40"/>
      <c r="U247" s="40"/>
      <c r="V247" s="40"/>
      <c r="W247" s="40"/>
      <c r="X247" s="41"/>
      <c r="Y247" s="30"/>
      <c r="Z247" s="30"/>
      <c r="AA247" s="30"/>
      <c r="AB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85"/>
      <c r="L248" s="86"/>
      <c r="M248" s="127"/>
      <c r="N248" s="19"/>
      <c r="O248" s="128"/>
      <c r="P248" s="129"/>
      <c r="Q248" s="41"/>
      <c r="R248" s="39"/>
      <c r="S248" s="40"/>
      <c r="T248" s="40"/>
      <c r="U248" s="40"/>
      <c r="V248" s="40"/>
      <c r="W248" s="40"/>
      <c r="X248" s="41"/>
      <c r="Y248" s="30"/>
      <c r="Z248" s="30"/>
      <c r="AA248" s="30"/>
      <c r="AB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85"/>
      <c r="L249" s="86"/>
      <c r="M249" s="127"/>
      <c r="N249" s="19"/>
      <c r="O249" s="128"/>
      <c r="P249" s="129"/>
      <c r="Q249" s="41"/>
      <c r="R249" s="39"/>
      <c r="S249" s="40"/>
      <c r="T249" s="40"/>
      <c r="U249" s="40"/>
      <c r="V249" s="40"/>
      <c r="W249" s="40"/>
      <c r="X249" s="41"/>
      <c r="Y249" s="30"/>
      <c r="Z249" s="30"/>
      <c r="AA249" s="30"/>
      <c r="AB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85"/>
      <c r="L250" s="86"/>
      <c r="M250" s="127"/>
      <c r="N250" s="19"/>
      <c r="O250" s="128"/>
      <c r="P250" s="129"/>
      <c r="Q250" s="41"/>
      <c r="R250" s="39"/>
      <c r="S250" s="40"/>
      <c r="T250" s="40"/>
      <c r="U250" s="40"/>
      <c r="V250" s="40"/>
      <c r="W250" s="40"/>
      <c r="X250" s="41"/>
      <c r="Y250" s="30"/>
      <c r="Z250" s="30"/>
      <c r="AA250" s="30"/>
      <c r="AB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85"/>
      <c r="L251" s="86"/>
      <c r="M251" s="127"/>
      <c r="N251" s="19"/>
      <c r="O251" s="128"/>
      <c r="P251" s="129"/>
      <c r="Q251" s="41"/>
      <c r="R251" s="39"/>
      <c r="S251" s="40"/>
      <c r="T251" s="40"/>
      <c r="U251" s="40"/>
      <c r="V251" s="40"/>
      <c r="W251" s="40"/>
      <c r="X251" s="41"/>
      <c r="Y251" s="30"/>
      <c r="Z251" s="30"/>
      <c r="AA251" s="30"/>
      <c r="AB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85"/>
      <c r="L252" s="86"/>
      <c r="M252" s="127"/>
      <c r="N252" s="19"/>
      <c r="O252" s="128"/>
      <c r="P252" s="129"/>
      <c r="Q252" s="41"/>
      <c r="R252" s="39"/>
      <c r="S252" s="40"/>
      <c r="T252" s="40"/>
      <c r="U252" s="40"/>
      <c r="V252" s="40"/>
      <c r="W252" s="40"/>
      <c r="X252" s="41"/>
      <c r="Y252" s="30"/>
      <c r="Z252" s="30"/>
      <c r="AA252" s="30"/>
      <c r="AB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85"/>
      <c r="L253" s="86"/>
      <c r="M253" s="127"/>
      <c r="N253" s="19"/>
      <c r="O253" s="128"/>
      <c r="P253" s="129"/>
      <c r="Q253" s="41"/>
      <c r="R253" s="39"/>
      <c r="S253" s="40"/>
      <c r="T253" s="40"/>
      <c r="U253" s="40"/>
      <c r="V253" s="40"/>
      <c r="W253" s="40"/>
      <c r="X253" s="41"/>
      <c r="Y253" s="30"/>
      <c r="Z253" s="30"/>
      <c r="AA253" s="30"/>
      <c r="AB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85"/>
      <c r="L254" s="86"/>
      <c r="M254" s="127"/>
      <c r="N254" s="19"/>
      <c r="O254" s="128"/>
      <c r="P254" s="129"/>
      <c r="Q254" s="41"/>
      <c r="R254" s="39"/>
      <c r="S254" s="40"/>
      <c r="T254" s="40"/>
      <c r="U254" s="40"/>
      <c r="V254" s="40"/>
      <c r="W254" s="40"/>
      <c r="X254" s="41"/>
      <c r="Y254" s="30"/>
      <c r="Z254" s="30"/>
      <c r="AA254" s="30"/>
      <c r="AB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85"/>
      <c r="L255" s="86"/>
      <c r="M255" s="127"/>
      <c r="N255" s="19"/>
      <c r="O255" s="128"/>
      <c r="P255" s="129"/>
      <c r="Q255" s="41"/>
      <c r="R255" s="39"/>
      <c r="S255" s="40"/>
      <c r="T255" s="40"/>
      <c r="U255" s="40"/>
      <c r="V255" s="40"/>
      <c r="W255" s="40"/>
      <c r="X255" s="41"/>
      <c r="Y255" s="30"/>
      <c r="Z255" s="30"/>
      <c r="AA255" s="30"/>
      <c r="AB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85"/>
      <c r="L256" s="86"/>
      <c r="M256" s="127"/>
      <c r="N256" s="19"/>
      <c r="O256" s="128"/>
      <c r="P256" s="129"/>
      <c r="Q256" s="41"/>
      <c r="R256" s="39"/>
      <c r="S256" s="40"/>
      <c r="T256" s="40"/>
      <c r="U256" s="40"/>
      <c r="V256" s="40"/>
      <c r="W256" s="40"/>
      <c r="X256" s="41"/>
      <c r="Y256" s="30"/>
      <c r="Z256" s="30"/>
      <c r="AA256" s="30"/>
      <c r="AB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85"/>
      <c r="L257" s="86"/>
      <c r="M257" s="127"/>
      <c r="N257" s="19"/>
      <c r="O257" s="128"/>
      <c r="P257" s="129"/>
      <c r="Q257" s="41"/>
      <c r="R257" s="39"/>
      <c r="S257" s="40"/>
      <c r="T257" s="40"/>
      <c r="U257" s="40"/>
      <c r="V257" s="40"/>
      <c r="W257" s="40"/>
      <c r="X257" s="41"/>
      <c r="Y257" s="30"/>
      <c r="Z257" s="30"/>
      <c r="AA257" s="30"/>
      <c r="AB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85"/>
      <c r="L258" s="86"/>
      <c r="M258" s="127"/>
      <c r="N258" s="19"/>
      <c r="O258" s="128"/>
      <c r="P258" s="129"/>
      <c r="Q258" s="41"/>
      <c r="R258" s="39"/>
      <c r="S258" s="40"/>
      <c r="T258" s="40"/>
      <c r="U258" s="40"/>
      <c r="V258" s="40"/>
      <c r="W258" s="40"/>
      <c r="X258" s="41"/>
      <c r="Y258" s="30"/>
      <c r="Z258" s="30"/>
      <c r="AA258" s="30"/>
      <c r="AB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85"/>
      <c r="L259" s="86"/>
      <c r="M259" s="127"/>
      <c r="N259" s="19"/>
      <c r="O259" s="128"/>
      <c r="P259" s="129"/>
      <c r="Q259" s="41"/>
      <c r="R259" s="39"/>
      <c r="S259" s="40"/>
      <c r="T259" s="40"/>
      <c r="U259" s="40"/>
      <c r="V259" s="40"/>
      <c r="W259" s="40"/>
      <c r="X259" s="41"/>
      <c r="Y259" s="30"/>
      <c r="Z259" s="30"/>
      <c r="AA259" s="30"/>
      <c r="AB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85"/>
      <c r="L260" s="86"/>
      <c r="M260" s="127"/>
      <c r="N260" s="19"/>
      <c r="O260" s="128"/>
      <c r="P260" s="129"/>
      <c r="Q260" s="41"/>
      <c r="R260" s="39"/>
      <c r="S260" s="40"/>
      <c r="T260" s="40"/>
      <c r="U260" s="40"/>
      <c r="V260" s="40"/>
      <c r="W260" s="40"/>
      <c r="X260" s="41"/>
      <c r="Y260" s="30"/>
      <c r="Z260" s="30"/>
      <c r="AA260" s="30"/>
      <c r="AB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85"/>
      <c r="L261" s="86"/>
      <c r="M261" s="127"/>
      <c r="N261" s="19"/>
      <c r="O261" s="128"/>
      <c r="P261" s="129"/>
      <c r="Q261" s="41"/>
      <c r="R261" s="39"/>
      <c r="S261" s="40"/>
      <c r="T261" s="40"/>
      <c r="U261" s="40"/>
      <c r="V261" s="40"/>
      <c r="W261" s="40"/>
      <c r="X261" s="41"/>
      <c r="Y261" s="30"/>
      <c r="Z261" s="30"/>
      <c r="AA261" s="30"/>
      <c r="AB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85"/>
      <c r="L262" s="86"/>
      <c r="M262" s="127"/>
      <c r="N262" s="19"/>
      <c r="O262" s="128"/>
      <c r="P262" s="129"/>
      <c r="Q262" s="41"/>
      <c r="R262" s="39"/>
      <c r="S262" s="40"/>
      <c r="T262" s="40"/>
      <c r="U262" s="40"/>
      <c r="V262" s="40"/>
      <c r="W262" s="40"/>
      <c r="X262" s="41"/>
      <c r="Y262" s="30"/>
      <c r="Z262" s="30"/>
      <c r="AA262" s="30"/>
      <c r="AB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85"/>
      <c r="L263" s="86"/>
      <c r="M263" s="127"/>
      <c r="N263" s="19"/>
      <c r="O263" s="128"/>
      <c r="P263" s="129"/>
      <c r="Q263" s="41"/>
      <c r="R263" s="39"/>
      <c r="S263" s="40"/>
      <c r="T263" s="40"/>
      <c r="U263" s="40"/>
      <c r="V263" s="40"/>
      <c r="W263" s="40"/>
      <c r="X263" s="41"/>
      <c r="Y263" s="30"/>
      <c r="Z263" s="30"/>
      <c r="AA263" s="30"/>
      <c r="AB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85"/>
      <c r="L264" s="86"/>
      <c r="M264" s="127"/>
      <c r="N264" s="19"/>
      <c r="O264" s="128"/>
      <c r="P264" s="129"/>
      <c r="Q264" s="41"/>
      <c r="R264" s="39"/>
      <c r="S264" s="40"/>
      <c r="T264" s="40"/>
      <c r="U264" s="40"/>
      <c r="V264" s="40"/>
      <c r="W264" s="40"/>
      <c r="X264" s="41"/>
      <c r="Y264" s="30"/>
      <c r="Z264" s="30"/>
      <c r="AA264" s="30"/>
      <c r="AB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85"/>
      <c r="L265" s="86"/>
      <c r="M265" s="127"/>
      <c r="N265" s="19"/>
      <c r="O265" s="128"/>
      <c r="P265" s="129"/>
      <c r="Q265" s="41"/>
      <c r="R265" s="39"/>
      <c r="S265" s="40"/>
      <c r="T265" s="40"/>
      <c r="U265" s="40"/>
      <c r="V265" s="40"/>
      <c r="W265" s="40"/>
      <c r="X265" s="41"/>
      <c r="Y265" s="30"/>
      <c r="Z265" s="30"/>
      <c r="AA265" s="30"/>
      <c r="AB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85"/>
      <c r="L266" s="86"/>
      <c r="M266" s="127"/>
      <c r="N266" s="19"/>
      <c r="O266" s="128"/>
      <c r="P266" s="129"/>
      <c r="Q266" s="41"/>
      <c r="R266" s="39"/>
      <c r="S266" s="40"/>
      <c r="T266" s="40"/>
      <c r="U266" s="40"/>
      <c r="V266" s="40"/>
      <c r="W266" s="40"/>
      <c r="X266" s="41"/>
      <c r="Y266" s="30"/>
      <c r="Z266" s="30"/>
      <c r="AA266" s="30"/>
      <c r="AB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85"/>
      <c r="L267" s="86"/>
      <c r="M267" s="127"/>
      <c r="N267" s="19"/>
      <c r="O267" s="128"/>
      <c r="P267" s="129"/>
      <c r="Q267" s="41"/>
      <c r="R267" s="39"/>
      <c r="S267" s="40"/>
      <c r="T267" s="40"/>
      <c r="U267" s="40"/>
      <c r="V267" s="40"/>
      <c r="W267" s="40"/>
      <c r="X267" s="41"/>
      <c r="Y267" s="30"/>
      <c r="Z267" s="30"/>
      <c r="AA267" s="30"/>
      <c r="AB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85"/>
      <c r="L268" s="86"/>
      <c r="M268" s="127"/>
      <c r="N268" s="19"/>
      <c r="O268" s="128"/>
      <c r="P268" s="129"/>
      <c r="Q268" s="41"/>
      <c r="R268" s="39"/>
      <c r="S268" s="40"/>
      <c r="T268" s="40"/>
      <c r="U268" s="40"/>
      <c r="V268" s="40"/>
      <c r="W268" s="40"/>
      <c r="X268" s="41"/>
      <c r="Y268" s="30"/>
      <c r="Z268" s="30"/>
      <c r="AA268" s="30"/>
      <c r="AB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85"/>
      <c r="L269" s="86"/>
      <c r="M269" s="127"/>
      <c r="N269" s="19"/>
      <c r="O269" s="128"/>
      <c r="P269" s="129"/>
      <c r="Q269" s="41"/>
      <c r="R269" s="39"/>
      <c r="S269" s="40"/>
      <c r="T269" s="40"/>
      <c r="U269" s="40"/>
      <c r="V269" s="40"/>
      <c r="W269" s="40"/>
      <c r="X269" s="41"/>
      <c r="Y269" s="30"/>
      <c r="Z269" s="30"/>
      <c r="AA269" s="30"/>
      <c r="AB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85"/>
      <c r="L270" s="86"/>
      <c r="M270" s="127"/>
      <c r="N270" s="19"/>
      <c r="O270" s="128"/>
      <c r="P270" s="129"/>
      <c r="Q270" s="41"/>
      <c r="R270" s="39"/>
      <c r="S270" s="40"/>
      <c r="T270" s="40"/>
      <c r="U270" s="40"/>
      <c r="V270" s="40"/>
      <c r="W270" s="40"/>
      <c r="X270" s="41"/>
      <c r="Y270" s="30"/>
      <c r="Z270" s="30"/>
      <c r="AA270" s="30"/>
      <c r="AB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85"/>
      <c r="L271" s="86"/>
      <c r="M271" s="127"/>
      <c r="N271" s="19"/>
      <c r="O271" s="128"/>
      <c r="P271" s="129"/>
      <c r="Q271" s="41"/>
      <c r="R271" s="39"/>
      <c r="S271" s="40"/>
      <c r="T271" s="40"/>
      <c r="U271" s="40"/>
      <c r="V271" s="40"/>
      <c r="W271" s="40"/>
      <c r="X271" s="41"/>
      <c r="Y271" s="30"/>
      <c r="Z271" s="30"/>
      <c r="AA271" s="30"/>
      <c r="AB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85"/>
      <c r="L272" s="86"/>
      <c r="M272" s="127"/>
      <c r="N272" s="19"/>
      <c r="O272" s="128"/>
      <c r="P272" s="129"/>
      <c r="Q272" s="41"/>
      <c r="R272" s="39"/>
      <c r="S272" s="40"/>
      <c r="T272" s="40"/>
      <c r="U272" s="40"/>
      <c r="V272" s="40"/>
      <c r="W272" s="40"/>
      <c r="X272" s="41"/>
      <c r="Y272" s="30"/>
      <c r="Z272" s="30"/>
      <c r="AA272" s="30"/>
      <c r="AB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85"/>
      <c r="L273" s="86"/>
      <c r="M273" s="127"/>
      <c r="N273" s="19"/>
      <c r="O273" s="128"/>
      <c r="P273" s="129"/>
      <c r="Q273" s="41"/>
      <c r="R273" s="39"/>
      <c r="S273" s="40"/>
      <c r="T273" s="40"/>
      <c r="U273" s="40"/>
      <c r="V273" s="40"/>
      <c r="W273" s="40"/>
      <c r="X273" s="41"/>
      <c r="Y273" s="30"/>
      <c r="Z273" s="30"/>
      <c r="AA273" s="30"/>
      <c r="AB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85"/>
      <c r="L274" s="86"/>
      <c r="M274" s="127"/>
      <c r="N274" s="19"/>
      <c r="O274" s="128"/>
      <c r="P274" s="129"/>
      <c r="Q274" s="41"/>
      <c r="R274" s="39"/>
      <c r="S274" s="40"/>
      <c r="T274" s="40"/>
      <c r="U274" s="40"/>
      <c r="V274" s="40"/>
      <c r="W274" s="40"/>
      <c r="X274" s="41"/>
      <c r="Y274" s="30"/>
      <c r="Z274" s="30"/>
      <c r="AA274" s="30"/>
      <c r="AB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85"/>
      <c r="L275" s="86"/>
      <c r="M275" s="127"/>
      <c r="N275" s="19"/>
      <c r="O275" s="128"/>
      <c r="P275" s="129"/>
      <c r="Q275" s="41"/>
      <c r="R275" s="39"/>
      <c r="S275" s="40"/>
      <c r="T275" s="40"/>
      <c r="U275" s="40"/>
      <c r="V275" s="40"/>
      <c r="W275" s="40"/>
      <c r="X275" s="41"/>
      <c r="Y275" s="30"/>
      <c r="Z275" s="30"/>
      <c r="AA275" s="30"/>
      <c r="AB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85"/>
      <c r="L276" s="86"/>
      <c r="M276" s="127"/>
      <c r="N276" s="19"/>
      <c r="O276" s="128"/>
      <c r="P276" s="129"/>
      <c r="Q276" s="41"/>
      <c r="R276" s="39"/>
      <c r="S276" s="40"/>
      <c r="T276" s="40"/>
      <c r="U276" s="40"/>
      <c r="V276" s="40"/>
      <c r="W276" s="40"/>
      <c r="X276" s="41"/>
      <c r="Y276" s="30"/>
      <c r="Z276" s="30"/>
      <c r="AA276" s="30"/>
      <c r="AB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85"/>
      <c r="L277" s="86"/>
      <c r="M277" s="127"/>
      <c r="N277" s="19"/>
      <c r="O277" s="128"/>
      <c r="P277" s="129"/>
      <c r="Q277" s="41"/>
      <c r="R277" s="39"/>
      <c r="S277" s="40"/>
      <c r="T277" s="40"/>
      <c r="U277" s="40"/>
      <c r="V277" s="40"/>
      <c r="W277" s="40"/>
      <c r="X277" s="41"/>
      <c r="Y277" s="30"/>
      <c r="Z277" s="30"/>
      <c r="AA277" s="30"/>
      <c r="AB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85"/>
      <c r="L278" s="86"/>
      <c r="M278" s="127"/>
      <c r="N278" s="19"/>
      <c r="O278" s="128"/>
      <c r="P278" s="129"/>
      <c r="Q278" s="41"/>
      <c r="R278" s="39"/>
      <c r="S278" s="40"/>
      <c r="T278" s="40"/>
      <c r="U278" s="40"/>
      <c r="V278" s="40"/>
      <c r="W278" s="40"/>
      <c r="X278" s="41"/>
      <c r="Y278" s="30"/>
      <c r="Z278" s="30"/>
      <c r="AA278" s="30"/>
      <c r="AB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85"/>
      <c r="L279" s="86"/>
      <c r="M279" s="127"/>
      <c r="N279" s="19"/>
      <c r="O279" s="128"/>
      <c r="P279" s="129"/>
      <c r="Q279" s="41"/>
      <c r="R279" s="39"/>
      <c r="S279" s="40"/>
      <c r="T279" s="40"/>
      <c r="U279" s="40"/>
      <c r="V279" s="40"/>
      <c r="W279" s="40"/>
      <c r="X279" s="41"/>
      <c r="Y279" s="30"/>
      <c r="Z279" s="30"/>
      <c r="AA279" s="30"/>
      <c r="AB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85"/>
      <c r="L280" s="86"/>
      <c r="M280" s="127"/>
      <c r="N280" s="19"/>
      <c r="O280" s="128"/>
      <c r="P280" s="129"/>
      <c r="Q280" s="41"/>
      <c r="R280" s="39"/>
      <c r="S280" s="40"/>
      <c r="T280" s="40"/>
      <c r="U280" s="40"/>
      <c r="V280" s="40"/>
      <c r="W280" s="40"/>
      <c r="X280" s="41"/>
      <c r="Y280" s="30"/>
      <c r="Z280" s="30"/>
      <c r="AA280" s="30"/>
      <c r="AB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85"/>
      <c r="L281" s="86"/>
      <c r="M281" s="127"/>
      <c r="N281" s="19"/>
      <c r="O281" s="128"/>
      <c r="P281" s="129"/>
      <c r="Q281" s="41"/>
      <c r="R281" s="39"/>
      <c r="S281" s="40"/>
      <c r="T281" s="40"/>
      <c r="U281" s="40"/>
      <c r="V281" s="40"/>
      <c r="W281" s="40"/>
      <c r="X281" s="41"/>
      <c r="Y281" s="30"/>
      <c r="Z281" s="30"/>
      <c r="AA281" s="30"/>
      <c r="AB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85"/>
      <c r="L282" s="86"/>
      <c r="M282" s="127"/>
      <c r="N282" s="19"/>
      <c r="O282" s="128"/>
      <c r="P282" s="129"/>
      <c r="Q282" s="41"/>
      <c r="R282" s="39"/>
      <c r="S282" s="40"/>
      <c r="T282" s="40"/>
      <c r="U282" s="40"/>
      <c r="V282" s="40"/>
      <c r="W282" s="40"/>
      <c r="X282" s="41"/>
      <c r="Y282" s="30"/>
      <c r="Z282" s="30"/>
      <c r="AA282" s="30"/>
      <c r="AB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85"/>
      <c r="L283" s="86"/>
      <c r="M283" s="127"/>
      <c r="N283" s="19"/>
      <c r="O283" s="128"/>
      <c r="P283" s="129"/>
      <c r="Q283" s="41"/>
      <c r="R283" s="39"/>
      <c r="S283" s="40"/>
      <c r="T283" s="40"/>
      <c r="U283" s="40"/>
      <c r="V283" s="40"/>
      <c r="W283" s="40"/>
      <c r="X283" s="41"/>
      <c r="Y283" s="30"/>
      <c r="Z283" s="30"/>
      <c r="AA283" s="30"/>
      <c r="AB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85"/>
      <c r="L284" s="86"/>
      <c r="M284" s="127"/>
      <c r="N284" s="19"/>
      <c r="O284" s="128"/>
      <c r="P284" s="129"/>
      <c r="Q284" s="41"/>
      <c r="R284" s="39"/>
      <c r="S284" s="40"/>
      <c r="T284" s="40"/>
      <c r="U284" s="40"/>
      <c r="V284" s="40"/>
      <c r="W284" s="40"/>
      <c r="X284" s="41"/>
      <c r="Y284" s="30"/>
      <c r="Z284" s="30"/>
      <c r="AA284" s="30"/>
      <c r="AB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85"/>
      <c r="L285" s="86"/>
      <c r="M285" s="127"/>
      <c r="N285" s="19"/>
      <c r="O285" s="128"/>
      <c r="P285" s="129"/>
      <c r="Q285" s="41"/>
      <c r="R285" s="39"/>
      <c r="S285" s="40"/>
      <c r="T285" s="40"/>
      <c r="U285" s="40"/>
      <c r="V285" s="40"/>
      <c r="W285" s="40"/>
      <c r="X285" s="41"/>
      <c r="Y285" s="30"/>
      <c r="Z285" s="30"/>
      <c r="AA285" s="30"/>
      <c r="AB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85"/>
      <c r="L286" s="86"/>
      <c r="M286" s="127"/>
      <c r="N286" s="19"/>
      <c r="O286" s="128"/>
      <c r="P286" s="129"/>
      <c r="Q286" s="41"/>
      <c r="R286" s="39"/>
      <c r="S286" s="40"/>
      <c r="T286" s="40"/>
      <c r="U286" s="40"/>
      <c r="V286" s="40"/>
      <c r="W286" s="40"/>
      <c r="X286" s="41"/>
      <c r="Y286" s="30"/>
      <c r="Z286" s="30"/>
      <c r="AA286" s="30"/>
      <c r="AB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85"/>
      <c r="L287" s="86"/>
      <c r="M287" s="127"/>
      <c r="N287" s="19"/>
      <c r="O287" s="128"/>
      <c r="P287" s="129"/>
      <c r="Q287" s="41"/>
      <c r="R287" s="39"/>
      <c r="S287" s="40"/>
      <c r="T287" s="40"/>
      <c r="U287" s="40"/>
      <c r="V287" s="40"/>
      <c r="W287" s="40"/>
      <c r="X287" s="41"/>
      <c r="Y287" s="30"/>
      <c r="Z287" s="30"/>
      <c r="AA287" s="30"/>
      <c r="AB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85"/>
      <c r="L288" s="86"/>
      <c r="M288" s="127"/>
      <c r="N288" s="19"/>
      <c r="O288" s="128"/>
      <c r="P288" s="129"/>
      <c r="Q288" s="41"/>
      <c r="R288" s="39"/>
      <c r="S288" s="40"/>
      <c r="T288" s="40"/>
      <c r="U288" s="40"/>
      <c r="V288" s="40"/>
      <c r="W288" s="40"/>
      <c r="X288" s="41"/>
      <c r="Y288" s="30"/>
      <c r="Z288" s="30"/>
      <c r="AA288" s="30"/>
      <c r="AB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85"/>
      <c r="L289" s="86"/>
      <c r="M289" s="127"/>
      <c r="N289" s="19"/>
      <c r="O289" s="128"/>
      <c r="P289" s="129"/>
      <c r="Q289" s="41"/>
      <c r="R289" s="39"/>
      <c r="S289" s="40"/>
      <c r="T289" s="40"/>
      <c r="U289" s="40"/>
      <c r="V289" s="40"/>
      <c r="W289" s="40"/>
      <c r="X289" s="41"/>
      <c r="Y289" s="30"/>
      <c r="Z289" s="30"/>
      <c r="AA289" s="30"/>
      <c r="AB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85"/>
      <c r="L290" s="86"/>
      <c r="M290" s="127"/>
      <c r="N290" s="19"/>
      <c r="O290" s="128"/>
      <c r="P290" s="129"/>
      <c r="Q290" s="41"/>
      <c r="R290" s="39"/>
      <c r="S290" s="40"/>
      <c r="T290" s="40"/>
      <c r="U290" s="40"/>
      <c r="V290" s="40"/>
      <c r="W290" s="40"/>
      <c r="X290" s="41"/>
      <c r="Y290" s="30"/>
      <c r="Z290" s="30"/>
      <c r="AA290" s="30"/>
      <c r="AB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85"/>
      <c r="L291" s="86"/>
      <c r="M291" s="127"/>
      <c r="N291" s="19"/>
      <c r="O291" s="128"/>
      <c r="P291" s="129"/>
      <c r="Q291" s="41"/>
      <c r="R291" s="39"/>
      <c r="S291" s="40"/>
      <c r="T291" s="40"/>
      <c r="U291" s="40"/>
      <c r="V291" s="40"/>
      <c r="W291" s="40"/>
      <c r="X291" s="41"/>
      <c r="Y291" s="30"/>
      <c r="Z291" s="30"/>
      <c r="AA291" s="30"/>
      <c r="AB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85"/>
      <c r="L292" s="86"/>
      <c r="M292" s="127"/>
      <c r="N292" s="19"/>
      <c r="O292" s="128"/>
      <c r="P292" s="129"/>
      <c r="Q292" s="41"/>
      <c r="R292" s="39"/>
      <c r="S292" s="40"/>
      <c r="T292" s="40"/>
      <c r="U292" s="40"/>
      <c r="V292" s="40"/>
      <c r="W292" s="40"/>
      <c r="X292" s="41"/>
      <c r="Y292" s="30"/>
      <c r="Z292" s="30"/>
      <c r="AA292" s="30"/>
      <c r="AB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85"/>
      <c r="L293" s="86"/>
      <c r="M293" s="127"/>
      <c r="N293" s="19"/>
      <c r="O293" s="128"/>
      <c r="P293" s="129"/>
      <c r="Q293" s="41"/>
      <c r="R293" s="39"/>
      <c r="S293" s="40"/>
      <c r="T293" s="40"/>
      <c r="U293" s="40"/>
      <c r="V293" s="40"/>
      <c r="W293" s="40"/>
      <c r="X293" s="41"/>
      <c r="Y293" s="30"/>
      <c r="Z293" s="30"/>
      <c r="AA293" s="30"/>
      <c r="AB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85"/>
      <c r="L294" s="86"/>
      <c r="M294" s="127"/>
      <c r="N294" s="19"/>
      <c r="O294" s="128"/>
      <c r="P294" s="129"/>
      <c r="Q294" s="41"/>
      <c r="R294" s="39"/>
      <c r="S294" s="40"/>
      <c r="T294" s="40"/>
      <c r="U294" s="40"/>
      <c r="V294" s="40"/>
      <c r="W294" s="40"/>
      <c r="X294" s="41"/>
      <c r="Y294" s="30"/>
      <c r="Z294" s="30"/>
      <c r="AA294" s="30"/>
      <c r="AB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85"/>
      <c r="L295" s="86"/>
      <c r="M295" s="127"/>
      <c r="N295" s="19"/>
      <c r="O295" s="128"/>
      <c r="P295" s="129"/>
      <c r="Q295" s="41"/>
      <c r="R295" s="39"/>
      <c r="S295" s="40"/>
      <c r="T295" s="40"/>
      <c r="U295" s="40"/>
      <c r="V295" s="40"/>
      <c r="W295" s="40"/>
      <c r="X295" s="41"/>
      <c r="Y295" s="30"/>
      <c r="Z295" s="30"/>
      <c r="AA295" s="30"/>
      <c r="AB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85"/>
      <c r="L296" s="86"/>
      <c r="M296" s="127"/>
      <c r="N296" s="19"/>
      <c r="O296" s="128"/>
      <c r="P296" s="129"/>
      <c r="Q296" s="41"/>
      <c r="R296" s="39"/>
      <c r="S296" s="40"/>
      <c r="T296" s="40"/>
      <c r="U296" s="40"/>
      <c r="V296" s="40"/>
      <c r="W296" s="40"/>
      <c r="X296" s="41"/>
      <c r="Y296" s="30"/>
      <c r="Z296" s="30"/>
      <c r="AA296" s="30"/>
      <c r="AB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85"/>
      <c r="L297" s="86"/>
      <c r="M297" s="127"/>
      <c r="N297" s="19"/>
      <c r="O297" s="128"/>
      <c r="P297" s="129"/>
      <c r="Q297" s="41"/>
      <c r="R297" s="39"/>
      <c r="S297" s="40"/>
      <c r="T297" s="40"/>
      <c r="U297" s="40"/>
      <c r="V297" s="40"/>
      <c r="W297" s="40"/>
      <c r="X297" s="41"/>
      <c r="Y297" s="30"/>
      <c r="Z297" s="30"/>
      <c r="AA297" s="30"/>
      <c r="AB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85"/>
      <c r="L298" s="86"/>
      <c r="M298" s="127"/>
      <c r="N298" s="19"/>
      <c r="O298" s="128"/>
      <c r="P298" s="129"/>
      <c r="Q298" s="41"/>
      <c r="R298" s="39"/>
      <c r="S298" s="40"/>
      <c r="T298" s="40"/>
      <c r="U298" s="40"/>
      <c r="V298" s="40"/>
      <c r="W298" s="40"/>
      <c r="X298" s="41"/>
      <c r="Y298" s="30"/>
      <c r="Z298" s="30"/>
      <c r="AA298" s="30"/>
      <c r="AB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85"/>
      <c r="L299" s="86"/>
      <c r="M299" s="127"/>
      <c r="N299" s="19"/>
      <c r="O299" s="128"/>
      <c r="P299" s="129"/>
      <c r="Q299" s="41"/>
      <c r="R299" s="39"/>
      <c r="S299" s="40"/>
      <c r="T299" s="40"/>
      <c r="U299" s="40"/>
      <c r="V299" s="40"/>
      <c r="W299" s="40"/>
      <c r="X299" s="41"/>
      <c r="Y299" s="30"/>
      <c r="Z299" s="30"/>
      <c r="AA299" s="30"/>
      <c r="AB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85"/>
      <c r="L300" s="86"/>
      <c r="M300" s="127"/>
      <c r="N300" s="19"/>
      <c r="O300" s="128"/>
      <c r="P300" s="129"/>
      <c r="Q300" s="41"/>
      <c r="R300" s="39"/>
      <c r="S300" s="40"/>
      <c r="T300" s="40"/>
      <c r="U300" s="40"/>
      <c r="V300" s="40"/>
      <c r="W300" s="40"/>
      <c r="X300" s="41"/>
      <c r="Y300" s="30"/>
      <c r="Z300" s="30"/>
      <c r="AA300" s="30"/>
      <c r="AB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85"/>
      <c r="L301" s="86"/>
      <c r="M301" s="127"/>
      <c r="N301" s="19"/>
      <c r="O301" s="128"/>
      <c r="P301" s="129"/>
      <c r="Q301" s="41"/>
      <c r="R301" s="39"/>
      <c r="S301" s="40"/>
      <c r="T301" s="40"/>
      <c r="U301" s="40"/>
      <c r="V301" s="40"/>
      <c r="W301" s="40"/>
      <c r="X301" s="41"/>
      <c r="Y301" s="30"/>
      <c r="Z301" s="30"/>
      <c r="AA301" s="30"/>
      <c r="AB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85"/>
      <c r="L302" s="86"/>
      <c r="M302" s="127"/>
      <c r="N302" s="19"/>
      <c r="O302" s="128"/>
      <c r="P302" s="129"/>
      <c r="Q302" s="41"/>
      <c r="R302" s="39"/>
      <c r="S302" s="40"/>
      <c r="T302" s="40"/>
      <c r="U302" s="40"/>
      <c r="V302" s="40"/>
      <c r="W302" s="40"/>
      <c r="X302" s="41"/>
      <c r="Y302" s="30"/>
      <c r="Z302" s="30"/>
      <c r="AA302" s="30"/>
      <c r="AB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85"/>
      <c r="L303" s="86"/>
      <c r="M303" s="127"/>
      <c r="N303" s="19"/>
      <c r="O303" s="128"/>
      <c r="P303" s="129"/>
      <c r="Q303" s="41"/>
      <c r="R303" s="39"/>
      <c r="S303" s="40"/>
      <c r="T303" s="40"/>
      <c r="U303" s="40"/>
      <c r="V303" s="40"/>
      <c r="W303" s="40"/>
      <c r="X303" s="41"/>
      <c r="Y303" s="30"/>
      <c r="Z303" s="30"/>
      <c r="AA303" s="30"/>
      <c r="AB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85"/>
      <c r="L304" s="86"/>
      <c r="M304" s="127"/>
      <c r="N304" s="19"/>
      <c r="O304" s="128"/>
      <c r="P304" s="129"/>
      <c r="Q304" s="41"/>
      <c r="R304" s="39"/>
      <c r="S304" s="40"/>
      <c r="T304" s="40"/>
      <c r="U304" s="40"/>
      <c r="V304" s="40"/>
      <c r="W304" s="40"/>
      <c r="X304" s="41"/>
      <c r="Y304" s="30"/>
      <c r="Z304" s="30"/>
      <c r="AA304" s="30"/>
      <c r="AB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85"/>
      <c r="L305" s="86"/>
      <c r="M305" s="127"/>
      <c r="N305" s="19"/>
      <c r="O305" s="128"/>
      <c r="P305" s="129"/>
      <c r="Q305" s="41"/>
      <c r="R305" s="39"/>
      <c r="S305" s="40"/>
      <c r="T305" s="40"/>
      <c r="U305" s="40"/>
      <c r="V305" s="40"/>
      <c r="W305" s="40"/>
      <c r="X305" s="41"/>
      <c r="Y305" s="30"/>
      <c r="Z305" s="30"/>
      <c r="AA305" s="30"/>
      <c r="AB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85"/>
      <c r="L306" s="86"/>
      <c r="M306" s="127"/>
      <c r="N306" s="19"/>
      <c r="O306" s="128"/>
      <c r="P306" s="129"/>
      <c r="Q306" s="41"/>
      <c r="R306" s="39"/>
      <c r="S306" s="40"/>
      <c r="T306" s="40"/>
      <c r="U306" s="40"/>
      <c r="V306" s="40"/>
      <c r="W306" s="40"/>
      <c r="X306" s="41"/>
      <c r="Y306" s="30"/>
      <c r="Z306" s="30"/>
      <c r="AA306" s="30"/>
      <c r="AB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85"/>
      <c r="L307" s="86"/>
      <c r="M307" s="127"/>
      <c r="N307" s="19"/>
      <c r="O307" s="128"/>
      <c r="P307" s="129"/>
      <c r="Q307" s="41"/>
      <c r="R307" s="39"/>
      <c r="S307" s="40"/>
      <c r="T307" s="40"/>
      <c r="U307" s="40"/>
      <c r="V307" s="40"/>
      <c r="W307" s="40"/>
      <c r="X307" s="41"/>
      <c r="Y307" s="30"/>
      <c r="Z307" s="30"/>
      <c r="AA307" s="30"/>
      <c r="AB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85"/>
      <c r="L308" s="86"/>
      <c r="M308" s="127"/>
      <c r="N308" s="19"/>
      <c r="O308" s="128"/>
      <c r="P308" s="129"/>
      <c r="Q308" s="41"/>
      <c r="R308" s="39"/>
      <c r="S308" s="40"/>
      <c r="T308" s="40"/>
      <c r="U308" s="40"/>
      <c r="V308" s="40"/>
      <c r="W308" s="40"/>
      <c r="X308" s="41"/>
      <c r="Y308" s="30"/>
      <c r="Z308" s="30"/>
      <c r="AA308" s="30"/>
      <c r="AB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85"/>
      <c r="L309" s="86"/>
      <c r="M309" s="127"/>
      <c r="N309" s="19"/>
      <c r="O309" s="128"/>
      <c r="P309" s="129"/>
      <c r="Q309" s="41"/>
      <c r="R309" s="39"/>
      <c r="S309" s="40"/>
      <c r="T309" s="40"/>
      <c r="U309" s="40"/>
      <c r="V309" s="40"/>
      <c r="W309" s="40"/>
      <c r="X309" s="41"/>
      <c r="Y309" s="30"/>
      <c r="Z309" s="30"/>
      <c r="AA309" s="30"/>
      <c r="AB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85"/>
      <c r="L310" s="86"/>
      <c r="M310" s="127"/>
      <c r="N310" s="19"/>
      <c r="O310" s="128"/>
      <c r="P310" s="129"/>
      <c r="Q310" s="41"/>
      <c r="R310" s="39"/>
      <c r="S310" s="40"/>
      <c r="T310" s="40"/>
      <c r="U310" s="40"/>
      <c r="V310" s="40"/>
      <c r="W310" s="40"/>
      <c r="X310" s="41"/>
      <c r="Y310" s="30"/>
      <c r="Z310" s="30"/>
      <c r="AA310" s="30"/>
      <c r="AB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85"/>
      <c r="L311" s="86"/>
      <c r="M311" s="127"/>
      <c r="N311" s="19"/>
      <c r="O311" s="128"/>
      <c r="P311" s="129"/>
      <c r="Q311" s="41"/>
      <c r="R311" s="39"/>
      <c r="S311" s="40"/>
      <c r="T311" s="40"/>
      <c r="U311" s="40"/>
      <c r="V311" s="40"/>
      <c r="W311" s="40"/>
      <c r="X311" s="41"/>
      <c r="Y311" s="30"/>
      <c r="Z311" s="30"/>
      <c r="AA311" s="30"/>
      <c r="AB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85"/>
      <c r="L312" s="86"/>
      <c r="M312" s="127"/>
      <c r="N312" s="19"/>
      <c r="O312" s="128"/>
      <c r="P312" s="129"/>
      <c r="Q312" s="41"/>
      <c r="R312" s="39"/>
      <c r="S312" s="40"/>
      <c r="T312" s="40"/>
      <c r="U312" s="40"/>
      <c r="V312" s="40"/>
      <c r="W312" s="40"/>
      <c r="X312" s="41"/>
      <c r="Y312" s="30"/>
      <c r="Z312" s="30"/>
      <c r="AA312" s="30"/>
      <c r="AB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85"/>
      <c r="L313" s="86"/>
      <c r="M313" s="127"/>
      <c r="N313" s="19"/>
      <c r="O313" s="128"/>
      <c r="P313" s="129"/>
      <c r="Q313" s="41"/>
      <c r="R313" s="39"/>
      <c r="S313" s="40"/>
      <c r="T313" s="40"/>
      <c r="U313" s="40"/>
      <c r="V313" s="40"/>
      <c r="W313" s="40"/>
      <c r="X313" s="41"/>
      <c r="Y313" s="30"/>
      <c r="Z313" s="30"/>
      <c r="AA313" s="30"/>
      <c r="AB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85"/>
      <c r="L314" s="86"/>
      <c r="M314" s="127"/>
      <c r="N314" s="19"/>
      <c r="O314" s="128"/>
      <c r="P314" s="129"/>
      <c r="Q314" s="41"/>
      <c r="R314" s="39"/>
      <c r="S314" s="40"/>
      <c r="T314" s="40"/>
      <c r="U314" s="40"/>
      <c r="V314" s="40"/>
      <c r="W314" s="40"/>
      <c r="X314" s="41"/>
      <c r="Y314" s="30"/>
      <c r="Z314" s="30"/>
      <c r="AA314" s="30"/>
      <c r="AB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85"/>
      <c r="L315" s="86"/>
      <c r="M315" s="127"/>
      <c r="N315" s="19"/>
      <c r="O315" s="128"/>
      <c r="P315" s="129"/>
      <c r="Q315" s="41"/>
      <c r="R315" s="39"/>
      <c r="S315" s="40"/>
      <c r="T315" s="40"/>
      <c r="U315" s="40"/>
      <c r="V315" s="40"/>
      <c r="W315" s="40"/>
      <c r="X315" s="41"/>
      <c r="Y315" s="30"/>
      <c r="Z315" s="30"/>
      <c r="AA315" s="30"/>
      <c r="AB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85"/>
      <c r="L316" s="86"/>
      <c r="M316" s="127"/>
      <c r="N316" s="19"/>
      <c r="O316" s="128"/>
      <c r="P316" s="129"/>
      <c r="Q316" s="41"/>
      <c r="R316" s="39"/>
      <c r="S316" s="40"/>
      <c r="T316" s="40"/>
      <c r="U316" s="40"/>
      <c r="V316" s="40"/>
      <c r="W316" s="40"/>
      <c r="X316" s="41"/>
      <c r="Y316" s="30"/>
      <c r="Z316" s="30"/>
      <c r="AA316" s="30"/>
      <c r="AB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85"/>
      <c r="L317" s="86"/>
      <c r="M317" s="127"/>
      <c r="N317" s="19"/>
      <c r="O317" s="128"/>
      <c r="P317" s="129"/>
      <c r="Q317" s="41"/>
      <c r="R317" s="39"/>
      <c r="S317" s="40"/>
      <c r="T317" s="40"/>
      <c r="U317" s="40"/>
      <c r="V317" s="40"/>
      <c r="W317" s="40"/>
      <c r="X317" s="41"/>
      <c r="Y317" s="30"/>
      <c r="Z317" s="30"/>
      <c r="AA317" s="30"/>
      <c r="AB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85"/>
      <c r="L318" s="86"/>
      <c r="M318" s="127"/>
      <c r="N318" s="19"/>
      <c r="O318" s="128"/>
      <c r="P318" s="129"/>
      <c r="Q318" s="41"/>
      <c r="R318" s="39"/>
      <c r="S318" s="40"/>
      <c r="T318" s="40"/>
      <c r="U318" s="40"/>
      <c r="V318" s="40"/>
      <c r="W318" s="40"/>
      <c r="X318" s="41"/>
      <c r="Y318" s="30"/>
      <c r="Z318" s="30"/>
      <c r="AA318" s="30"/>
      <c r="AB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85"/>
      <c r="L319" s="86"/>
      <c r="M319" s="127"/>
      <c r="N319" s="19"/>
      <c r="O319" s="128"/>
      <c r="P319" s="129"/>
      <c r="Q319" s="41"/>
      <c r="R319" s="39"/>
      <c r="S319" s="40"/>
      <c r="T319" s="40"/>
      <c r="U319" s="40"/>
      <c r="V319" s="40"/>
      <c r="W319" s="40"/>
      <c r="X319" s="41"/>
      <c r="Y319" s="30"/>
      <c r="Z319" s="30"/>
      <c r="AA319" s="30"/>
      <c r="AB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85"/>
      <c r="L320" s="86"/>
      <c r="M320" s="127"/>
      <c r="N320" s="19"/>
      <c r="O320" s="128"/>
      <c r="P320" s="129"/>
      <c r="Q320" s="41"/>
      <c r="R320" s="39"/>
      <c r="S320" s="40"/>
      <c r="T320" s="40"/>
      <c r="U320" s="40"/>
      <c r="V320" s="40"/>
      <c r="W320" s="40"/>
      <c r="X320" s="41"/>
      <c r="Y320" s="30"/>
      <c r="Z320" s="30"/>
      <c r="AA320" s="30"/>
      <c r="AB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85"/>
      <c r="L321" s="86"/>
      <c r="M321" s="127"/>
      <c r="N321" s="19"/>
      <c r="O321" s="128"/>
      <c r="P321" s="129"/>
      <c r="Q321" s="41"/>
      <c r="R321" s="39"/>
      <c r="S321" s="40"/>
      <c r="T321" s="40"/>
      <c r="U321" s="40"/>
      <c r="V321" s="40"/>
      <c r="W321" s="40"/>
      <c r="X321" s="41"/>
      <c r="Y321" s="30"/>
      <c r="Z321" s="30"/>
      <c r="AA321" s="30"/>
      <c r="AB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85"/>
      <c r="L322" s="86"/>
      <c r="M322" s="127"/>
      <c r="N322" s="19"/>
      <c r="O322" s="128"/>
      <c r="P322" s="129"/>
      <c r="Q322" s="41"/>
      <c r="R322" s="39"/>
      <c r="S322" s="40"/>
      <c r="T322" s="40"/>
      <c r="U322" s="40"/>
      <c r="V322" s="40"/>
      <c r="W322" s="40"/>
      <c r="X322" s="41"/>
      <c r="Y322" s="30"/>
      <c r="Z322" s="30"/>
      <c r="AA322" s="30"/>
      <c r="AB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85"/>
      <c r="L323" s="86"/>
      <c r="M323" s="127"/>
      <c r="N323" s="19"/>
      <c r="O323" s="128"/>
      <c r="P323" s="129"/>
      <c r="Q323" s="41"/>
      <c r="R323" s="39"/>
      <c r="S323" s="40"/>
      <c r="T323" s="40"/>
      <c r="U323" s="40"/>
      <c r="V323" s="40"/>
      <c r="W323" s="40"/>
      <c r="X323" s="41"/>
      <c r="Y323" s="30"/>
      <c r="Z323" s="30"/>
      <c r="AA323" s="30"/>
      <c r="AB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85"/>
      <c r="L324" s="86"/>
      <c r="M324" s="127"/>
      <c r="N324" s="19"/>
      <c r="O324" s="128"/>
      <c r="P324" s="129"/>
      <c r="Q324" s="41"/>
      <c r="R324" s="39"/>
      <c r="S324" s="40"/>
      <c r="T324" s="40"/>
      <c r="U324" s="40"/>
      <c r="V324" s="40"/>
      <c r="W324" s="40"/>
      <c r="X324" s="41"/>
      <c r="Y324" s="30"/>
      <c r="Z324" s="30"/>
      <c r="AA324" s="30"/>
      <c r="AB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85"/>
      <c r="L325" s="86"/>
      <c r="M325" s="127"/>
      <c r="N325" s="19"/>
      <c r="O325" s="128"/>
      <c r="P325" s="129"/>
      <c r="Q325" s="41"/>
      <c r="R325" s="39"/>
      <c r="S325" s="40"/>
      <c r="T325" s="40"/>
      <c r="U325" s="40"/>
      <c r="V325" s="40"/>
      <c r="W325" s="40"/>
      <c r="X325" s="41"/>
      <c r="Y325" s="30"/>
      <c r="Z325" s="30"/>
      <c r="AA325" s="30"/>
      <c r="AB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85"/>
      <c r="L326" s="86"/>
      <c r="M326" s="127"/>
      <c r="N326" s="19"/>
      <c r="O326" s="128"/>
      <c r="P326" s="129"/>
      <c r="Q326" s="41"/>
      <c r="R326" s="39"/>
      <c r="S326" s="40"/>
      <c r="T326" s="40"/>
      <c r="U326" s="40"/>
      <c r="V326" s="40"/>
      <c r="W326" s="40"/>
      <c r="X326" s="41"/>
      <c r="Y326" s="30"/>
      <c r="Z326" s="30"/>
      <c r="AA326" s="30"/>
      <c r="AB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85"/>
      <c r="L327" s="86"/>
      <c r="M327" s="127"/>
      <c r="N327" s="19"/>
      <c r="O327" s="128"/>
      <c r="P327" s="129"/>
      <c r="Q327" s="41"/>
      <c r="R327" s="39"/>
      <c r="S327" s="40"/>
      <c r="T327" s="40"/>
      <c r="U327" s="40"/>
      <c r="V327" s="40"/>
      <c r="W327" s="40"/>
      <c r="X327" s="41"/>
      <c r="Y327" s="30"/>
      <c r="Z327" s="30"/>
      <c r="AA327" s="30"/>
      <c r="AB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85"/>
      <c r="L328" s="86"/>
      <c r="M328" s="127"/>
      <c r="N328" s="19"/>
      <c r="O328" s="128"/>
      <c r="P328" s="129"/>
      <c r="Q328" s="41"/>
      <c r="R328" s="39"/>
      <c r="S328" s="40"/>
      <c r="T328" s="40"/>
      <c r="U328" s="40"/>
      <c r="V328" s="40"/>
      <c r="W328" s="40"/>
      <c r="X328" s="41"/>
      <c r="Y328" s="30"/>
      <c r="Z328" s="30"/>
      <c r="AA328" s="30"/>
      <c r="AB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85"/>
      <c r="L329" s="86"/>
      <c r="M329" s="127"/>
      <c r="N329" s="19"/>
      <c r="O329" s="128"/>
      <c r="P329" s="129"/>
      <c r="Q329" s="41"/>
      <c r="R329" s="39"/>
      <c r="S329" s="40"/>
      <c r="T329" s="40"/>
      <c r="U329" s="40"/>
      <c r="V329" s="40"/>
      <c r="W329" s="40"/>
      <c r="X329" s="41"/>
      <c r="Y329" s="30"/>
      <c r="Z329" s="30"/>
      <c r="AA329" s="30"/>
      <c r="AB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85"/>
      <c r="L330" s="86"/>
      <c r="M330" s="127"/>
      <c r="N330" s="19"/>
      <c r="O330" s="128"/>
      <c r="P330" s="129"/>
      <c r="Q330" s="41"/>
      <c r="R330" s="39"/>
      <c r="S330" s="40"/>
      <c r="T330" s="40"/>
      <c r="U330" s="40"/>
      <c r="V330" s="40"/>
      <c r="W330" s="40"/>
      <c r="X330" s="41"/>
      <c r="Y330" s="30"/>
      <c r="Z330" s="30"/>
      <c r="AA330" s="30"/>
      <c r="AB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85"/>
      <c r="L331" s="86"/>
      <c r="M331" s="127"/>
      <c r="N331" s="19"/>
      <c r="O331" s="128"/>
      <c r="P331" s="129"/>
      <c r="Q331" s="41"/>
      <c r="R331" s="39"/>
      <c r="S331" s="40"/>
      <c r="T331" s="40"/>
      <c r="U331" s="40"/>
      <c r="V331" s="40"/>
      <c r="W331" s="40"/>
      <c r="X331" s="41"/>
      <c r="Y331" s="30"/>
      <c r="Z331" s="30"/>
      <c r="AA331" s="30"/>
      <c r="AB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85"/>
      <c r="L332" s="86"/>
      <c r="M332" s="127"/>
      <c r="N332" s="19"/>
      <c r="O332" s="128"/>
      <c r="P332" s="129"/>
      <c r="Q332" s="41"/>
      <c r="R332" s="39"/>
      <c r="S332" s="40"/>
      <c r="T332" s="40"/>
      <c r="U332" s="40"/>
      <c r="V332" s="40"/>
      <c r="W332" s="40"/>
      <c r="X332" s="41"/>
      <c r="Y332" s="30"/>
      <c r="Z332" s="30"/>
      <c r="AA332" s="30"/>
      <c r="AB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85"/>
      <c r="L333" s="86"/>
      <c r="M333" s="127"/>
      <c r="N333" s="19"/>
      <c r="O333" s="128"/>
      <c r="P333" s="129"/>
      <c r="Q333" s="41"/>
      <c r="R333" s="39"/>
      <c r="S333" s="40"/>
      <c r="T333" s="40"/>
      <c r="U333" s="40"/>
      <c r="V333" s="40"/>
      <c r="W333" s="40"/>
      <c r="X333" s="41"/>
      <c r="Y333" s="30"/>
      <c r="Z333" s="30"/>
      <c r="AA333" s="30"/>
      <c r="AB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85"/>
      <c r="L334" s="86"/>
      <c r="M334" s="127"/>
      <c r="N334" s="19"/>
      <c r="O334" s="128"/>
      <c r="P334" s="129"/>
      <c r="Q334" s="41"/>
      <c r="R334" s="39"/>
      <c r="S334" s="40"/>
      <c r="T334" s="40"/>
      <c r="U334" s="40"/>
      <c r="V334" s="40"/>
      <c r="W334" s="40"/>
      <c r="X334" s="41"/>
      <c r="Y334" s="30"/>
      <c r="Z334" s="30"/>
      <c r="AA334" s="30"/>
      <c r="AB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85"/>
      <c r="L335" s="86"/>
      <c r="M335" s="127"/>
      <c r="N335" s="19"/>
      <c r="O335" s="128"/>
      <c r="P335" s="129"/>
      <c r="Q335" s="41"/>
      <c r="R335" s="39"/>
      <c r="S335" s="40"/>
      <c r="T335" s="40"/>
      <c r="U335" s="40"/>
      <c r="V335" s="40"/>
      <c r="W335" s="40"/>
      <c r="X335" s="41"/>
      <c r="Y335" s="30"/>
      <c r="Z335" s="30"/>
      <c r="AA335" s="30"/>
      <c r="AB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85"/>
      <c r="L336" s="86"/>
      <c r="M336" s="127"/>
      <c r="N336" s="19"/>
      <c r="O336" s="128"/>
      <c r="P336" s="129"/>
      <c r="Q336" s="41"/>
      <c r="R336" s="39"/>
      <c r="S336" s="40"/>
      <c r="T336" s="40"/>
      <c r="U336" s="40"/>
      <c r="V336" s="40"/>
      <c r="W336" s="40"/>
      <c r="X336" s="41"/>
      <c r="Y336" s="30"/>
      <c r="Z336" s="30"/>
      <c r="AA336" s="30"/>
      <c r="AB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85"/>
      <c r="L337" s="86"/>
      <c r="M337" s="127"/>
      <c r="N337" s="19"/>
      <c r="O337" s="128"/>
      <c r="P337" s="129"/>
      <c r="Q337" s="41"/>
      <c r="R337" s="39"/>
      <c r="S337" s="40"/>
      <c r="T337" s="40"/>
      <c r="U337" s="40"/>
      <c r="V337" s="40"/>
      <c r="W337" s="40"/>
      <c r="X337" s="41"/>
      <c r="Y337" s="30"/>
      <c r="Z337" s="30"/>
      <c r="AA337" s="30"/>
      <c r="AB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85"/>
      <c r="L338" s="86"/>
      <c r="M338" s="127"/>
      <c r="N338" s="19"/>
      <c r="O338" s="128"/>
      <c r="P338" s="129"/>
      <c r="Q338" s="41"/>
      <c r="R338" s="39"/>
      <c r="S338" s="40"/>
      <c r="T338" s="40"/>
      <c r="U338" s="40"/>
      <c r="V338" s="40"/>
      <c r="W338" s="40"/>
      <c r="X338" s="41"/>
      <c r="Y338" s="30"/>
      <c r="Z338" s="30"/>
      <c r="AA338" s="30"/>
      <c r="AB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85"/>
      <c r="L339" s="86"/>
      <c r="M339" s="127"/>
      <c r="N339" s="19"/>
      <c r="O339" s="128"/>
      <c r="P339" s="129"/>
      <c r="Q339" s="41"/>
      <c r="R339" s="39"/>
      <c r="S339" s="40"/>
      <c r="T339" s="40"/>
      <c r="U339" s="40"/>
      <c r="V339" s="40"/>
      <c r="W339" s="40"/>
      <c r="X339" s="41"/>
      <c r="Y339" s="30"/>
      <c r="Z339" s="30"/>
      <c r="AA339" s="30"/>
      <c r="AB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85"/>
      <c r="L340" s="86"/>
      <c r="M340" s="127"/>
      <c r="N340" s="19"/>
      <c r="O340" s="128"/>
      <c r="P340" s="129"/>
      <c r="Q340" s="41"/>
      <c r="R340" s="39"/>
      <c r="S340" s="40"/>
      <c r="T340" s="40"/>
      <c r="U340" s="40"/>
      <c r="V340" s="40"/>
      <c r="W340" s="40"/>
      <c r="X340" s="41"/>
      <c r="Y340" s="30"/>
      <c r="Z340" s="30"/>
      <c r="AA340" s="30"/>
      <c r="AB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85"/>
      <c r="L341" s="86"/>
      <c r="M341" s="127"/>
      <c r="N341" s="19"/>
      <c r="O341" s="128"/>
      <c r="P341" s="129"/>
      <c r="Q341" s="41"/>
      <c r="R341" s="39"/>
      <c r="S341" s="40"/>
      <c r="T341" s="40"/>
      <c r="U341" s="40"/>
      <c r="V341" s="40"/>
      <c r="W341" s="40"/>
      <c r="X341" s="41"/>
      <c r="Y341" s="30"/>
      <c r="Z341" s="30"/>
      <c r="AA341" s="30"/>
      <c r="AB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85"/>
      <c r="L342" s="86"/>
      <c r="M342" s="127"/>
      <c r="N342" s="19"/>
      <c r="O342" s="128"/>
      <c r="P342" s="129"/>
      <c r="Q342" s="41"/>
      <c r="R342" s="39"/>
      <c r="S342" s="40"/>
      <c r="T342" s="40"/>
      <c r="U342" s="40"/>
      <c r="V342" s="40"/>
      <c r="W342" s="40"/>
      <c r="X342" s="41"/>
      <c r="Y342" s="30"/>
      <c r="Z342" s="30"/>
      <c r="AA342" s="30"/>
      <c r="AB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85"/>
      <c r="L343" s="86"/>
      <c r="M343" s="127"/>
      <c r="N343" s="19"/>
      <c r="O343" s="128"/>
      <c r="P343" s="129"/>
      <c r="Q343" s="41"/>
      <c r="R343" s="39"/>
      <c r="S343" s="40"/>
      <c r="T343" s="40"/>
      <c r="U343" s="40"/>
      <c r="V343" s="40"/>
      <c r="W343" s="40"/>
      <c r="X343" s="41"/>
      <c r="Y343" s="30"/>
      <c r="Z343" s="30"/>
      <c r="AA343" s="30"/>
      <c r="AB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85"/>
      <c r="L344" s="86"/>
      <c r="M344" s="127"/>
      <c r="N344" s="19"/>
      <c r="O344" s="128"/>
      <c r="P344" s="129"/>
      <c r="Q344" s="41"/>
      <c r="R344" s="39"/>
      <c r="S344" s="40"/>
      <c r="T344" s="40"/>
      <c r="U344" s="40"/>
      <c r="V344" s="40"/>
      <c r="W344" s="40"/>
      <c r="X344" s="41"/>
      <c r="Y344" s="30"/>
      <c r="Z344" s="30"/>
      <c r="AA344" s="30"/>
      <c r="AB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85"/>
      <c r="L345" s="86"/>
      <c r="M345" s="127"/>
      <c r="N345" s="19"/>
      <c r="O345" s="128"/>
      <c r="P345" s="129"/>
      <c r="Q345" s="41"/>
      <c r="R345" s="39"/>
      <c r="S345" s="40"/>
      <c r="T345" s="40"/>
      <c r="U345" s="40"/>
      <c r="V345" s="40"/>
      <c r="W345" s="40"/>
      <c r="X345" s="41"/>
      <c r="Y345" s="30"/>
      <c r="Z345" s="30"/>
      <c r="AA345" s="30"/>
      <c r="AB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85"/>
      <c r="L346" s="86"/>
      <c r="M346" s="127"/>
      <c r="N346" s="19"/>
      <c r="O346" s="128"/>
      <c r="P346" s="129"/>
      <c r="Q346" s="41"/>
      <c r="R346" s="39"/>
      <c r="S346" s="40"/>
      <c r="T346" s="40"/>
      <c r="U346" s="40"/>
      <c r="V346" s="40"/>
      <c r="W346" s="40"/>
      <c r="X346" s="41"/>
      <c r="Y346" s="30"/>
      <c r="Z346" s="30"/>
      <c r="AA346" s="30"/>
      <c r="AB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85"/>
      <c r="L347" s="86"/>
      <c r="M347" s="127"/>
      <c r="N347" s="19"/>
      <c r="O347" s="128"/>
      <c r="P347" s="129"/>
      <c r="Q347" s="41"/>
      <c r="R347" s="39"/>
      <c r="S347" s="40"/>
      <c r="T347" s="40"/>
      <c r="U347" s="40"/>
      <c r="V347" s="40"/>
      <c r="W347" s="40"/>
      <c r="X347" s="41"/>
      <c r="Y347" s="30"/>
      <c r="Z347" s="30"/>
      <c r="AA347" s="30"/>
      <c r="AB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85"/>
      <c r="L348" s="86"/>
      <c r="M348" s="127"/>
      <c r="N348" s="19"/>
      <c r="O348" s="128"/>
      <c r="P348" s="129"/>
      <c r="Q348" s="41"/>
      <c r="R348" s="39"/>
      <c r="S348" s="40"/>
      <c r="T348" s="40"/>
      <c r="U348" s="40"/>
      <c r="V348" s="40"/>
      <c r="W348" s="40"/>
      <c r="X348" s="41"/>
      <c r="Y348" s="30"/>
      <c r="Z348" s="30"/>
      <c r="AA348" s="30"/>
      <c r="AB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85"/>
      <c r="L349" s="86"/>
      <c r="M349" s="127"/>
      <c r="N349" s="19"/>
      <c r="O349" s="128"/>
      <c r="P349" s="129"/>
      <c r="Q349" s="41"/>
      <c r="R349" s="39"/>
      <c r="S349" s="40"/>
      <c r="T349" s="40"/>
      <c r="U349" s="40"/>
      <c r="V349" s="40"/>
      <c r="W349" s="40"/>
      <c r="X349" s="41"/>
      <c r="Y349" s="30"/>
      <c r="Z349" s="30"/>
      <c r="AA349" s="30"/>
      <c r="AB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85"/>
      <c r="L350" s="86"/>
      <c r="M350" s="127"/>
      <c r="N350" s="19"/>
      <c r="O350" s="128"/>
      <c r="P350" s="129"/>
      <c r="Q350" s="41"/>
      <c r="R350" s="39"/>
      <c r="S350" s="40"/>
      <c r="T350" s="40"/>
      <c r="U350" s="40"/>
      <c r="V350" s="40"/>
      <c r="W350" s="40"/>
      <c r="X350" s="41"/>
      <c r="Y350" s="30"/>
      <c r="Z350" s="30"/>
      <c r="AA350" s="30"/>
      <c r="AB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85"/>
      <c r="L351" s="86"/>
      <c r="M351" s="127"/>
      <c r="N351" s="19"/>
      <c r="O351" s="128"/>
      <c r="P351" s="129"/>
      <c r="Q351" s="41"/>
      <c r="R351" s="39"/>
      <c r="S351" s="40"/>
      <c r="T351" s="40"/>
      <c r="U351" s="40"/>
      <c r="V351" s="40"/>
      <c r="W351" s="40"/>
      <c r="X351" s="41"/>
      <c r="Y351" s="30"/>
      <c r="Z351" s="30"/>
      <c r="AA351" s="30"/>
      <c r="AB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85"/>
      <c r="L352" s="86"/>
      <c r="M352" s="127"/>
      <c r="N352" s="19"/>
      <c r="O352" s="128"/>
      <c r="P352" s="129"/>
      <c r="Q352" s="41"/>
      <c r="R352" s="39"/>
      <c r="S352" s="40"/>
      <c r="T352" s="40"/>
      <c r="U352" s="40"/>
      <c r="V352" s="40"/>
      <c r="W352" s="40"/>
      <c r="X352" s="41"/>
      <c r="Y352" s="30"/>
      <c r="Z352" s="30"/>
      <c r="AA352" s="30"/>
      <c r="AB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85"/>
      <c r="L353" s="86"/>
      <c r="M353" s="127"/>
      <c r="N353" s="19"/>
      <c r="O353" s="128"/>
      <c r="P353" s="129"/>
      <c r="Q353" s="41"/>
      <c r="R353" s="39"/>
      <c r="S353" s="40"/>
      <c r="T353" s="40"/>
      <c r="U353" s="40"/>
      <c r="V353" s="40"/>
      <c r="W353" s="40"/>
      <c r="X353" s="41"/>
      <c r="Y353" s="30"/>
      <c r="Z353" s="30"/>
      <c r="AA353" s="30"/>
      <c r="AB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85"/>
      <c r="L354" s="86"/>
      <c r="M354" s="127"/>
      <c r="N354" s="19"/>
      <c r="O354" s="128"/>
      <c r="P354" s="129"/>
      <c r="Q354" s="41"/>
      <c r="R354" s="39"/>
      <c r="S354" s="40"/>
      <c r="T354" s="40"/>
      <c r="U354" s="40"/>
      <c r="V354" s="40"/>
      <c r="W354" s="40"/>
      <c r="X354" s="41"/>
      <c r="Y354" s="30"/>
      <c r="Z354" s="30"/>
      <c r="AA354" s="30"/>
      <c r="AB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85"/>
      <c r="L355" s="86"/>
      <c r="M355" s="127"/>
      <c r="N355" s="19"/>
      <c r="O355" s="128"/>
      <c r="P355" s="129"/>
      <c r="Q355" s="41"/>
      <c r="R355" s="39"/>
      <c r="S355" s="40"/>
      <c r="T355" s="40"/>
      <c r="U355" s="40"/>
      <c r="V355" s="40"/>
      <c r="W355" s="40"/>
      <c r="X355" s="41"/>
      <c r="Y355" s="30"/>
      <c r="Z355" s="30"/>
      <c r="AA355" s="30"/>
      <c r="AB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85"/>
      <c r="L356" s="86"/>
      <c r="M356" s="127"/>
      <c r="N356" s="19"/>
      <c r="O356" s="128"/>
      <c r="P356" s="129"/>
      <c r="Q356" s="41"/>
      <c r="R356" s="39"/>
      <c r="S356" s="40"/>
      <c r="T356" s="40"/>
      <c r="U356" s="40"/>
      <c r="V356" s="40"/>
      <c r="W356" s="40"/>
      <c r="X356" s="41"/>
      <c r="Y356" s="30"/>
      <c r="Z356" s="30"/>
      <c r="AA356" s="30"/>
      <c r="AB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85"/>
      <c r="L357" s="86"/>
      <c r="M357" s="127"/>
      <c r="N357" s="19"/>
      <c r="O357" s="128"/>
      <c r="P357" s="129"/>
      <c r="Q357" s="41"/>
      <c r="R357" s="39"/>
      <c r="S357" s="40"/>
      <c r="T357" s="40"/>
      <c r="U357" s="40"/>
      <c r="V357" s="40"/>
      <c r="W357" s="40"/>
      <c r="X357" s="41"/>
      <c r="Y357" s="30"/>
      <c r="Z357" s="30"/>
      <c r="AA357" s="30"/>
      <c r="AB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85"/>
      <c r="L358" s="86"/>
      <c r="M358" s="127"/>
      <c r="N358" s="19"/>
      <c r="O358" s="128"/>
      <c r="P358" s="129"/>
      <c r="Q358" s="41"/>
      <c r="R358" s="39"/>
      <c r="S358" s="40"/>
      <c r="T358" s="40"/>
      <c r="U358" s="40"/>
      <c r="V358" s="40"/>
      <c r="W358" s="40"/>
      <c r="X358" s="41"/>
      <c r="Y358" s="30"/>
      <c r="Z358" s="30"/>
      <c r="AA358" s="30"/>
      <c r="AB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85"/>
      <c r="L359" s="86"/>
      <c r="M359" s="127"/>
      <c r="N359" s="19"/>
      <c r="O359" s="128"/>
      <c r="P359" s="129"/>
      <c r="Q359" s="41"/>
      <c r="R359" s="39"/>
      <c r="S359" s="40"/>
      <c r="T359" s="40"/>
      <c r="U359" s="40"/>
      <c r="V359" s="40"/>
      <c r="W359" s="40"/>
      <c r="X359" s="41"/>
      <c r="Y359" s="30"/>
      <c r="Z359" s="30"/>
      <c r="AA359" s="30"/>
      <c r="AB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85"/>
      <c r="L360" s="86"/>
      <c r="M360" s="127"/>
      <c r="N360" s="19"/>
      <c r="O360" s="128"/>
      <c r="P360" s="129"/>
      <c r="Q360" s="41"/>
      <c r="R360" s="39"/>
      <c r="S360" s="40"/>
      <c r="T360" s="40"/>
      <c r="U360" s="40"/>
      <c r="V360" s="40"/>
      <c r="W360" s="40"/>
      <c r="X360" s="41"/>
      <c r="Y360" s="30"/>
      <c r="Z360" s="30"/>
      <c r="AA360" s="30"/>
      <c r="AB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85"/>
      <c r="L361" s="86"/>
      <c r="M361" s="127"/>
      <c r="N361" s="19"/>
      <c r="O361" s="128"/>
      <c r="P361" s="129"/>
      <c r="Q361" s="41"/>
      <c r="R361" s="39"/>
      <c r="S361" s="40"/>
      <c r="T361" s="40"/>
      <c r="U361" s="40"/>
      <c r="V361" s="40"/>
      <c r="W361" s="40"/>
      <c r="X361" s="41"/>
      <c r="Y361" s="30"/>
      <c r="Z361" s="30"/>
      <c r="AA361" s="30"/>
      <c r="AB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85"/>
      <c r="L362" s="86"/>
      <c r="M362" s="127"/>
      <c r="N362" s="19"/>
      <c r="O362" s="128"/>
      <c r="P362" s="129"/>
      <c r="Q362" s="41"/>
      <c r="R362" s="39"/>
      <c r="S362" s="40"/>
      <c r="T362" s="40"/>
      <c r="U362" s="40"/>
      <c r="V362" s="40"/>
      <c r="W362" s="40"/>
      <c r="X362" s="41"/>
      <c r="Y362" s="30"/>
      <c r="Z362" s="30"/>
      <c r="AA362" s="30"/>
      <c r="AB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85"/>
      <c r="L363" s="86"/>
      <c r="M363" s="127"/>
      <c r="N363" s="19"/>
      <c r="O363" s="128"/>
      <c r="P363" s="129"/>
      <c r="Q363" s="41"/>
      <c r="R363" s="39"/>
      <c r="S363" s="40"/>
      <c r="T363" s="40"/>
      <c r="U363" s="40"/>
      <c r="V363" s="40"/>
      <c r="W363" s="40"/>
      <c r="X363" s="41"/>
      <c r="Y363" s="30"/>
      <c r="Z363" s="30"/>
      <c r="AA363" s="30"/>
      <c r="AB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85"/>
      <c r="L364" s="86"/>
      <c r="M364" s="127"/>
      <c r="N364" s="19"/>
      <c r="O364" s="128"/>
      <c r="P364" s="129"/>
      <c r="Q364" s="41"/>
      <c r="R364" s="39"/>
      <c r="S364" s="40"/>
      <c r="T364" s="40"/>
      <c r="U364" s="40"/>
      <c r="V364" s="40"/>
      <c r="W364" s="40"/>
      <c r="X364" s="41"/>
      <c r="Y364" s="30"/>
      <c r="Z364" s="30"/>
      <c r="AA364" s="30"/>
      <c r="AB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85"/>
      <c r="L365" s="86"/>
      <c r="M365" s="127"/>
      <c r="N365" s="19"/>
      <c r="O365" s="128"/>
      <c r="P365" s="129"/>
      <c r="Q365" s="41"/>
      <c r="R365" s="39"/>
      <c r="S365" s="40"/>
      <c r="T365" s="40"/>
      <c r="U365" s="40"/>
      <c r="V365" s="40"/>
      <c r="W365" s="40"/>
      <c r="X365" s="41"/>
      <c r="Y365" s="30"/>
      <c r="Z365" s="30"/>
      <c r="AA365" s="30"/>
      <c r="AB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85"/>
      <c r="L366" s="86"/>
      <c r="M366" s="127"/>
      <c r="N366" s="19"/>
      <c r="O366" s="128"/>
      <c r="P366" s="129"/>
      <c r="Q366" s="41"/>
      <c r="R366" s="39"/>
      <c r="S366" s="40"/>
      <c r="T366" s="40"/>
      <c r="U366" s="40"/>
      <c r="V366" s="40"/>
      <c r="W366" s="40"/>
      <c r="X366" s="41"/>
      <c r="Y366" s="30"/>
      <c r="Z366" s="30"/>
      <c r="AA366" s="30"/>
      <c r="AB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85"/>
      <c r="L367" s="86"/>
      <c r="M367" s="127"/>
      <c r="N367" s="19"/>
      <c r="O367" s="128"/>
      <c r="P367" s="129"/>
      <c r="Q367" s="41"/>
      <c r="R367" s="39"/>
      <c r="S367" s="40"/>
      <c r="T367" s="40"/>
      <c r="U367" s="40"/>
      <c r="V367" s="40"/>
      <c r="W367" s="40"/>
      <c r="X367" s="41"/>
      <c r="Y367" s="30"/>
      <c r="Z367" s="30"/>
      <c r="AA367" s="30"/>
      <c r="AB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85"/>
      <c r="L368" s="86"/>
      <c r="M368" s="127"/>
      <c r="N368" s="19"/>
      <c r="O368" s="128"/>
      <c r="P368" s="129"/>
      <c r="Q368" s="41"/>
      <c r="R368" s="39"/>
      <c r="S368" s="40"/>
      <c r="T368" s="40"/>
      <c r="U368" s="40"/>
      <c r="V368" s="40"/>
      <c r="W368" s="40"/>
      <c r="X368" s="41"/>
      <c r="Y368" s="30"/>
      <c r="Z368" s="30"/>
      <c r="AA368" s="30"/>
      <c r="AB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85"/>
      <c r="L369" s="86"/>
      <c r="M369" s="127"/>
      <c r="N369" s="19"/>
      <c r="O369" s="128"/>
      <c r="P369" s="129"/>
      <c r="Q369" s="41"/>
      <c r="R369" s="39"/>
      <c r="S369" s="40"/>
      <c r="T369" s="40"/>
      <c r="U369" s="40"/>
      <c r="V369" s="40"/>
      <c r="W369" s="40"/>
      <c r="X369" s="41"/>
      <c r="Y369" s="30"/>
      <c r="Z369" s="30"/>
      <c r="AA369" s="30"/>
      <c r="AB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85"/>
      <c r="L370" s="86"/>
      <c r="M370" s="127"/>
      <c r="N370" s="19"/>
      <c r="O370" s="128"/>
      <c r="P370" s="129"/>
      <c r="Q370" s="41"/>
      <c r="R370" s="39"/>
      <c r="S370" s="40"/>
      <c r="T370" s="40"/>
      <c r="U370" s="40"/>
      <c r="V370" s="40"/>
      <c r="W370" s="40"/>
      <c r="X370" s="41"/>
      <c r="Y370" s="30"/>
      <c r="Z370" s="30"/>
      <c r="AA370" s="30"/>
      <c r="AB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85"/>
      <c r="L371" s="86"/>
      <c r="M371" s="127"/>
      <c r="N371" s="19"/>
      <c r="O371" s="128"/>
      <c r="P371" s="129"/>
      <c r="Q371" s="41"/>
      <c r="R371" s="39"/>
      <c r="S371" s="40"/>
      <c r="T371" s="40"/>
      <c r="U371" s="40"/>
      <c r="V371" s="40"/>
      <c r="W371" s="40"/>
      <c r="X371" s="41"/>
      <c r="Y371" s="30"/>
      <c r="Z371" s="30"/>
      <c r="AA371" s="30"/>
      <c r="AB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85"/>
      <c r="L372" s="86"/>
      <c r="M372" s="127"/>
      <c r="N372" s="19"/>
      <c r="O372" s="128"/>
      <c r="P372" s="129"/>
      <c r="Q372" s="41"/>
      <c r="R372" s="39"/>
      <c r="S372" s="40"/>
      <c r="T372" s="40"/>
      <c r="U372" s="40"/>
      <c r="V372" s="40"/>
      <c r="W372" s="40"/>
      <c r="X372" s="41"/>
      <c r="Y372" s="30"/>
      <c r="Z372" s="30"/>
      <c r="AA372" s="30"/>
      <c r="AB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85"/>
      <c r="L373" s="86"/>
      <c r="M373" s="127"/>
      <c r="N373" s="19"/>
      <c r="O373" s="128"/>
      <c r="P373" s="129"/>
      <c r="Q373" s="41"/>
      <c r="R373" s="39"/>
      <c r="S373" s="40"/>
      <c r="T373" s="40"/>
      <c r="U373" s="40"/>
      <c r="V373" s="40"/>
      <c r="W373" s="40"/>
      <c r="X373" s="41"/>
      <c r="Y373" s="30"/>
      <c r="Z373" s="30"/>
      <c r="AA373" s="30"/>
      <c r="AB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85"/>
      <c r="L374" s="86"/>
      <c r="M374" s="127"/>
      <c r="N374" s="19"/>
      <c r="O374" s="128"/>
      <c r="P374" s="129"/>
      <c r="Q374" s="41"/>
      <c r="R374" s="39"/>
      <c r="S374" s="40"/>
      <c r="T374" s="40"/>
      <c r="U374" s="40"/>
      <c r="V374" s="40"/>
      <c r="W374" s="40"/>
      <c r="X374" s="41"/>
      <c r="Y374" s="30"/>
      <c r="Z374" s="30"/>
      <c r="AA374" s="30"/>
      <c r="AB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85"/>
      <c r="L375" s="86"/>
      <c r="M375" s="127"/>
      <c r="N375" s="19"/>
      <c r="O375" s="128"/>
      <c r="P375" s="129"/>
      <c r="Q375" s="41"/>
      <c r="R375" s="39"/>
      <c r="S375" s="40"/>
      <c r="T375" s="40"/>
      <c r="U375" s="40"/>
      <c r="V375" s="40"/>
      <c r="W375" s="40"/>
      <c r="X375" s="41"/>
      <c r="Y375" s="30"/>
      <c r="Z375" s="30"/>
      <c r="AA375" s="30"/>
      <c r="AB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85"/>
      <c r="L376" s="86"/>
      <c r="M376" s="127"/>
      <c r="N376" s="19"/>
      <c r="O376" s="128"/>
      <c r="P376" s="129"/>
      <c r="Q376" s="41"/>
      <c r="R376" s="39"/>
      <c r="S376" s="40"/>
      <c r="T376" s="40"/>
      <c r="U376" s="40"/>
      <c r="V376" s="40"/>
      <c r="W376" s="40"/>
      <c r="X376" s="41"/>
      <c r="Y376" s="30"/>
      <c r="Z376" s="30"/>
      <c r="AA376" s="30"/>
      <c r="AB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85"/>
      <c r="L377" s="86"/>
      <c r="M377" s="127"/>
      <c r="N377" s="19"/>
      <c r="O377" s="128"/>
      <c r="P377" s="129"/>
      <c r="Q377" s="41"/>
      <c r="R377" s="39"/>
      <c r="S377" s="40"/>
      <c r="T377" s="40"/>
      <c r="U377" s="40"/>
      <c r="V377" s="40"/>
      <c r="W377" s="40"/>
      <c r="X377" s="41"/>
      <c r="Y377" s="30"/>
      <c r="Z377" s="30"/>
      <c r="AA377" s="30"/>
      <c r="AB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85"/>
      <c r="L378" s="86"/>
      <c r="M378" s="127"/>
      <c r="N378" s="19"/>
      <c r="O378" s="128"/>
      <c r="P378" s="129"/>
      <c r="Q378" s="41"/>
      <c r="R378" s="39"/>
      <c r="S378" s="40"/>
      <c r="T378" s="40"/>
      <c r="U378" s="40"/>
      <c r="V378" s="40"/>
      <c r="W378" s="40"/>
      <c r="X378" s="41"/>
      <c r="Y378" s="30"/>
      <c r="Z378" s="30"/>
      <c r="AA378" s="30"/>
      <c r="AB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85"/>
      <c r="L379" s="86"/>
      <c r="M379" s="127"/>
      <c r="N379" s="19"/>
      <c r="O379" s="128"/>
      <c r="P379" s="129"/>
      <c r="Q379" s="41"/>
      <c r="R379" s="39"/>
      <c r="S379" s="40"/>
      <c r="T379" s="40"/>
      <c r="U379" s="40"/>
      <c r="V379" s="40"/>
      <c r="W379" s="40"/>
      <c r="X379" s="41"/>
      <c r="Y379" s="30"/>
      <c r="Z379" s="30"/>
      <c r="AA379" s="30"/>
      <c r="AB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85"/>
      <c r="L380" s="86"/>
      <c r="M380" s="127"/>
      <c r="N380" s="19"/>
      <c r="O380" s="128"/>
      <c r="P380" s="129"/>
      <c r="Q380" s="41"/>
      <c r="R380" s="39"/>
      <c r="S380" s="40"/>
      <c r="T380" s="40"/>
      <c r="U380" s="40"/>
      <c r="V380" s="40"/>
      <c r="W380" s="40"/>
      <c r="X380" s="41"/>
      <c r="Y380" s="30"/>
      <c r="Z380" s="30"/>
      <c r="AA380" s="30"/>
      <c r="AB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85"/>
      <c r="L381" s="86"/>
      <c r="M381" s="127"/>
      <c r="N381" s="19"/>
      <c r="O381" s="128"/>
      <c r="P381" s="129"/>
      <c r="Q381" s="41"/>
      <c r="R381" s="39"/>
      <c r="S381" s="40"/>
      <c r="T381" s="40"/>
      <c r="U381" s="40"/>
      <c r="V381" s="40"/>
      <c r="W381" s="40"/>
      <c r="X381" s="41"/>
      <c r="Y381" s="30"/>
      <c r="Z381" s="30"/>
      <c r="AA381" s="30"/>
      <c r="AB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85"/>
      <c r="L382" s="86"/>
      <c r="M382" s="127"/>
      <c r="N382" s="19"/>
      <c r="O382" s="128"/>
      <c r="P382" s="129"/>
      <c r="Q382" s="41"/>
      <c r="R382" s="39"/>
      <c r="S382" s="40"/>
      <c r="T382" s="40"/>
      <c r="U382" s="40"/>
      <c r="V382" s="40"/>
      <c r="W382" s="40"/>
      <c r="X382" s="41"/>
      <c r="Y382" s="30"/>
      <c r="Z382" s="30"/>
      <c r="AA382" s="30"/>
      <c r="AB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85"/>
      <c r="L383" s="86"/>
      <c r="M383" s="127"/>
      <c r="N383" s="19"/>
      <c r="O383" s="128"/>
      <c r="P383" s="129"/>
      <c r="Q383" s="41"/>
      <c r="R383" s="39"/>
      <c r="S383" s="40"/>
      <c r="T383" s="40"/>
      <c r="U383" s="40"/>
      <c r="V383" s="40"/>
      <c r="W383" s="40"/>
      <c r="X383" s="41"/>
      <c r="Y383" s="30"/>
      <c r="Z383" s="30"/>
      <c r="AA383" s="30"/>
      <c r="AB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85"/>
      <c r="L384" s="86"/>
      <c r="M384" s="127"/>
      <c r="N384" s="19"/>
      <c r="O384" s="128"/>
      <c r="P384" s="129"/>
      <c r="Q384" s="41"/>
      <c r="R384" s="39"/>
      <c r="S384" s="40"/>
      <c r="T384" s="40"/>
      <c r="U384" s="40"/>
      <c r="V384" s="40"/>
      <c r="W384" s="40"/>
      <c r="X384" s="41"/>
      <c r="Y384" s="30"/>
      <c r="Z384" s="30"/>
      <c r="AA384" s="30"/>
      <c r="AB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85"/>
      <c r="L385" s="86"/>
      <c r="M385" s="127"/>
      <c r="N385" s="19"/>
      <c r="O385" s="128"/>
      <c r="P385" s="129"/>
      <c r="Q385" s="41"/>
      <c r="R385" s="39"/>
      <c r="S385" s="40"/>
      <c r="T385" s="40"/>
      <c r="U385" s="40"/>
      <c r="V385" s="40"/>
      <c r="W385" s="40"/>
      <c r="X385" s="41"/>
      <c r="Y385" s="30"/>
      <c r="Z385" s="30"/>
      <c r="AA385" s="30"/>
      <c r="AB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85"/>
      <c r="L386" s="86"/>
      <c r="M386" s="127"/>
      <c r="N386" s="19"/>
      <c r="O386" s="128"/>
      <c r="P386" s="129"/>
      <c r="Q386" s="41"/>
      <c r="R386" s="39"/>
      <c r="S386" s="40"/>
      <c r="T386" s="40"/>
      <c r="U386" s="40"/>
      <c r="V386" s="40"/>
      <c r="W386" s="40"/>
      <c r="X386" s="41"/>
      <c r="Y386" s="30"/>
      <c r="Z386" s="30"/>
      <c r="AA386" s="30"/>
      <c r="AB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85"/>
      <c r="L387" s="86"/>
      <c r="M387" s="127"/>
      <c r="N387" s="19"/>
      <c r="O387" s="128"/>
      <c r="P387" s="129"/>
      <c r="Q387" s="41"/>
      <c r="R387" s="39"/>
      <c r="S387" s="40"/>
      <c r="T387" s="40"/>
      <c r="U387" s="40"/>
      <c r="V387" s="40"/>
      <c r="W387" s="40"/>
      <c r="X387" s="41"/>
      <c r="Y387" s="30"/>
      <c r="Z387" s="30"/>
      <c r="AA387" s="30"/>
      <c r="AB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85"/>
      <c r="L388" s="86"/>
      <c r="M388" s="127"/>
      <c r="N388" s="19"/>
      <c r="O388" s="128"/>
      <c r="P388" s="129"/>
      <c r="Q388" s="41"/>
      <c r="R388" s="39"/>
      <c r="S388" s="40"/>
      <c r="T388" s="40"/>
      <c r="U388" s="40"/>
      <c r="V388" s="40"/>
      <c r="W388" s="40"/>
      <c r="X388" s="41"/>
      <c r="Y388" s="30"/>
      <c r="Z388" s="30"/>
      <c r="AA388" s="30"/>
      <c r="AB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85"/>
      <c r="L389" s="86"/>
      <c r="M389" s="127"/>
      <c r="N389" s="19"/>
      <c r="O389" s="128"/>
      <c r="P389" s="129"/>
      <c r="Q389" s="41"/>
      <c r="R389" s="39"/>
      <c r="S389" s="40"/>
      <c r="T389" s="40"/>
      <c r="U389" s="40"/>
      <c r="V389" s="40"/>
      <c r="W389" s="40"/>
      <c r="X389" s="41"/>
      <c r="Y389" s="30"/>
      <c r="Z389" s="30"/>
      <c r="AA389" s="30"/>
      <c r="AB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85"/>
      <c r="L390" s="86"/>
      <c r="M390" s="127"/>
      <c r="N390" s="19"/>
      <c r="O390" s="128"/>
      <c r="P390" s="129"/>
      <c r="Q390" s="41"/>
      <c r="R390" s="39"/>
      <c r="S390" s="40"/>
      <c r="T390" s="40"/>
      <c r="U390" s="40"/>
      <c r="V390" s="40"/>
      <c r="W390" s="40"/>
      <c r="X390" s="41"/>
      <c r="Y390" s="30"/>
      <c r="Z390" s="30"/>
      <c r="AA390" s="30"/>
      <c r="AB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85"/>
      <c r="L391" s="86"/>
      <c r="M391" s="127"/>
      <c r="N391" s="19"/>
      <c r="O391" s="128"/>
      <c r="P391" s="129"/>
      <c r="Q391" s="41"/>
      <c r="R391" s="39"/>
      <c r="S391" s="40"/>
      <c r="T391" s="40"/>
      <c r="U391" s="40"/>
      <c r="V391" s="40"/>
      <c r="W391" s="40"/>
      <c r="X391" s="41"/>
      <c r="Y391" s="30"/>
      <c r="Z391" s="30"/>
      <c r="AA391" s="30"/>
      <c r="AB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85"/>
      <c r="L392" s="86"/>
      <c r="M392" s="127"/>
      <c r="N392" s="19"/>
      <c r="O392" s="128"/>
      <c r="P392" s="129"/>
      <c r="Q392" s="41"/>
      <c r="R392" s="39"/>
      <c r="S392" s="40"/>
      <c r="T392" s="40"/>
      <c r="U392" s="40"/>
      <c r="V392" s="40"/>
      <c r="W392" s="40"/>
      <c r="X392" s="41"/>
      <c r="Y392" s="30"/>
      <c r="Z392" s="30"/>
      <c r="AA392" s="30"/>
      <c r="AB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85"/>
      <c r="L393" s="86"/>
      <c r="M393" s="127"/>
      <c r="N393" s="19"/>
      <c r="O393" s="128"/>
      <c r="P393" s="129"/>
      <c r="Q393" s="41"/>
      <c r="R393" s="39"/>
      <c r="S393" s="40"/>
      <c r="T393" s="40"/>
      <c r="U393" s="40"/>
      <c r="V393" s="40"/>
      <c r="W393" s="40"/>
      <c r="X393" s="41"/>
      <c r="Y393" s="30"/>
      <c r="Z393" s="30"/>
      <c r="AA393" s="30"/>
      <c r="AB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85"/>
      <c r="L394" s="86"/>
      <c r="M394" s="127"/>
      <c r="N394" s="19"/>
      <c r="O394" s="128"/>
      <c r="P394" s="129"/>
      <c r="Q394" s="41"/>
      <c r="R394" s="39"/>
      <c r="S394" s="40"/>
      <c r="T394" s="40"/>
      <c r="U394" s="40"/>
      <c r="V394" s="40"/>
      <c r="W394" s="40"/>
      <c r="X394" s="41"/>
      <c r="Y394" s="30"/>
      <c r="Z394" s="30"/>
      <c r="AA394" s="30"/>
      <c r="AB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85"/>
      <c r="L395" s="86"/>
      <c r="M395" s="127"/>
      <c r="N395" s="19"/>
      <c r="O395" s="128"/>
      <c r="P395" s="129"/>
      <c r="Q395" s="41"/>
      <c r="R395" s="39"/>
      <c r="S395" s="40"/>
      <c r="T395" s="40"/>
      <c r="U395" s="40"/>
      <c r="V395" s="40"/>
      <c r="W395" s="40"/>
      <c r="X395" s="41"/>
      <c r="Y395" s="30"/>
      <c r="Z395" s="30"/>
      <c r="AA395" s="30"/>
      <c r="AB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85"/>
      <c r="L396" s="86"/>
      <c r="M396" s="127"/>
      <c r="N396" s="19"/>
      <c r="O396" s="128"/>
      <c r="P396" s="129"/>
      <c r="Q396" s="41"/>
      <c r="R396" s="39"/>
      <c r="S396" s="40"/>
      <c r="T396" s="40"/>
      <c r="U396" s="40"/>
      <c r="V396" s="40"/>
      <c r="W396" s="40"/>
      <c r="X396" s="41"/>
      <c r="Y396" s="30"/>
      <c r="Z396" s="30"/>
      <c r="AA396" s="30"/>
      <c r="AB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85"/>
      <c r="L397" s="86"/>
      <c r="M397" s="127"/>
      <c r="N397" s="19"/>
      <c r="O397" s="128"/>
      <c r="P397" s="129"/>
      <c r="Q397" s="41"/>
      <c r="R397" s="39"/>
      <c r="S397" s="40"/>
      <c r="T397" s="40"/>
      <c r="U397" s="40"/>
      <c r="V397" s="40"/>
      <c r="W397" s="40"/>
      <c r="X397" s="41"/>
      <c r="Y397" s="30"/>
      <c r="Z397" s="30"/>
      <c r="AA397" s="30"/>
      <c r="AB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85"/>
      <c r="L398" s="86"/>
      <c r="M398" s="127"/>
      <c r="N398" s="19"/>
      <c r="O398" s="128"/>
      <c r="P398" s="129"/>
      <c r="Q398" s="41"/>
      <c r="R398" s="39"/>
      <c r="S398" s="40"/>
      <c r="T398" s="40"/>
      <c r="U398" s="40"/>
      <c r="V398" s="40"/>
      <c r="W398" s="40"/>
      <c r="X398" s="41"/>
      <c r="Y398" s="30"/>
      <c r="Z398" s="30"/>
      <c r="AA398" s="30"/>
      <c r="AB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85"/>
      <c r="L399" s="86"/>
      <c r="M399" s="127"/>
      <c r="N399" s="19"/>
      <c r="O399" s="128"/>
      <c r="P399" s="129"/>
      <c r="Q399" s="41"/>
      <c r="R399" s="39"/>
      <c r="S399" s="40"/>
      <c r="T399" s="40"/>
      <c r="U399" s="40"/>
      <c r="V399" s="40"/>
      <c r="W399" s="40"/>
      <c r="X399" s="41"/>
      <c r="Y399" s="30"/>
      <c r="Z399" s="30"/>
      <c r="AA399" s="30"/>
      <c r="AB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85"/>
      <c r="L400" s="86"/>
      <c r="M400" s="127"/>
      <c r="N400" s="19"/>
      <c r="O400" s="128"/>
      <c r="P400" s="129"/>
      <c r="Q400" s="41"/>
      <c r="R400" s="39"/>
      <c r="S400" s="40"/>
      <c r="T400" s="40"/>
      <c r="U400" s="40"/>
      <c r="V400" s="40"/>
      <c r="W400" s="40"/>
      <c r="X400" s="41"/>
      <c r="Y400" s="30"/>
      <c r="Z400" s="30"/>
      <c r="AA400" s="30"/>
      <c r="AB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85"/>
      <c r="L401" s="86"/>
      <c r="M401" s="127"/>
      <c r="N401" s="19"/>
      <c r="O401" s="128"/>
      <c r="P401" s="129"/>
      <c r="Q401" s="41"/>
      <c r="R401" s="39"/>
      <c r="S401" s="40"/>
      <c r="T401" s="40"/>
      <c r="U401" s="40"/>
      <c r="V401" s="40"/>
      <c r="W401" s="40"/>
      <c r="X401" s="41"/>
      <c r="Y401" s="30"/>
      <c r="Z401" s="30"/>
      <c r="AA401" s="30"/>
      <c r="AB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85"/>
      <c r="L402" s="86"/>
      <c r="M402" s="127"/>
      <c r="N402" s="19"/>
      <c r="O402" s="128"/>
      <c r="P402" s="129"/>
      <c r="Q402" s="41"/>
      <c r="R402" s="39"/>
      <c r="S402" s="40"/>
      <c r="T402" s="40"/>
      <c r="U402" s="40"/>
      <c r="V402" s="40"/>
      <c r="W402" s="40"/>
      <c r="X402" s="41"/>
      <c r="Y402" s="30"/>
      <c r="Z402" s="30"/>
      <c r="AA402" s="30"/>
      <c r="AB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85"/>
      <c r="L403" s="86"/>
      <c r="M403" s="127"/>
      <c r="N403" s="19"/>
      <c r="O403" s="128"/>
      <c r="P403" s="129"/>
      <c r="Q403" s="41"/>
      <c r="R403" s="39"/>
      <c r="S403" s="40"/>
      <c r="T403" s="40"/>
      <c r="U403" s="40"/>
      <c r="V403" s="40"/>
      <c r="W403" s="40"/>
      <c r="X403" s="41"/>
      <c r="Y403" s="30"/>
      <c r="Z403" s="30"/>
      <c r="AA403" s="30"/>
      <c r="AB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85"/>
      <c r="L404" s="86"/>
      <c r="M404" s="127"/>
      <c r="N404" s="19"/>
      <c r="O404" s="128"/>
      <c r="P404" s="129"/>
      <c r="Q404" s="41"/>
      <c r="R404" s="39"/>
      <c r="S404" s="40"/>
      <c r="T404" s="40"/>
      <c r="U404" s="40"/>
      <c r="V404" s="40"/>
      <c r="W404" s="40"/>
      <c r="X404" s="41"/>
      <c r="Y404" s="30"/>
      <c r="Z404" s="30"/>
      <c r="AA404" s="30"/>
      <c r="AB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85"/>
      <c r="L405" s="86"/>
      <c r="M405" s="127"/>
      <c r="N405" s="19"/>
      <c r="O405" s="128"/>
      <c r="P405" s="129"/>
      <c r="Q405" s="41"/>
      <c r="R405" s="39"/>
      <c r="S405" s="40"/>
      <c r="T405" s="40"/>
      <c r="U405" s="40"/>
      <c r="V405" s="40"/>
      <c r="W405" s="40"/>
      <c r="X405" s="41"/>
      <c r="Y405" s="30"/>
      <c r="Z405" s="30"/>
      <c r="AA405" s="30"/>
      <c r="AB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85"/>
      <c r="L406" s="86"/>
      <c r="M406" s="127"/>
      <c r="N406" s="19"/>
      <c r="O406" s="128"/>
      <c r="P406" s="129"/>
      <c r="Q406" s="41"/>
      <c r="R406" s="39"/>
      <c r="S406" s="40"/>
      <c r="T406" s="40"/>
      <c r="U406" s="40"/>
      <c r="V406" s="40"/>
      <c r="W406" s="40"/>
      <c r="X406" s="41"/>
      <c r="Y406" s="30"/>
      <c r="Z406" s="30"/>
      <c r="AA406" s="30"/>
      <c r="AB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85"/>
      <c r="L407" s="86"/>
      <c r="M407" s="127"/>
      <c r="N407" s="19"/>
      <c r="O407" s="128"/>
      <c r="P407" s="129"/>
      <c r="Q407" s="41"/>
      <c r="R407" s="39"/>
      <c r="S407" s="40"/>
      <c r="T407" s="40"/>
      <c r="U407" s="40"/>
      <c r="V407" s="40"/>
      <c r="W407" s="40"/>
      <c r="X407" s="41"/>
      <c r="Y407" s="30"/>
      <c r="Z407" s="30"/>
      <c r="AA407" s="30"/>
      <c r="AB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85"/>
      <c r="L408" s="86"/>
      <c r="M408" s="127"/>
      <c r="N408" s="19"/>
      <c r="O408" s="128"/>
      <c r="P408" s="129"/>
      <c r="Q408" s="41"/>
      <c r="R408" s="39"/>
      <c r="S408" s="40"/>
      <c r="T408" s="40"/>
      <c r="U408" s="40"/>
      <c r="V408" s="40"/>
      <c r="W408" s="40"/>
      <c r="X408" s="41"/>
      <c r="Y408" s="30"/>
      <c r="Z408" s="30"/>
      <c r="AA408" s="30"/>
      <c r="AB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85"/>
      <c r="L409" s="86"/>
      <c r="M409" s="127"/>
      <c r="N409" s="19"/>
      <c r="O409" s="128"/>
      <c r="P409" s="129"/>
      <c r="Q409" s="41"/>
      <c r="R409" s="39"/>
      <c r="S409" s="40"/>
      <c r="T409" s="40"/>
      <c r="U409" s="40"/>
      <c r="V409" s="40"/>
      <c r="W409" s="40"/>
      <c r="X409" s="41"/>
      <c r="Y409" s="30"/>
      <c r="Z409" s="30"/>
      <c r="AA409" s="30"/>
      <c r="AB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85"/>
      <c r="L410" s="86"/>
      <c r="M410" s="127"/>
      <c r="N410" s="19"/>
      <c r="O410" s="128"/>
      <c r="P410" s="129"/>
      <c r="Q410" s="41"/>
      <c r="R410" s="39"/>
      <c r="S410" s="40"/>
      <c r="T410" s="40"/>
      <c r="U410" s="40"/>
      <c r="V410" s="40"/>
      <c r="W410" s="40"/>
      <c r="X410" s="41"/>
      <c r="Y410" s="30"/>
      <c r="Z410" s="30"/>
      <c r="AA410" s="30"/>
      <c r="AB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85"/>
      <c r="L411" s="86"/>
      <c r="M411" s="127"/>
      <c r="N411" s="19"/>
      <c r="O411" s="128"/>
      <c r="P411" s="129"/>
      <c r="Q411" s="41"/>
      <c r="R411" s="39"/>
      <c r="S411" s="40"/>
      <c r="T411" s="40"/>
      <c r="U411" s="40"/>
      <c r="V411" s="40"/>
      <c r="W411" s="40"/>
      <c r="X411" s="41"/>
      <c r="Y411" s="30"/>
      <c r="Z411" s="30"/>
      <c r="AA411" s="30"/>
      <c r="AB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85"/>
      <c r="L412" s="86"/>
      <c r="M412" s="127"/>
      <c r="N412" s="19"/>
      <c r="O412" s="128"/>
      <c r="P412" s="129"/>
      <c r="Q412" s="41"/>
      <c r="R412" s="39"/>
      <c r="S412" s="40"/>
      <c r="T412" s="40"/>
      <c r="U412" s="40"/>
      <c r="V412" s="40"/>
      <c r="W412" s="40"/>
      <c r="X412" s="41"/>
      <c r="Y412" s="30"/>
      <c r="Z412" s="30"/>
      <c r="AA412" s="30"/>
      <c r="AB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85"/>
      <c r="L413" s="86"/>
      <c r="M413" s="127"/>
      <c r="N413" s="19"/>
      <c r="O413" s="128"/>
      <c r="P413" s="129"/>
      <c r="Q413" s="41"/>
      <c r="R413" s="39"/>
      <c r="S413" s="40"/>
      <c r="T413" s="40"/>
      <c r="U413" s="40"/>
      <c r="V413" s="40"/>
      <c r="W413" s="40"/>
      <c r="X413" s="41"/>
      <c r="Y413" s="30"/>
      <c r="Z413" s="30"/>
      <c r="AA413" s="30"/>
      <c r="AB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85"/>
      <c r="L414" s="86"/>
      <c r="M414" s="127"/>
      <c r="N414" s="19"/>
      <c r="O414" s="131"/>
      <c r="P414" s="132"/>
      <c r="Q414" s="30"/>
      <c r="R414" s="39"/>
      <c r="S414" s="40"/>
      <c r="T414" s="40"/>
      <c r="U414" s="40"/>
      <c r="V414" s="40"/>
      <c r="W414" s="40"/>
      <c r="X414" s="41"/>
      <c r="Y414" s="30"/>
      <c r="Z414" s="30"/>
      <c r="AA414" s="30"/>
      <c r="AB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85"/>
      <c r="L415" s="86"/>
      <c r="M415" s="127"/>
      <c r="N415" s="19"/>
      <c r="O415" s="131"/>
      <c r="P415" s="128"/>
      <c r="Q415" s="30"/>
      <c r="R415" s="39"/>
      <c r="S415" s="40"/>
      <c r="T415" s="40"/>
      <c r="U415" s="40"/>
      <c r="V415" s="40"/>
      <c r="W415" s="40"/>
      <c r="X415" s="41"/>
      <c r="Y415" s="30"/>
      <c r="Z415" s="30"/>
      <c r="AA415" s="30"/>
      <c r="AB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85"/>
      <c r="L416" s="86"/>
      <c r="M416" s="127"/>
      <c r="N416" s="19"/>
      <c r="O416" s="131"/>
      <c r="P416" s="128"/>
      <c r="Q416" s="30"/>
      <c r="R416" s="39"/>
      <c r="S416" s="40"/>
      <c r="T416" s="40"/>
      <c r="U416" s="40"/>
      <c r="V416" s="40"/>
      <c r="W416" s="40"/>
      <c r="X416" s="41"/>
      <c r="Y416" s="30"/>
      <c r="Z416" s="30"/>
      <c r="AA416" s="30"/>
      <c r="AB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85"/>
      <c r="L417" s="86"/>
      <c r="M417" s="127"/>
      <c r="N417" s="19"/>
      <c r="O417" s="131"/>
      <c r="P417" s="128"/>
      <c r="Q417" s="30"/>
      <c r="R417" s="39"/>
      <c r="S417" s="40"/>
      <c r="T417" s="40"/>
      <c r="U417" s="40"/>
      <c r="V417" s="40"/>
      <c r="W417" s="40"/>
      <c r="X417" s="41"/>
      <c r="Y417" s="30"/>
      <c r="Z417" s="30"/>
      <c r="AA417" s="30"/>
      <c r="AB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4"/>
      <c r="M418" s="135"/>
      <c r="N418" s="19"/>
      <c r="O418" s="131"/>
      <c r="P418" s="128"/>
      <c r="Q418" s="30"/>
      <c r="R418" s="39"/>
      <c r="S418" s="40"/>
      <c r="T418" s="40"/>
      <c r="U418" s="40"/>
      <c r="V418" s="40"/>
      <c r="W418" s="40"/>
      <c r="X418" s="41"/>
      <c r="Y418" s="30"/>
      <c r="Z418" s="30"/>
      <c r="AA418" s="30"/>
      <c r="AB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85"/>
      <c r="M419" s="135"/>
      <c r="N419" s="19"/>
      <c r="O419" s="131"/>
      <c r="P419" s="128"/>
      <c r="Q419" s="30"/>
      <c r="R419" s="39"/>
      <c r="S419" s="40"/>
      <c r="T419" s="40"/>
      <c r="U419" s="40"/>
      <c r="V419" s="40"/>
      <c r="W419" s="40"/>
      <c r="X419" s="41"/>
      <c r="Y419" s="30"/>
      <c r="Z419" s="30"/>
      <c r="AA419" s="30"/>
      <c r="AB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85"/>
      <c r="M420" s="135"/>
      <c r="N420" s="19"/>
      <c r="O420" s="131"/>
      <c r="P420" s="128"/>
      <c r="Q420" s="30"/>
      <c r="R420" s="39"/>
      <c r="S420" s="40"/>
      <c r="T420" s="40"/>
      <c r="U420" s="40"/>
      <c r="V420" s="40"/>
      <c r="W420" s="40"/>
      <c r="X420" s="41"/>
      <c r="Y420" s="30"/>
      <c r="Z420" s="30"/>
      <c r="AA420" s="30"/>
      <c r="AB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85"/>
      <c r="M421" s="135"/>
      <c r="N421" s="19"/>
      <c r="O421" s="131"/>
      <c r="P421" s="128"/>
      <c r="Q421" s="30"/>
      <c r="R421" s="39"/>
      <c r="S421" s="40"/>
      <c r="T421" s="40"/>
      <c r="U421" s="40"/>
      <c r="V421" s="40"/>
      <c r="W421" s="40"/>
      <c r="X421" s="41"/>
      <c r="Y421" s="30"/>
      <c r="Z421" s="30"/>
      <c r="AA421" s="30"/>
      <c r="AB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85"/>
      <c r="M422" s="135"/>
      <c r="N422" s="19"/>
      <c r="O422" s="131"/>
      <c r="P422" s="128"/>
      <c r="Q422" s="30"/>
      <c r="R422" s="39"/>
      <c r="S422" s="40"/>
      <c r="T422" s="40"/>
      <c r="U422" s="40"/>
      <c r="V422" s="40"/>
      <c r="W422" s="40"/>
      <c r="X422" s="41"/>
      <c r="Y422" s="30"/>
      <c r="Z422" s="30"/>
      <c r="AA422" s="30"/>
      <c r="AB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85"/>
      <c r="M423" s="135"/>
      <c r="N423" s="19"/>
      <c r="O423" s="131"/>
      <c r="P423" s="128"/>
      <c r="Q423" s="30"/>
      <c r="R423" s="39"/>
      <c r="S423" s="40"/>
      <c r="T423" s="40"/>
      <c r="U423" s="40"/>
      <c r="V423" s="40"/>
      <c r="W423" s="40"/>
      <c r="X423" s="41"/>
      <c r="Y423" s="30"/>
      <c r="Z423" s="30"/>
      <c r="AA423" s="30"/>
      <c r="AB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85"/>
      <c r="M424" s="135"/>
      <c r="N424" s="19"/>
      <c r="O424" s="131"/>
      <c r="P424" s="128"/>
      <c r="Q424" s="30"/>
      <c r="R424" s="39"/>
      <c r="S424" s="40"/>
      <c r="T424" s="40"/>
      <c r="U424" s="40"/>
      <c r="V424" s="40"/>
      <c r="W424" s="40"/>
      <c r="X424" s="41"/>
      <c r="Y424" s="30"/>
      <c r="Z424" s="30"/>
      <c r="AA424" s="30"/>
      <c r="AB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85"/>
      <c r="M425" s="135"/>
      <c r="N425" s="19"/>
      <c r="O425" s="131"/>
      <c r="P425" s="128"/>
      <c r="Q425" s="30"/>
      <c r="R425" s="39"/>
      <c r="S425" s="40"/>
      <c r="T425" s="40"/>
      <c r="U425" s="40"/>
      <c r="V425" s="40"/>
      <c r="W425" s="40"/>
      <c r="X425" s="41"/>
      <c r="Y425" s="30"/>
      <c r="Z425" s="30"/>
      <c r="AA425" s="30"/>
      <c r="AB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85"/>
      <c r="M426" s="135"/>
      <c r="N426" s="19"/>
      <c r="O426" s="131"/>
      <c r="P426" s="128"/>
      <c r="Q426" s="30"/>
      <c r="R426" s="39"/>
      <c r="S426" s="40"/>
      <c r="T426" s="40"/>
      <c r="U426" s="40"/>
      <c r="V426" s="40"/>
      <c r="W426" s="40"/>
      <c r="X426" s="41"/>
      <c r="Y426" s="30"/>
      <c r="Z426" s="30"/>
      <c r="AA426" s="30"/>
      <c r="AB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85"/>
      <c r="M427" s="135"/>
      <c r="N427" s="19"/>
      <c r="O427" s="131"/>
      <c r="P427" s="128"/>
      <c r="Q427" s="30"/>
      <c r="R427" s="39"/>
      <c r="S427" s="40"/>
      <c r="T427" s="40"/>
      <c r="U427" s="40"/>
      <c r="V427" s="40"/>
      <c r="W427" s="40"/>
      <c r="X427" s="41"/>
      <c r="Y427" s="30"/>
      <c r="Z427" s="30"/>
      <c r="AA427" s="30"/>
      <c r="AB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85"/>
      <c r="M428" s="135"/>
      <c r="N428" s="19"/>
      <c r="O428" s="131"/>
      <c r="P428" s="128"/>
      <c r="Q428" s="30"/>
      <c r="R428" s="39"/>
      <c r="S428" s="40"/>
      <c r="T428" s="40"/>
      <c r="U428" s="40"/>
      <c r="V428" s="40"/>
      <c r="W428" s="40"/>
      <c r="X428" s="41"/>
      <c r="Y428" s="30"/>
      <c r="Z428" s="30"/>
      <c r="AA428" s="30"/>
      <c r="AB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85"/>
      <c r="M429" s="135"/>
      <c r="N429" s="19"/>
      <c r="O429" s="131"/>
      <c r="P429" s="128"/>
      <c r="Q429" s="30"/>
      <c r="R429" s="39"/>
      <c r="S429" s="40"/>
      <c r="T429" s="40"/>
      <c r="U429" s="40"/>
      <c r="V429" s="40"/>
      <c r="W429" s="40"/>
      <c r="X429" s="41"/>
      <c r="Y429" s="30"/>
      <c r="Z429" s="30"/>
      <c r="AA429" s="30"/>
      <c r="AB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85"/>
      <c r="M430" s="135"/>
      <c r="N430" s="19"/>
      <c r="O430" s="131"/>
      <c r="P430" s="128"/>
      <c r="Q430" s="30"/>
      <c r="R430" s="39"/>
      <c r="S430" s="40"/>
      <c r="T430" s="40"/>
      <c r="U430" s="40"/>
      <c r="V430" s="40"/>
      <c r="W430" s="40"/>
      <c r="X430" s="41"/>
      <c r="Y430" s="30"/>
      <c r="Z430" s="30"/>
      <c r="AA430" s="30"/>
      <c r="AB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85"/>
      <c r="M431" s="135"/>
      <c r="N431" s="19"/>
      <c r="O431" s="131"/>
      <c r="P431" s="128"/>
      <c r="Q431" s="30"/>
      <c r="R431" s="39"/>
      <c r="S431" s="40"/>
      <c r="T431" s="40"/>
      <c r="U431" s="40"/>
      <c r="V431" s="40"/>
      <c r="W431" s="40"/>
      <c r="X431" s="41"/>
      <c r="Y431" s="30"/>
      <c r="Z431" s="30"/>
      <c r="AA431" s="30"/>
      <c r="AB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85"/>
      <c r="M432" s="135"/>
      <c r="N432" s="19"/>
      <c r="O432" s="131"/>
      <c r="P432" s="128"/>
      <c r="Q432" s="30"/>
      <c r="R432" s="39"/>
      <c r="S432" s="40"/>
      <c r="T432" s="40"/>
      <c r="U432" s="40"/>
      <c r="V432" s="40"/>
      <c r="W432" s="40"/>
      <c r="X432" s="41"/>
      <c r="Y432" s="30"/>
      <c r="Z432" s="30"/>
      <c r="AA432" s="30"/>
      <c r="AB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85"/>
      <c r="M433" s="135"/>
      <c r="N433" s="19"/>
      <c r="O433" s="131"/>
      <c r="P433" s="128"/>
      <c r="Q433" s="30"/>
      <c r="R433" s="39"/>
      <c r="S433" s="40"/>
      <c r="T433" s="40"/>
      <c r="U433" s="40"/>
      <c r="V433" s="40"/>
      <c r="W433" s="40"/>
      <c r="X433" s="41"/>
      <c r="Y433" s="30"/>
      <c r="Z433" s="30"/>
      <c r="AA433" s="30"/>
      <c r="AB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85"/>
      <c r="M434" s="135"/>
      <c r="N434" s="19"/>
      <c r="O434" s="131"/>
      <c r="P434" s="128"/>
      <c r="Q434" s="30"/>
      <c r="R434" s="39"/>
      <c r="S434" s="40"/>
      <c r="T434" s="40"/>
      <c r="U434" s="40"/>
      <c r="V434" s="40"/>
      <c r="W434" s="40"/>
      <c r="X434" s="41"/>
      <c r="Y434" s="30"/>
      <c r="Z434" s="30"/>
      <c r="AA434" s="30"/>
      <c r="AB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85"/>
      <c r="M435" s="135"/>
      <c r="N435" s="19"/>
      <c r="O435" s="131"/>
      <c r="P435" s="128"/>
      <c r="Q435" s="30"/>
      <c r="R435" s="39"/>
      <c r="S435" s="40"/>
      <c r="T435" s="40"/>
      <c r="U435" s="40"/>
      <c r="V435" s="40"/>
      <c r="W435" s="40"/>
      <c r="X435" s="41"/>
      <c r="Y435" s="30"/>
      <c r="Z435" s="30"/>
      <c r="AA435" s="30"/>
      <c r="AB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85"/>
      <c r="M436" s="135"/>
      <c r="N436" s="19"/>
      <c r="O436" s="131"/>
      <c r="P436" s="128"/>
      <c r="Q436" s="30"/>
      <c r="R436" s="39"/>
      <c r="S436" s="40"/>
      <c r="T436" s="40"/>
      <c r="U436" s="40"/>
      <c r="V436" s="40"/>
      <c r="W436" s="40"/>
      <c r="X436" s="41"/>
      <c r="Y436" s="30"/>
      <c r="Z436" s="30"/>
      <c r="AA436" s="30"/>
      <c r="AB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85"/>
      <c r="M437" s="135"/>
      <c r="N437" s="19"/>
      <c r="O437" s="131"/>
      <c r="P437" s="128"/>
      <c r="Q437" s="30"/>
      <c r="R437" s="39"/>
      <c r="S437" s="40"/>
      <c r="T437" s="40"/>
      <c r="U437" s="40"/>
      <c r="V437" s="40"/>
      <c r="W437" s="40"/>
      <c r="X437" s="41"/>
      <c r="Y437" s="30"/>
      <c r="Z437" s="30"/>
      <c r="AA437" s="30"/>
      <c r="AB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85"/>
      <c r="M438" s="135"/>
      <c r="N438" s="19"/>
      <c r="O438" s="131"/>
      <c r="P438" s="128"/>
      <c r="Q438" s="30"/>
      <c r="R438" s="39"/>
      <c r="S438" s="40"/>
      <c r="T438" s="40"/>
      <c r="U438" s="40"/>
      <c r="V438" s="40"/>
      <c r="W438" s="40"/>
      <c r="X438" s="41"/>
      <c r="Y438" s="30"/>
      <c r="Z438" s="30"/>
      <c r="AA438" s="30"/>
      <c r="AB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85"/>
      <c r="M439" s="135"/>
      <c r="N439" s="19"/>
      <c r="O439" s="131"/>
      <c r="P439" s="128"/>
      <c r="Q439" s="30"/>
      <c r="R439" s="39"/>
      <c r="S439" s="40"/>
      <c r="T439" s="40"/>
      <c r="U439" s="40"/>
      <c r="V439" s="40"/>
      <c r="W439" s="40"/>
      <c r="X439" s="41"/>
      <c r="Y439" s="30"/>
      <c r="Z439" s="30"/>
      <c r="AA439" s="30"/>
      <c r="AB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85"/>
      <c r="M440" s="135"/>
      <c r="N440" s="19"/>
      <c r="O440" s="131"/>
      <c r="P440" s="128"/>
      <c r="Q440" s="30"/>
      <c r="R440" s="39"/>
      <c r="S440" s="40"/>
      <c r="T440" s="40"/>
      <c r="U440" s="40"/>
      <c r="V440" s="40"/>
      <c r="W440" s="40"/>
      <c r="X440" s="41"/>
      <c r="Y440" s="30"/>
      <c r="Z440" s="30"/>
      <c r="AA440" s="30"/>
      <c r="AB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85"/>
      <c r="M441" s="135"/>
      <c r="N441" s="19"/>
      <c r="O441" s="131"/>
      <c r="P441" s="128"/>
      <c r="Q441" s="30"/>
      <c r="R441" s="39"/>
      <c r="S441" s="40"/>
      <c r="T441" s="40"/>
      <c r="U441" s="40"/>
      <c r="V441" s="40"/>
      <c r="W441" s="40"/>
      <c r="X441" s="41"/>
      <c r="Y441" s="30"/>
      <c r="Z441" s="30"/>
      <c r="AA441" s="30"/>
      <c r="AB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85"/>
      <c r="M442" s="135"/>
      <c r="N442" s="19"/>
      <c r="O442" s="131"/>
      <c r="P442" s="128"/>
      <c r="Q442" s="30"/>
      <c r="R442" s="39"/>
      <c r="S442" s="40"/>
      <c r="T442" s="40"/>
      <c r="U442" s="40"/>
      <c r="V442" s="40"/>
      <c r="W442" s="40"/>
      <c r="X442" s="41"/>
      <c r="Y442" s="30"/>
      <c r="Z442" s="30"/>
      <c r="AA442" s="30"/>
      <c r="AB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85"/>
      <c r="M443" s="135"/>
      <c r="N443" s="19"/>
      <c r="O443" s="131"/>
      <c r="P443" s="128"/>
      <c r="Q443" s="30"/>
      <c r="R443" s="39"/>
      <c r="S443" s="40"/>
      <c r="T443" s="40"/>
      <c r="U443" s="40"/>
      <c r="V443" s="40"/>
      <c r="W443" s="40"/>
      <c r="X443" s="41"/>
      <c r="Y443" s="30"/>
      <c r="Z443" s="30"/>
      <c r="AA443" s="30"/>
      <c r="AB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85"/>
      <c r="M444" s="135"/>
      <c r="N444" s="19"/>
      <c r="O444" s="131"/>
      <c r="P444" s="128"/>
      <c r="Q444" s="30"/>
      <c r="R444" s="39"/>
      <c r="S444" s="40"/>
      <c r="T444" s="40"/>
      <c r="U444" s="40"/>
      <c r="V444" s="40"/>
      <c r="W444" s="40"/>
      <c r="X444" s="41"/>
      <c r="Y444" s="30"/>
      <c r="Z444" s="30"/>
      <c r="AA444" s="30"/>
      <c r="AB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85"/>
      <c r="M445" s="135"/>
      <c r="N445" s="19"/>
      <c r="O445" s="131"/>
      <c r="P445" s="128"/>
      <c r="Q445" s="30"/>
      <c r="R445" s="39"/>
      <c r="S445" s="40"/>
      <c r="T445" s="40"/>
      <c r="U445" s="40"/>
      <c r="V445" s="40"/>
      <c r="W445" s="40"/>
      <c r="X445" s="41"/>
      <c r="Y445" s="30"/>
      <c r="Z445" s="30"/>
      <c r="AA445" s="30"/>
      <c r="AB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85"/>
      <c r="M446" s="135"/>
      <c r="N446" s="19"/>
      <c r="O446" s="131"/>
      <c r="P446" s="128"/>
      <c r="Q446" s="30"/>
      <c r="R446" s="39"/>
      <c r="S446" s="40"/>
      <c r="T446" s="40"/>
      <c r="U446" s="40"/>
      <c r="V446" s="40"/>
      <c r="W446" s="40"/>
      <c r="X446" s="41"/>
      <c r="Y446" s="30"/>
      <c r="Z446" s="30"/>
      <c r="AA446" s="30"/>
      <c r="AB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85"/>
      <c r="M447" s="135"/>
      <c r="N447" s="19"/>
      <c r="O447" s="131"/>
      <c r="P447" s="128"/>
      <c r="Q447" s="30"/>
      <c r="R447" s="39"/>
      <c r="S447" s="40"/>
      <c r="T447" s="40"/>
      <c r="U447" s="40"/>
      <c r="V447" s="40"/>
      <c r="W447" s="40"/>
      <c r="X447" s="41"/>
      <c r="Y447" s="30"/>
      <c r="Z447" s="30"/>
      <c r="AA447" s="30"/>
      <c r="AB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85"/>
      <c r="M448" s="135"/>
      <c r="N448" s="19"/>
      <c r="O448" s="131"/>
      <c r="P448" s="128"/>
      <c r="Q448" s="30"/>
      <c r="R448" s="39"/>
      <c r="S448" s="40"/>
      <c r="T448" s="40"/>
      <c r="U448" s="40"/>
      <c r="V448" s="40"/>
      <c r="W448" s="40"/>
      <c r="X448" s="41"/>
      <c r="Y448" s="30"/>
      <c r="Z448" s="30"/>
      <c r="AA448" s="30"/>
      <c r="AB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85"/>
      <c r="M449" s="135"/>
      <c r="N449" s="19"/>
      <c r="O449" s="131"/>
      <c r="P449" s="128"/>
      <c r="Q449" s="30"/>
      <c r="R449" s="39"/>
      <c r="S449" s="40"/>
      <c r="T449" s="40"/>
      <c r="U449" s="40"/>
      <c r="V449" s="40"/>
      <c r="W449" s="40"/>
      <c r="X449" s="41"/>
      <c r="Y449" s="30"/>
      <c r="Z449" s="30"/>
      <c r="AA449" s="30"/>
      <c r="AB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85"/>
      <c r="M450" s="135"/>
      <c r="N450" s="19"/>
      <c r="O450" s="131"/>
      <c r="P450" s="128"/>
      <c r="Q450" s="30"/>
      <c r="R450" s="39"/>
      <c r="S450" s="40"/>
      <c r="T450" s="40"/>
      <c r="U450" s="40"/>
      <c r="V450" s="40"/>
      <c r="W450" s="40"/>
      <c r="X450" s="41"/>
      <c r="Y450" s="30"/>
      <c r="Z450" s="30"/>
      <c r="AA450" s="30"/>
      <c r="AB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85"/>
      <c r="M451" s="135"/>
      <c r="N451" s="19"/>
      <c r="O451" s="131"/>
      <c r="P451" s="128"/>
      <c r="Q451" s="30"/>
      <c r="R451" s="39"/>
      <c r="S451" s="40"/>
      <c r="T451" s="40"/>
      <c r="U451" s="40"/>
      <c r="V451" s="40"/>
      <c r="W451" s="40"/>
      <c r="X451" s="41"/>
      <c r="Y451" s="30"/>
      <c r="Z451" s="30"/>
      <c r="AA451" s="30"/>
      <c r="AB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85"/>
      <c r="M452" s="135"/>
      <c r="N452" s="19"/>
      <c r="O452" s="131"/>
      <c r="P452" s="128"/>
      <c r="Q452" s="30"/>
      <c r="R452" s="39"/>
      <c r="S452" s="40"/>
      <c r="T452" s="40"/>
      <c r="U452" s="40"/>
      <c r="V452" s="40"/>
      <c r="W452" s="40"/>
      <c r="X452" s="41"/>
      <c r="Y452" s="30"/>
      <c r="Z452" s="30"/>
      <c r="AA452" s="30"/>
      <c r="AB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85"/>
      <c r="M453" s="135"/>
      <c r="N453" s="19"/>
      <c r="O453" s="131"/>
      <c r="P453" s="128"/>
      <c r="Q453" s="30"/>
      <c r="R453" s="39"/>
      <c r="S453" s="40"/>
      <c r="T453" s="40"/>
      <c r="U453" s="40"/>
      <c r="V453" s="40"/>
      <c r="W453" s="40"/>
      <c r="X453" s="41"/>
      <c r="Y453" s="30"/>
      <c r="Z453" s="30"/>
      <c r="AA453" s="30"/>
      <c r="AB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85"/>
      <c r="M454" s="135"/>
      <c r="N454" s="19"/>
      <c r="O454" s="131"/>
      <c r="P454" s="128"/>
      <c r="Q454" s="30"/>
      <c r="R454" s="39"/>
      <c r="S454" s="40"/>
      <c r="T454" s="40"/>
      <c r="U454" s="40"/>
      <c r="V454" s="40"/>
      <c r="W454" s="40"/>
      <c r="X454" s="41"/>
      <c r="Y454" s="30"/>
      <c r="Z454" s="30"/>
      <c r="AA454" s="30"/>
      <c r="AB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85"/>
      <c r="M455" s="135"/>
      <c r="N455" s="19"/>
      <c r="O455" s="131"/>
      <c r="P455" s="128"/>
      <c r="Q455" s="30"/>
      <c r="R455" s="39"/>
      <c r="S455" s="40"/>
      <c r="T455" s="40"/>
      <c r="U455" s="40"/>
      <c r="V455" s="40"/>
      <c r="W455" s="40"/>
      <c r="X455" s="41"/>
      <c r="Y455" s="30"/>
      <c r="Z455" s="30"/>
      <c r="AA455" s="30"/>
      <c r="AB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85"/>
      <c r="M456" s="135"/>
      <c r="N456" s="19"/>
      <c r="O456" s="131"/>
      <c r="P456" s="128"/>
      <c r="Q456" s="30"/>
      <c r="R456" s="39"/>
      <c r="S456" s="40"/>
      <c r="T456" s="40"/>
      <c r="U456" s="40"/>
      <c r="V456" s="40"/>
      <c r="W456" s="40"/>
      <c r="X456" s="41"/>
      <c r="Y456" s="30"/>
      <c r="Z456" s="30"/>
      <c r="AA456" s="30"/>
      <c r="AB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85"/>
      <c r="M457" s="135"/>
      <c r="N457" s="19"/>
      <c r="O457" s="131"/>
      <c r="P457" s="128"/>
      <c r="Q457" s="30"/>
      <c r="R457" s="39"/>
      <c r="S457" s="40"/>
      <c r="T457" s="40"/>
      <c r="U457" s="40"/>
      <c r="V457" s="40"/>
      <c r="W457" s="40"/>
      <c r="X457" s="41"/>
      <c r="Y457" s="30"/>
      <c r="Z457" s="30"/>
      <c r="AA457" s="30"/>
      <c r="AB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85"/>
      <c r="M458" s="135"/>
      <c r="N458" s="19"/>
      <c r="O458" s="131"/>
      <c r="P458" s="128"/>
      <c r="Q458" s="30"/>
      <c r="R458" s="39"/>
      <c r="S458" s="40"/>
      <c r="T458" s="40"/>
      <c r="U458" s="40"/>
      <c r="V458" s="40"/>
      <c r="W458" s="40"/>
      <c r="X458" s="41"/>
      <c r="Y458" s="30"/>
      <c r="Z458" s="30"/>
      <c r="AA458" s="30"/>
      <c r="AB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85"/>
      <c r="M459" s="135"/>
      <c r="N459" s="19"/>
      <c r="O459" s="131"/>
      <c r="P459" s="128"/>
      <c r="Q459" s="30"/>
      <c r="R459" s="39"/>
      <c r="S459" s="40"/>
      <c r="T459" s="40"/>
      <c r="U459" s="40"/>
      <c r="V459" s="40"/>
      <c r="W459" s="40"/>
      <c r="X459" s="41"/>
      <c r="Y459" s="30"/>
      <c r="Z459" s="30"/>
      <c r="AA459" s="30"/>
      <c r="AB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85"/>
      <c r="M460" s="135"/>
      <c r="N460" s="19"/>
      <c r="O460" s="131"/>
      <c r="P460" s="128"/>
      <c r="Q460" s="30"/>
      <c r="R460" s="39"/>
      <c r="S460" s="40"/>
      <c r="T460" s="40"/>
      <c r="U460" s="40"/>
      <c r="V460" s="40"/>
      <c r="W460" s="40"/>
      <c r="X460" s="41"/>
      <c r="Y460" s="30"/>
      <c r="Z460" s="30"/>
      <c r="AA460" s="30"/>
      <c r="AB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85"/>
      <c r="M461" s="135"/>
      <c r="N461" s="19"/>
      <c r="O461" s="131"/>
      <c r="P461" s="128"/>
      <c r="Q461" s="30"/>
      <c r="R461" s="39"/>
      <c r="S461" s="40"/>
      <c r="T461" s="40"/>
      <c r="U461" s="40"/>
      <c r="V461" s="40"/>
      <c r="W461" s="40"/>
      <c r="X461" s="41"/>
      <c r="Y461" s="30"/>
      <c r="Z461" s="30"/>
      <c r="AA461" s="30"/>
      <c r="AB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85"/>
      <c r="M462" s="135"/>
      <c r="N462" s="19"/>
      <c r="O462" s="131"/>
      <c r="P462" s="128"/>
      <c r="Q462" s="30"/>
      <c r="R462" s="39"/>
      <c r="S462" s="40"/>
      <c r="T462" s="40"/>
      <c r="U462" s="40"/>
      <c r="V462" s="40"/>
      <c r="W462" s="40"/>
      <c r="X462" s="41"/>
      <c r="Y462" s="30"/>
      <c r="Z462" s="30"/>
      <c r="AA462" s="30"/>
      <c r="AB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85"/>
      <c r="M463" s="135"/>
      <c r="N463" s="19"/>
      <c r="O463" s="131"/>
      <c r="P463" s="128"/>
      <c r="Q463" s="30"/>
      <c r="R463" s="39"/>
      <c r="S463" s="40"/>
      <c r="T463" s="40"/>
      <c r="U463" s="40"/>
      <c r="V463" s="40"/>
      <c r="W463" s="40"/>
      <c r="X463" s="41"/>
      <c r="Y463" s="30"/>
      <c r="Z463" s="30"/>
      <c r="AA463" s="30"/>
      <c r="AB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85"/>
      <c r="M464" s="135"/>
      <c r="N464" s="19"/>
      <c r="O464" s="131"/>
      <c r="P464" s="128"/>
      <c r="Q464" s="30"/>
      <c r="R464" s="39"/>
      <c r="S464" s="40"/>
      <c r="T464" s="40"/>
      <c r="U464" s="40"/>
      <c r="V464" s="40"/>
      <c r="W464" s="40"/>
      <c r="X464" s="41"/>
      <c r="Y464" s="30"/>
      <c r="Z464" s="30"/>
      <c r="AA464" s="30"/>
      <c r="AB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85"/>
      <c r="M465" s="135"/>
      <c r="N465" s="19"/>
      <c r="O465" s="131"/>
      <c r="P465" s="128"/>
      <c r="Q465" s="30"/>
      <c r="R465" s="39"/>
      <c r="S465" s="40"/>
      <c r="T465" s="40"/>
      <c r="U465" s="40"/>
      <c r="V465" s="40"/>
      <c r="W465" s="40"/>
      <c r="X465" s="41"/>
      <c r="Y465" s="30"/>
      <c r="Z465" s="30"/>
      <c r="AA465" s="30"/>
      <c r="AB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85"/>
      <c r="M466" s="135"/>
      <c r="N466" s="19"/>
      <c r="O466" s="131"/>
      <c r="P466" s="128"/>
      <c r="Q466" s="30"/>
      <c r="R466" s="39"/>
      <c r="S466" s="40"/>
      <c r="T466" s="40"/>
      <c r="U466" s="40"/>
      <c r="V466" s="40"/>
      <c r="W466" s="40"/>
      <c r="X466" s="41"/>
      <c r="Y466" s="30"/>
      <c r="Z466" s="30"/>
      <c r="AA466" s="30"/>
      <c r="AB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85"/>
      <c r="M467" s="135"/>
      <c r="N467" s="19"/>
      <c r="O467" s="131"/>
      <c r="P467" s="128"/>
      <c r="Q467" s="30"/>
      <c r="R467" s="39"/>
      <c r="S467" s="40"/>
      <c r="T467" s="40"/>
      <c r="U467" s="40"/>
      <c r="V467" s="40"/>
      <c r="W467" s="40"/>
      <c r="X467" s="41"/>
      <c r="Y467" s="30"/>
      <c r="Z467" s="30"/>
      <c r="AA467" s="30"/>
      <c r="AB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85"/>
      <c r="M468" s="135"/>
      <c r="N468" s="19"/>
      <c r="O468" s="131"/>
      <c r="P468" s="128"/>
      <c r="Q468" s="30"/>
      <c r="R468" s="39"/>
      <c r="S468" s="40"/>
      <c r="T468" s="40"/>
      <c r="U468" s="40"/>
      <c r="V468" s="40"/>
      <c r="W468" s="40"/>
      <c r="X468" s="41"/>
      <c r="Y468" s="30"/>
      <c r="Z468" s="30"/>
      <c r="AA468" s="30"/>
      <c r="AB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85"/>
      <c r="M469" s="135"/>
      <c r="N469" s="19"/>
      <c r="O469" s="131"/>
      <c r="P469" s="128"/>
      <c r="Q469" s="30"/>
      <c r="R469" s="39"/>
      <c r="S469" s="40"/>
      <c r="T469" s="40"/>
      <c r="U469" s="40"/>
      <c r="V469" s="40"/>
      <c r="W469" s="40"/>
      <c r="X469" s="41"/>
      <c r="Y469" s="30"/>
      <c r="Z469" s="30"/>
      <c r="AA469" s="30"/>
      <c r="AB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85"/>
      <c r="M470" s="135"/>
      <c r="N470" s="19"/>
      <c r="O470" s="131"/>
      <c r="P470" s="128"/>
      <c r="Q470" s="30"/>
      <c r="R470" s="39"/>
      <c r="S470" s="40"/>
      <c r="T470" s="40"/>
      <c r="U470" s="40"/>
      <c r="V470" s="40"/>
      <c r="W470" s="40"/>
      <c r="X470" s="41"/>
      <c r="Y470" s="30"/>
      <c r="Z470" s="30"/>
      <c r="AA470" s="30"/>
      <c r="AB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85"/>
      <c r="M471" s="135"/>
      <c r="N471" s="19"/>
      <c r="O471" s="131"/>
      <c r="P471" s="128"/>
      <c r="Q471" s="30"/>
      <c r="R471" s="39"/>
      <c r="S471" s="40"/>
      <c r="T471" s="40"/>
      <c r="U471" s="40"/>
      <c r="V471" s="40"/>
      <c r="W471" s="40"/>
      <c r="X471" s="41"/>
      <c r="Y471" s="30"/>
      <c r="Z471" s="30"/>
      <c r="AA471" s="30"/>
      <c r="AB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85"/>
      <c r="M472" s="135"/>
      <c r="N472" s="19"/>
      <c r="O472" s="131"/>
      <c r="P472" s="128"/>
      <c r="Q472" s="30"/>
      <c r="R472" s="39"/>
      <c r="S472" s="40"/>
      <c r="T472" s="40"/>
      <c r="U472" s="40"/>
      <c r="V472" s="40"/>
      <c r="W472" s="40"/>
      <c r="X472" s="41"/>
      <c r="Y472" s="30"/>
      <c r="Z472" s="30"/>
      <c r="AA472" s="30"/>
      <c r="AB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85"/>
      <c r="M473" s="135"/>
      <c r="N473" s="19"/>
      <c r="O473" s="131"/>
      <c r="P473" s="128"/>
      <c r="Q473" s="30"/>
      <c r="R473" s="39"/>
      <c r="S473" s="40"/>
      <c r="T473" s="40"/>
      <c r="U473" s="40"/>
      <c r="V473" s="40"/>
      <c r="W473" s="40"/>
      <c r="X473" s="41"/>
      <c r="Y473" s="30"/>
      <c r="Z473" s="30"/>
      <c r="AA473" s="30"/>
      <c r="AB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85"/>
      <c r="M474" s="135"/>
      <c r="N474" s="19"/>
      <c r="O474" s="131"/>
      <c r="P474" s="128"/>
      <c r="Q474" s="30"/>
      <c r="R474" s="39"/>
      <c r="S474" s="40"/>
      <c r="T474" s="40"/>
      <c r="U474" s="40"/>
      <c r="V474" s="40"/>
      <c r="W474" s="40"/>
      <c r="X474" s="41"/>
      <c r="Y474" s="30"/>
      <c r="Z474" s="30"/>
      <c r="AA474" s="30"/>
      <c r="AB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85"/>
      <c r="M475" s="135"/>
      <c r="N475" s="19"/>
      <c r="O475" s="131"/>
      <c r="P475" s="128"/>
      <c r="Q475" s="30"/>
      <c r="R475" s="39"/>
      <c r="S475" s="40"/>
      <c r="T475" s="40"/>
      <c r="U475" s="40"/>
      <c r="V475" s="40"/>
      <c r="W475" s="40"/>
      <c r="X475" s="41"/>
      <c r="Y475" s="30"/>
      <c r="Z475" s="30"/>
      <c r="AA475" s="30"/>
      <c r="AB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85"/>
      <c r="M476" s="135"/>
      <c r="N476" s="19"/>
      <c r="O476" s="131"/>
      <c r="P476" s="128"/>
      <c r="Q476" s="30"/>
      <c r="R476" s="39"/>
      <c r="S476" s="40"/>
      <c r="T476" s="40"/>
      <c r="U476" s="40"/>
      <c r="V476" s="40"/>
      <c r="W476" s="40"/>
      <c r="X476" s="41"/>
      <c r="Y476" s="30"/>
      <c r="Z476" s="30"/>
      <c r="AA476" s="30"/>
      <c r="AB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85"/>
      <c r="M477" s="135"/>
      <c r="N477" s="19"/>
      <c r="O477" s="131"/>
      <c r="P477" s="128"/>
      <c r="Q477" s="30"/>
      <c r="R477" s="39"/>
      <c r="S477" s="40"/>
      <c r="T477" s="40"/>
      <c r="U477" s="40"/>
      <c r="V477" s="40"/>
      <c r="W477" s="40"/>
      <c r="X477" s="41"/>
      <c r="Y477" s="30"/>
      <c r="Z477" s="30"/>
      <c r="AA477" s="30"/>
      <c r="AB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85"/>
      <c r="M478" s="135"/>
      <c r="N478" s="19"/>
      <c r="O478" s="131"/>
      <c r="P478" s="128"/>
      <c r="Q478" s="30"/>
      <c r="R478" s="39"/>
      <c r="S478" s="40"/>
      <c r="T478" s="40"/>
      <c r="U478" s="40"/>
      <c r="V478" s="40"/>
      <c r="W478" s="40"/>
      <c r="X478" s="41"/>
      <c r="Y478" s="30"/>
      <c r="Z478" s="30"/>
      <c r="AA478" s="30"/>
      <c r="AB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85"/>
      <c r="M479" s="135"/>
      <c r="N479" s="19"/>
      <c r="O479" s="131"/>
      <c r="P479" s="128"/>
      <c r="Q479" s="30"/>
      <c r="R479" s="39"/>
      <c r="S479" s="40"/>
      <c r="T479" s="40"/>
      <c r="U479" s="40"/>
      <c r="V479" s="40"/>
      <c r="W479" s="40"/>
      <c r="X479" s="41"/>
      <c r="Y479" s="30"/>
      <c r="Z479" s="30"/>
      <c r="AA479" s="30"/>
      <c r="AB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85"/>
      <c r="M480" s="135"/>
      <c r="N480" s="19"/>
      <c r="O480" s="131"/>
      <c r="P480" s="128"/>
      <c r="Q480" s="30"/>
      <c r="R480" s="39"/>
      <c r="S480" s="40"/>
      <c r="T480" s="40"/>
      <c r="U480" s="40"/>
      <c r="V480" s="40"/>
      <c r="W480" s="40"/>
      <c r="X480" s="41"/>
      <c r="Y480" s="30"/>
      <c r="Z480" s="30"/>
      <c r="AA480" s="30"/>
      <c r="AB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85"/>
      <c r="M481" s="135"/>
      <c r="N481" s="19"/>
      <c r="O481" s="131"/>
      <c r="P481" s="128"/>
      <c r="Q481" s="30"/>
      <c r="R481" s="39"/>
      <c r="S481" s="40"/>
      <c r="T481" s="40"/>
      <c r="U481" s="40"/>
      <c r="V481" s="40"/>
      <c r="W481" s="40"/>
      <c r="X481" s="41"/>
      <c r="Y481" s="30"/>
      <c r="Z481" s="30"/>
      <c r="AA481" s="30"/>
      <c r="AB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85"/>
      <c r="M482" s="135"/>
      <c r="N482" s="19"/>
      <c r="O482" s="131"/>
      <c r="P482" s="128"/>
      <c r="Q482" s="30"/>
      <c r="R482" s="39"/>
      <c r="S482" s="40"/>
      <c r="T482" s="40"/>
      <c r="U482" s="40"/>
      <c r="V482" s="40"/>
      <c r="W482" s="40"/>
      <c r="X482" s="41"/>
      <c r="Y482" s="30"/>
      <c r="Z482" s="30"/>
      <c r="AA482" s="30"/>
      <c r="AB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85"/>
      <c r="M483" s="135"/>
      <c r="N483" s="19"/>
      <c r="O483" s="131"/>
      <c r="P483" s="128"/>
      <c r="Q483" s="30"/>
      <c r="R483" s="39"/>
      <c r="S483" s="40"/>
      <c r="T483" s="40"/>
      <c r="U483" s="40"/>
      <c r="V483" s="40"/>
      <c r="W483" s="40"/>
      <c r="X483" s="41"/>
      <c r="Y483" s="30"/>
      <c r="Z483" s="30"/>
      <c r="AA483" s="30"/>
      <c r="AB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85"/>
      <c r="M484" s="135"/>
      <c r="N484" s="19"/>
      <c r="O484" s="131"/>
      <c r="P484" s="128"/>
      <c r="Q484" s="30"/>
      <c r="R484" s="39"/>
      <c r="S484" s="40"/>
      <c r="T484" s="40"/>
      <c r="U484" s="40"/>
      <c r="V484" s="40"/>
      <c r="W484" s="40"/>
      <c r="X484" s="41"/>
      <c r="Y484" s="30"/>
      <c r="Z484" s="30"/>
      <c r="AA484" s="30"/>
      <c r="AB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85"/>
      <c r="M485" s="135"/>
      <c r="N485" s="19"/>
      <c r="O485" s="131"/>
      <c r="P485" s="128"/>
      <c r="Q485" s="30"/>
      <c r="R485" s="39"/>
      <c r="S485" s="40"/>
      <c r="T485" s="40"/>
      <c r="U485" s="40"/>
      <c r="V485" s="40"/>
      <c r="W485" s="40"/>
      <c r="X485" s="41"/>
      <c r="Y485" s="30"/>
      <c r="Z485" s="30"/>
      <c r="AA485" s="30"/>
      <c r="AB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85"/>
      <c r="M486" s="135"/>
      <c r="N486" s="19"/>
      <c r="O486" s="131"/>
      <c r="P486" s="128"/>
      <c r="Q486" s="30"/>
      <c r="R486" s="39"/>
      <c r="S486" s="40"/>
      <c r="T486" s="40"/>
      <c r="U486" s="40"/>
      <c r="V486" s="40"/>
      <c r="W486" s="40"/>
      <c r="X486" s="41"/>
      <c r="Y486" s="30"/>
      <c r="Z486" s="30"/>
      <c r="AA486" s="30"/>
      <c r="AB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85"/>
      <c r="M487" s="135"/>
      <c r="N487" s="19"/>
      <c r="O487" s="131"/>
      <c r="P487" s="128"/>
      <c r="Q487" s="30"/>
      <c r="R487" s="39"/>
      <c r="S487" s="40"/>
      <c r="T487" s="40"/>
      <c r="U487" s="40"/>
      <c r="V487" s="40"/>
      <c r="W487" s="40"/>
      <c r="X487" s="41"/>
      <c r="Y487" s="30"/>
      <c r="Z487" s="30"/>
      <c r="AA487" s="30"/>
      <c r="AB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85"/>
      <c r="M488" s="135"/>
      <c r="N488" s="19"/>
      <c r="O488" s="131"/>
      <c r="P488" s="128"/>
      <c r="Q488" s="30"/>
      <c r="R488" s="39"/>
      <c r="S488" s="40"/>
      <c r="T488" s="40"/>
      <c r="U488" s="40"/>
      <c r="V488" s="40"/>
      <c r="W488" s="40"/>
      <c r="X488" s="41"/>
      <c r="Y488" s="30"/>
      <c r="Z488" s="30"/>
      <c r="AA488" s="30"/>
      <c r="AB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85"/>
      <c r="M489" s="135"/>
      <c r="N489" s="19"/>
      <c r="O489" s="131"/>
      <c r="P489" s="128"/>
      <c r="Q489" s="30"/>
      <c r="R489" s="39"/>
      <c r="S489" s="40"/>
      <c r="T489" s="40"/>
      <c r="U489" s="40"/>
      <c r="V489" s="40"/>
      <c r="W489" s="40"/>
      <c r="X489" s="41"/>
      <c r="Y489" s="30"/>
      <c r="Z489" s="30"/>
      <c r="AA489" s="30"/>
      <c r="AB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85"/>
      <c r="M490" s="135"/>
      <c r="N490" s="19"/>
      <c r="O490" s="131"/>
      <c r="P490" s="128"/>
      <c r="Q490" s="30"/>
      <c r="R490" s="39"/>
      <c r="S490" s="40"/>
      <c r="T490" s="40"/>
      <c r="U490" s="40"/>
      <c r="V490" s="40"/>
      <c r="W490" s="40"/>
      <c r="X490" s="41"/>
      <c r="Y490" s="30"/>
      <c r="Z490" s="30"/>
      <c r="AA490" s="30"/>
      <c r="AB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85"/>
      <c r="M491" s="135"/>
      <c r="N491" s="19"/>
      <c r="O491" s="131"/>
      <c r="P491" s="128"/>
      <c r="Q491" s="30"/>
      <c r="R491" s="39"/>
      <c r="S491" s="40"/>
      <c r="T491" s="40"/>
      <c r="U491" s="40"/>
      <c r="V491" s="40"/>
      <c r="W491" s="40"/>
      <c r="X491" s="41"/>
      <c r="Y491" s="30"/>
      <c r="Z491" s="30"/>
      <c r="AA491" s="30"/>
      <c r="AB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85"/>
      <c r="M492" s="135"/>
      <c r="N492" s="19"/>
      <c r="O492" s="131"/>
      <c r="P492" s="128"/>
      <c r="Q492" s="30"/>
      <c r="R492" s="39"/>
      <c r="S492" s="40"/>
      <c r="T492" s="40"/>
      <c r="U492" s="40"/>
      <c r="V492" s="40"/>
      <c r="W492" s="40"/>
      <c r="X492" s="41"/>
      <c r="Y492" s="30"/>
      <c r="Z492" s="30"/>
      <c r="AA492" s="30"/>
      <c r="AB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85"/>
      <c r="M493" s="135"/>
      <c r="N493" s="19"/>
      <c r="O493" s="131"/>
      <c r="P493" s="128"/>
      <c r="Q493" s="30"/>
      <c r="R493" s="39"/>
      <c r="S493" s="40"/>
      <c r="T493" s="40"/>
      <c r="U493" s="40"/>
      <c r="V493" s="40"/>
      <c r="W493" s="40"/>
      <c r="X493" s="41"/>
      <c r="Y493" s="30"/>
      <c r="Z493" s="30"/>
      <c r="AA493" s="30"/>
      <c r="AB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85"/>
      <c r="M494" s="135"/>
      <c r="N494" s="19"/>
      <c r="O494" s="131"/>
      <c r="P494" s="128"/>
      <c r="Q494" s="30"/>
      <c r="R494" s="39"/>
      <c r="S494" s="40"/>
      <c r="T494" s="40"/>
      <c r="U494" s="40"/>
      <c r="V494" s="40"/>
      <c r="W494" s="40"/>
      <c r="X494" s="41"/>
      <c r="Y494" s="30"/>
      <c r="Z494" s="30"/>
      <c r="AA494" s="30"/>
      <c r="AB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85"/>
      <c r="M495" s="135"/>
      <c r="N495" s="19"/>
      <c r="O495" s="131"/>
      <c r="P495" s="128"/>
      <c r="Q495" s="30"/>
      <c r="R495" s="39"/>
      <c r="S495" s="40"/>
      <c r="T495" s="40"/>
      <c r="U495" s="40"/>
      <c r="V495" s="40"/>
      <c r="W495" s="40"/>
      <c r="X495" s="41"/>
      <c r="Y495" s="30"/>
      <c r="Z495" s="30"/>
      <c r="AA495" s="30"/>
      <c r="AB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85"/>
      <c r="M496" s="135"/>
      <c r="N496" s="19"/>
      <c r="O496" s="131"/>
      <c r="P496" s="128"/>
      <c r="Q496" s="30"/>
      <c r="R496" s="39"/>
      <c r="S496" s="40"/>
      <c r="T496" s="40"/>
      <c r="U496" s="40"/>
      <c r="V496" s="40"/>
      <c r="W496" s="40"/>
      <c r="X496" s="41"/>
      <c r="Y496" s="30"/>
      <c r="Z496" s="30"/>
      <c r="AA496" s="30"/>
      <c r="AB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85"/>
      <c r="M497" s="135"/>
      <c r="N497" s="19"/>
      <c r="O497" s="131"/>
      <c r="P497" s="128"/>
      <c r="Q497" s="30"/>
      <c r="R497" s="39"/>
      <c r="S497" s="40"/>
      <c r="T497" s="40"/>
      <c r="U497" s="40"/>
      <c r="V497" s="40"/>
      <c r="W497" s="40"/>
      <c r="X497" s="41"/>
      <c r="Y497" s="30"/>
      <c r="Z497" s="30"/>
      <c r="AA497" s="30"/>
      <c r="AB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85"/>
      <c r="M498" s="135"/>
      <c r="N498" s="19"/>
      <c r="O498" s="131"/>
      <c r="P498" s="128"/>
      <c r="Q498" s="30"/>
      <c r="R498" s="39"/>
      <c r="S498" s="40"/>
      <c r="T498" s="40"/>
      <c r="U498" s="40"/>
      <c r="V498" s="40"/>
      <c r="W498" s="40"/>
      <c r="X498" s="41"/>
      <c r="Y498" s="30"/>
      <c r="Z498" s="30"/>
      <c r="AA498" s="30"/>
      <c r="AB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85"/>
      <c r="M499" s="135"/>
      <c r="N499" s="19"/>
      <c r="O499" s="131"/>
      <c r="P499" s="128"/>
      <c r="Q499" s="30"/>
      <c r="R499" s="39"/>
      <c r="S499" s="40"/>
      <c r="T499" s="40"/>
      <c r="U499" s="40"/>
      <c r="V499" s="40"/>
      <c r="W499" s="40"/>
      <c r="X499" s="41"/>
      <c r="Y499" s="30"/>
      <c r="Z499" s="30"/>
      <c r="AA499" s="30"/>
      <c r="AB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85"/>
      <c r="M500" s="135"/>
      <c r="N500" s="19"/>
      <c r="O500" s="131"/>
      <c r="P500" s="128"/>
      <c r="Q500" s="30"/>
      <c r="R500" s="39"/>
      <c r="S500" s="40"/>
      <c r="T500" s="40"/>
      <c r="U500" s="40"/>
      <c r="V500" s="40"/>
      <c r="W500" s="40"/>
      <c r="X500" s="41"/>
      <c r="Y500" s="30"/>
      <c r="Z500" s="30"/>
      <c r="AA500" s="30"/>
      <c r="AB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85"/>
      <c r="M501" s="135"/>
      <c r="N501" s="19"/>
      <c r="O501" s="131"/>
      <c r="P501" s="128"/>
      <c r="Q501" s="30"/>
      <c r="R501" s="39"/>
      <c r="S501" s="40"/>
      <c r="T501" s="40"/>
      <c r="U501" s="40"/>
      <c r="V501" s="40"/>
      <c r="W501" s="40"/>
      <c r="X501" s="41"/>
      <c r="Y501" s="30"/>
      <c r="Z501" s="30"/>
      <c r="AA501" s="30"/>
      <c r="AB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85"/>
      <c r="M502" s="135"/>
      <c r="N502" s="19"/>
      <c r="O502" s="131"/>
      <c r="P502" s="128"/>
      <c r="Q502" s="30"/>
      <c r="R502" s="39"/>
      <c r="S502" s="40"/>
      <c r="T502" s="40"/>
      <c r="U502" s="40"/>
      <c r="V502" s="40"/>
      <c r="W502" s="40"/>
      <c r="X502" s="41"/>
      <c r="Y502" s="30"/>
      <c r="Z502" s="30"/>
      <c r="AA502" s="30"/>
      <c r="AB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85"/>
      <c r="M503" s="135"/>
      <c r="N503" s="19"/>
      <c r="O503" s="131"/>
      <c r="P503" s="128"/>
      <c r="Q503" s="30"/>
      <c r="R503" s="39"/>
      <c r="S503" s="40"/>
      <c r="T503" s="40"/>
      <c r="U503" s="40"/>
      <c r="V503" s="40"/>
      <c r="W503" s="40"/>
      <c r="X503" s="41"/>
      <c r="Y503" s="30"/>
      <c r="Z503" s="30"/>
      <c r="AA503" s="30"/>
      <c r="AB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85"/>
      <c r="M504" s="135"/>
      <c r="N504" s="19"/>
      <c r="O504" s="131"/>
      <c r="P504" s="128"/>
      <c r="Q504" s="30"/>
      <c r="R504" s="39"/>
      <c r="S504" s="40"/>
      <c r="T504" s="40"/>
      <c r="U504" s="40"/>
      <c r="V504" s="40"/>
      <c r="W504" s="40"/>
      <c r="X504" s="41"/>
      <c r="Y504" s="30"/>
      <c r="Z504" s="30"/>
      <c r="AA504" s="30"/>
      <c r="AB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85"/>
      <c r="M505" s="135"/>
      <c r="N505" s="19"/>
      <c r="O505" s="131"/>
      <c r="P505" s="128"/>
      <c r="Q505" s="30"/>
      <c r="R505" s="39"/>
      <c r="S505" s="40"/>
      <c r="T505" s="40"/>
      <c r="U505" s="40"/>
      <c r="V505" s="40"/>
      <c r="W505" s="40"/>
      <c r="X505" s="41"/>
      <c r="Y505" s="30"/>
      <c r="Z505" s="30"/>
      <c r="AA505" s="30"/>
      <c r="AB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85"/>
      <c r="M506" s="135"/>
      <c r="N506" s="19"/>
      <c r="O506" s="131"/>
      <c r="P506" s="128"/>
      <c r="Q506" s="30"/>
      <c r="R506" s="39"/>
      <c r="S506" s="40"/>
      <c r="T506" s="40"/>
      <c r="U506" s="40"/>
      <c r="V506" s="40"/>
      <c r="W506" s="40"/>
      <c r="X506" s="41"/>
      <c r="Y506" s="30"/>
      <c r="Z506" s="30"/>
      <c r="AA506" s="30"/>
      <c r="AB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85"/>
      <c r="M507" s="135"/>
      <c r="N507" s="19"/>
      <c r="O507" s="131"/>
      <c r="P507" s="128"/>
      <c r="Q507" s="30"/>
      <c r="R507" s="39"/>
      <c r="S507" s="40"/>
      <c r="T507" s="40"/>
      <c r="U507" s="40"/>
      <c r="V507" s="40"/>
      <c r="W507" s="40"/>
      <c r="X507" s="41"/>
      <c r="Y507" s="30"/>
      <c r="Z507" s="30"/>
      <c r="AA507" s="30"/>
      <c r="AB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85"/>
      <c r="M508" s="135"/>
      <c r="N508" s="19"/>
      <c r="O508" s="131"/>
      <c r="P508" s="128"/>
      <c r="Q508" s="30"/>
      <c r="R508" s="39"/>
      <c r="S508" s="40"/>
      <c r="T508" s="40"/>
      <c r="U508" s="40"/>
      <c r="V508" s="40"/>
      <c r="W508" s="40"/>
      <c r="X508" s="41"/>
      <c r="Y508" s="30"/>
      <c r="Z508" s="30"/>
      <c r="AA508" s="30"/>
      <c r="AB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85"/>
      <c r="M509" s="135"/>
      <c r="N509" s="19"/>
      <c r="O509" s="131"/>
      <c r="P509" s="128"/>
      <c r="Q509" s="30"/>
      <c r="R509" s="39"/>
      <c r="S509" s="40"/>
      <c r="T509" s="40"/>
      <c r="U509" s="40"/>
      <c r="V509" s="40"/>
      <c r="W509" s="40"/>
      <c r="X509" s="41"/>
      <c r="Y509" s="30"/>
      <c r="Z509" s="30"/>
      <c r="AA509" s="30"/>
      <c r="AB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85"/>
      <c r="M510" s="135"/>
      <c r="N510" s="19"/>
      <c r="O510" s="131"/>
      <c r="P510" s="128"/>
      <c r="Q510" s="30"/>
      <c r="R510" s="39"/>
      <c r="S510" s="40"/>
      <c r="T510" s="40"/>
      <c r="U510" s="40"/>
      <c r="V510" s="40"/>
      <c r="W510" s="40"/>
      <c r="X510" s="41"/>
      <c r="Y510" s="30"/>
      <c r="Z510" s="30"/>
      <c r="AA510" s="30"/>
      <c r="AB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85"/>
      <c r="M511" s="135"/>
      <c r="N511" s="19"/>
      <c r="O511" s="131"/>
      <c r="P511" s="128"/>
      <c r="Q511" s="30"/>
      <c r="R511" s="39"/>
      <c r="S511" s="40"/>
      <c r="T511" s="40"/>
      <c r="U511" s="40"/>
      <c r="V511" s="40"/>
      <c r="W511" s="40"/>
      <c r="X511" s="41"/>
      <c r="Y511" s="30"/>
      <c r="Z511" s="30"/>
      <c r="AA511" s="30"/>
      <c r="AB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85"/>
      <c r="M512" s="135"/>
      <c r="N512" s="19"/>
      <c r="O512" s="131"/>
      <c r="P512" s="128"/>
      <c r="Q512" s="30"/>
      <c r="R512" s="39"/>
      <c r="S512" s="40"/>
      <c r="T512" s="40"/>
      <c r="U512" s="40"/>
      <c r="V512" s="40"/>
      <c r="W512" s="40"/>
      <c r="X512" s="41"/>
      <c r="Y512" s="30"/>
      <c r="Z512" s="30"/>
      <c r="AA512" s="30"/>
      <c r="AB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85"/>
      <c r="M513" s="135"/>
      <c r="N513" s="19"/>
      <c r="O513" s="131"/>
      <c r="P513" s="128"/>
      <c r="Q513" s="30"/>
      <c r="R513" s="39"/>
      <c r="S513" s="40"/>
      <c r="T513" s="40"/>
      <c r="U513" s="40"/>
      <c r="V513" s="40"/>
      <c r="W513" s="40"/>
      <c r="X513" s="41"/>
      <c r="Y513" s="30"/>
      <c r="Z513" s="30"/>
      <c r="AA513" s="30"/>
      <c r="AB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85"/>
      <c r="M514" s="135"/>
      <c r="N514" s="19"/>
      <c r="O514" s="131"/>
      <c r="P514" s="128"/>
      <c r="Q514" s="30"/>
      <c r="R514" s="39"/>
      <c r="S514" s="40"/>
      <c r="T514" s="40"/>
      <c r="U514" s="40"/>
      <c r="V514" s="40"/>
      <c r="W514" s="40"/>
      <c r="X514" s="41"/>
      <c r="Y514" s="30"/>
      <c r="Z514" s="30"/>
      <c r="AA514" s="30"/>
      <c r="AB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85"/>
      <c r="M515" s="135"/>
      <c r="N515" s="19"/>
      <c r="O515" s="131"/>
      <c r="P515" s="128"/>
      <c r="Q515" s="30"/>
      <c r="R515" s="39"/>
      <c r="S515" s="40"/>
      <c r="T515" s="40"/>
      <c r="U515" s="40"/>
      <c r="V515" s="40"/>
      <c r="W515" s="40"/>
      <c r="X515" s="41"/>
      <c r="Y515" s="30"/>
      <c r="Z515" s="30"/>
      <c r="AA515" s="30"/>
      <c r="AB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85"/>
      <c r="M516" s="135"/>
      <c r="N516" s="19"/>
      <c r="O516" s="131"/>
      <c r="P516" s="128"/>
      <c r="Q516" s="30"/>
      <c r="R516" s="39"/>
      <c r="S516" s="40"/>
      <c r="T516" s="40"/>
      <c r="U516" s="40"/>
      <c r="V516" s="40"/>
      <c r="W516" s="40"/>
      <c r="X516" s="41"/>
      <c r="Y516" s="30"/>
      <c r="Z516" s="30"/>
      <c r="AA516" s="30"/>
      <c r="AB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85"/>
      <c r="M517" s="135"/>
      <c r="N517" s="19"/>
      <c r="O517" s="131"/>
      <c r="P517" s="128"/>
      <c r="Q517" s="30"/>
      <c r="R517" s="39"/>
      <c r="S517" s="40"/>
      <c r="T517" s="40"/>
      <c r="U517" s="40"/>
      <c r="V517" s="40"/>
      <c r="W517" s="40"/>
      <c r="X517" s="41"/>
      <c r="Y517" s="30"/>
      <c r="Z517" s="30"/>
      <c r="AA517" s="30"/>
      <c r="AB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85"/>
      <c r="M518" s="135"/>
      <c r="N518" s="19"/>
      <c r="O518" s="131"/>
      <c r="P518" s="128"/>
      <c r="Q518" s="30"/>
      <c r="R518" s="39"/>
      <c r="S518" s="40"/>
      <c r="T518" s="40"/>
      <c r="U518" s="40"/>
      <c r="V518" s="40"/>
      <c r="W518" s="40"/>
      <c r="X518" s="41"/>
      <c r="Y518" s="30"/>
      <c r="Z518" s="30"/>
      <c r="AA518" s="30"/>
      <c r="AB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85"/>
      <c r="M519" s="135"/>
      <c r="N519" s="19"/>
      <c r="O519" s="131"/>
      <c r="P519" s="128"/>
      <c r="Q519" s="30"/>
      <c r="R519" s="39"/>
      <c r="S519" s="40"/>
      <c r="T519" s="40"/>
      <c r="U519" s="40"/>
      <c r="V519" s="40"/>
      <c r="W519" s="40"/>
      <c r="X519" s="41"/>
      <c r="Y519" s="30"/>
      <c r="Z519" s="30"/>
      <c r="AA519" s="30"/>
      <c r="AB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85"/>
      <c r="M520" s="135"/>
      <c r="N520" s="19"/>
      <c r="O520" s="131"/>
      <c r="P520" s="128"/>
      <c r="Q520" s="30"/>
      <c r="R520" s="39"/>
      <c r="S520" s="40"/>
      <c r="T520" s="40"/>
      <c r="U520" s="40"/>
      <c r="V520" s="40"/>
      <c r="W520" s="40"/>
      <c r="X520" s="41"/>
      <c r="Y520" s="30"/>
      <c r="Z520" s="30"/>
      <c r="AA520" s="30"/>
      <c r="AB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85"/>
      <c r="M521" s="135"/>
      <c r="N521" s="19"/>
      <c r="O521" s="131"/>
      <c r="P521" s="128"/>
      <c r="Q521" s="30"/>
      <c r="R521" s="39"/>
      <c r="S521" s="40"/>
      <c r="T521" s="40"/>
      <c r="U521" s="40"/>
      <c r="V521" s="40"/>
      <c r="W521" s="40"/>
      <c r="X521" s="41"/>
      <c r="Y521" s="30"/>
      <c r="Z521" s="30"/>
      <c r="AA521" s="30"/>
      <c r="AB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85"/>
      <c r="M522" s="135"/>
      <c r="N522" s="19"/>
      <c r="O522" s="131"/>
      <c r="P522" s="128"/>
      <c r="Q522" s="30"/>
      <c r="R522" s="39"/>
      <c r="S522" s="40"/>
      <c r="T522" s="40"/>
      <c r="U522" s="40"/>
      <c r="V522" s="40"/>
      <c r="W522" s="40"/>
      <c r="X522" s="41"/>
      <c r="Y522" s="30"/>
      <c r="Z522" s="30"/>
      <c r="AA522" s="30"/>
      <c r="AB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85"/>
      <c r="M523" s="135"/>
      <c r="N523" s="19"/>
      <c r="O523" s="131"/>
      <c r="P523" s="128"/>
      <c r="Q523" s="30"/>
      <c r="R523" s="39"/>
      <c r="S523" s="40"/>
      <c r="T523" s="40"/>
      <c r="U523" s="40"/>
      <c r="V523" s="40"/>
      <c r="W523" s="40"/>
      <c r="X523" s="41"/>
      <c r="Y523" s="30"/>
      <c r="Z523" s="30"/>
      <c r="AA523" s="30"/>
      <c r="AB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85"/>
      <c r="M524" s="135"/>
      <c r="N524" s="19"/>
      <c r="O524" s="131"/>
      <c r="P524" s="128"/>
      <c r="Q524" s="30"/>
      <c r="R524" s="39"/>
      <c r="S524" s="40"/>
      <c r="T524" s="40"/>
      <c r="U524" s="40"/>
      <c r="V524" s="40"/>
      <c r="W524" s="40"/>
      <c r="X524" s="41"/>
      <c r="Y524" s="30"/>
      <c r="Z524" s="30"/>
      <c r="AA524" s="30"/>
      <c r="AB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85"/>
      <c r="M525" s="135"/>
      <c r="N525" s="19"/>
      <c r="O525" s="131"/>
      <c r="P525" s="128"/>
      <c r="Q525" s="30"/>
      <c r="R525" s="39"/>
      <c r="S525" s="40"/>
      <c r="T525" s="40"/>
      <c r="U525" s="40"/>
      <c r="V525" s="40"/>
      <c r="W525" s="40"/>
      <c r="X525" s="41"/>
      <c r="Y525" s="30"/>
      <c r="Z525" s="30"/>
      <c r="AA525" s="30"/>
      <c r="AB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85"/>
      <c r="M526" s="135"/>
      <c r="N526" s="19"/>
      <c r="O526" s="131"/>
      <c r="P526" s="128"/>
      <c r="Q526" s="30"/>
      <c r="R526" s="39"/>
      <c r="S526" s="40"/>
      <c r="T526" s="40"/>
      <c r="U526" s="40"/>
      <c r="V526" s="40"/>
      <c r="W526" s="40"/>
      <c r="X526" s="41"/>
      <c r="Y526" s="30"/>
      <c r="Z526" s="30"/>
      <c r="AA526" s="30"/>
      <c r="AB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85"/>
      <c r="M527" s="135"/>
      <c r="N527" s="19"/>
      <c r="O527" s="131"/>
      <c r="P527" s="128"/>
      <c r="Q527" s="30"/>
      <c r="R527" s="39"/>
      <c r="S527" s="40"/>
      <c r="T527" s="40"/>
      <c r="U527" s="40"/>
      <c r="V527" s="40"/>
      <c r="W527" s="40"/>
      <c r="X527" s="41"/>
      <c r="Y527" s="30"/>
      <c r="Z527" s="30"/>
      <c r="AA527" s="30"/>
      <c r="AB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85"/>
      <c r="M528" s="135"/>
      <c r="N528" s="19"/>
      <c r="O528" s="131"/>
      <c r="P528" s="128"/>
      <c r="Q528" s="30"/>
      <c r="R528" s="39"/>
      <c r="S528" s="40"/>
      <c r="T528" s="40"/>
      <c r="U528" s="40"/>
      <c r="V528" s="40"/>
      <c r="W528" s="40"/>
      <c r="X528" s="41"/>
      <c r="Y528" s="30"/>
      <c r="Z528" s="30"/>
      <c r="AA528" s="30"/>
      <c r="AB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85"/>
      <c r="M529" s="135"/>
      <c r="N529" s="19"/>
      <c r="O529" s="131"/>
      <c r="P529" s="128"/>
      <c r="Q529" s="30"/>
      <c r="R529" s="39"/>
      <c r="S529" s="40"/>
      <c r="T529" s="40"/>
      <c r="U529" s="40"/>
      <c r="V529" s="40"/>
      <c r="W529" s="40"/>
      <c r="X529" s="41"/>
      <c r="Y529" s="30"/>
      <c r="Z529" s="30"/>
      <c r="AA529" s="30"/>
      <c r="AB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85"/>
      <c r="M530" s="135"/>
      <c r="N530" s="19"/>
      <c r="O530" s="131"/>
      <c r="P530" s="128"/>
      <c r="Q530" s="30"/>
      <c r="R530" s="39"/>
      <c r="S530" s="40"/>
      <c r="T530" s="40"/>
      <c r="U530" s="40"/>
      <c r="V530" s="40"/>
      <c r="W530" s="40"/>
      <c r="X530" s="41"/>
      <c r="Y530" s="30"/>
      <c r="Z530" s="30"/>
      <c r="AA530" s="30"/>
      <c r="AB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85"/>
      <c r="M531" s="135"/>
      <c r="N531" s="19"/>
      <c r="O531" s="131"/>
      <c r="P531" s="128"/>
      <c r="Q531" s="30"/>
      <c r="R531" s="39"/>
      <c r="S531" s="40"/>
      <c r="T531" s="40"/>
      <c r="U531" s="40"/>
      <c r="V531" s="40"/>
      <c r="W531" s="40"/>
      <c r="X531" s="41"/>
      <c r="Y531" s="30"/>
      <c r="Z531" s="30"/>
      <c r="AA531" s="30"/>
      <c r="AB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85"/>
      <c r="M532" s="135"/>
      <c r="N532" s="19"/>
      <c r="O532" s="131"/>
      <c r="P532" s="128"/>
      <c r="Q532" s="30"/>
      <c r="R532" s="39"/>
      <c r="S532" s="40"/>
      <c r="T532" s="40"/>
      <c r="U532" s="40"/>
      <c r="V532" s="40"/>
      <c r="W532" s="40"/>
      <c r="X532" s="41"/>
      <c r="Y532" s="30"/>
      <c r="Z532" s="30"/>
      <c r="AA532" s="30"/>
      <c r="AB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85"/>
      <c r="M533" s="135"/>
      <c r="N533" s="19"/>
      <c r="O533" s="131"/>
      <c r="P533" s="128"/>
      <c r="Q533" s="30"/>
      <c r="R533" s="39"/>
      <c r="S533" s="40"/>
      <c r="T533" s="40"/>
      <c r="U533" s="40"/>
      <c r="V533" s="40"/>
      <c r="W533" s="40"/>
      <c r="X533" s="41"/>
      <c r="Y533" s="30"/>
      <c r="Z533" s="30"/>
      <c r="AA533" s="30"/>
      <c r="AB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85"/>
      <c r="M534" s="135"/>
      <c r="N534" s="19"/>
      <c r="O534" s="131"/>
      <c r="P534" s="128"/>
      <c r="Q534" s="30"/>
      <c r="R534" s="39"/>
      <c r="S534" s="40"/>
      <c r="T534" s="40"/>
      <c r="U534" s="40"/>
      <c r="V534" s="40"/>
      <c r="W534" s="40"/>
      <c r="X534" s="41"/>
      <c r="Y534" s="30"/>
      <c r="Z534" s="30"/>
      <c r="AA534" s="30"/>
      <c r="AB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85"/>
      <c r="M535" s="135"/>
      <c r="N535" s="19"/>
      <c r="O535" s="131"/>
      <c r="P535" s="128"/>
      <c r="Q535" s="30"/>
      <c r="R535" s="39"/>
      <c r="S535" s="40"/>
      <c r="T535" s="40"/>
      <c r="U535" s="40"/>
      <c r="V535" s="40"/>
      <c r="W535" s="40"/>
      <c r="X535" s="41"/>
      <c r="Y535" s="30"/>
      <c r="Z535" s="30"/>
      <c r="AA535" s="30"/>
      <c r="AB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85"/>
      <c r="M536" s="135"/>
      <c r="N536" s="19"/>
      <c r="O536" s="131"/>
      <c r="P536" s="128"/>
      <c r="Q536" s="30"/>
      <c r="R536" s="39"/>
      <c r="S536" s="40"/>
      <c r="T536" s="40"/>
      <c r="U536" s="40"/>
      <c r="V536" s="40"/>
      <c r="W536" s="40"/>
      <c r="X536" s="41"/>
      <c r="Y536" s="30"/>
      <c r="Z536" s="30"/>
      <c r="AA536" s="30"/>
      <c r="AB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85"/>
      <c r="M537" s="135"/>
      <c r="N537" s="19"/>
      <c r="O537" s="131"/>
      <c r="P537" s="128"/>
      <c r="Q537" s="30"/>
      <c r="R537" s="39"/>
      <c r="S537" s="40"/>
      <c r="T537" s="40"/>
      <c r="U537" s="40"/>
      <c r="V537" s="40"/>
      <c r="W537" s="40"/>
      <c r="X537" s="41"/>
      <c r="Y537" s="30"/>
      <c r="Z537" s="30"/>
      <c r="AA537" s="30"/>
      <c r="AB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85"/>
      <c r="M538" s="135"/>
      <c r="N538" s="19"/>
      <c r="O538" s="131"/>
      <c r="P538" s="128"/>
      <c r="Q538" s="30"/>
      <c r="R538" s="39"/>
      <c r="S538" s="40"/>
      <c r="T538" s="40"/>
      <c r="U538" s="40"/>
      <c r="V538" s="40"/>
      <c r="W538" s="40"/>
      <c r="X538" s="41"/>
      <c r="Y538" s="30"/>
      <c r="Z538" s="30"/>
      <c r="AA538" s="30"/>
      <c r="AB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85"/>
      <c r="M539" s="135"/>
      <c r="N539" s="19"/>
      <c r="O539" s="131"/>
      <c r="P539" s="128"/>
      <c r="Q539" s="30"/>
      <c r="R539" s="39"/>
      <c r="S539" s="40"/>
      <c r="T539" s="40"/>
      <c r="U539" s="40"/>
      <c r="V539" s="40"/>
      <c r="W539" s="40"/>
      <c r="X539" s="41"/>
      <c r="Y539" s="30"/>
      <c r="Z539" s="30"/>
      <c r="AA539" s="30"/>
      <c r="AB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85"/>
      <c r="M540" s="135"/>
      <c r="N540" s="19"/>
      <c r="O540" s="131"/>
      <c r="P540" s="128"/>
      <c r="Q540" s="30"/>
      <c r="R540" s="39"/>
      <c r="S540" s="40"/>
      <c r="T540" s="40"/>
      <c r="U540" s="40"/>
      <c r="V540" s="40"/>
      <c r="W540" s="40"/>
      <c r="X540" s="41"/>
      <c r="Y540" s="30"/>
      <c r="Z540" s="30"/>
      <c r="AA540" s="30"/>
      <c r="AB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85"/>
      <c r="M541" s="135"/>
      <c r="N541" s="19"/>
      <c r="O541" s="131"/>
      <c r="P541" s="128"/>
      <c r="Q541" s="30"/>
      <c r="R541" s="39"/>
      <c r="S541" s="40"/>
      <c r="T541" s="40"/>
      <c r="U541" s="40"/>
      <c r="V541" s="40"/>
      <c r="W541" s="40"/>
      <c r="X541" s="41"/>
      <c r="Y541" s="30"/>
      <c r="Z541" s="30"/>
      <c r="AA541" s="30"/>
      <c r="AB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85"/>
      <c r="M542" s="135"/>
      <c r="N542" s="19"/>
      <c r="O542" s="131"/>
      <c r="P542" s="128"/>
      <c r="Q542" s="30"/>
      <c r="R542" s="39"/>
      <c r="S542" s="40"/>
      <c r="T542" s="40"/>
      <c r="U542" s="40"/>
      <c r="V542" s="40"/>
      <c r="W542" s="40"/>
      <c r="X542" s="41"/>
      <c r="Y542" s="30"/>
      <c r="Z542" s="30"/>
      <c r="AA542" s="30"/>
      <c r="AB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85"/>
      <c r="M543" s="135"/>
      <c r="N543" s="19"/>
      <c r="O543" s="131"/>
      <c r="P543" s="128"/>
      <c r="Q543" s="30"/>
      <c r="R543" s="39"/>
      <c r="S543" s="40"/>
      <c r="T543" s="40"/>
      <c r="U543" s="40"/>
      <c r="V543" s="40"/>
      <c r="W543" s="40"/>
      <c r="X543" s="41"/>
      <c r="Y543" s="30"/>
      <c r="Z543" s="30"/>
      <c r="AA543" s="30"/>
      <c r="AB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85"/>
      <c r="M544" s="135"/>
      <c r="N544" s="19"/>
      <c r="O544" s="131"/>
      <c r="P544" s="128"/>
      <c r="Q544" s="30"/>
      <c r="R544" s="39"/>
      <c r="S544" s="40"/>
      <c r="T544" s="40"/>
      <c r="U544" s="40"/>
      <c r="V544" s="40"/>
      <c r="W544" s="40"/>
      <c r="X544" s="41"/>
      <c r="Y544" s="30"/>
      <c r="Z544" s="30"/>
      <c r="AA544" s="30"/>
      <c r="AB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85"/>
      <c r="M545" s="135"/>
      <c r="N545" s="19"/>
      <c r="O545" s="131"/>
      <c r="P545" s="128"/>
      <c r="Q545" s="30"/>
      <c r="R545" s="39"/>
      <c r="S545" s="40"/>
      <c r="T545" s="40"/>
      <c r="U545" s="40"/>
      <c r="V545" s="40"/>
      <c r="W545" s="40"/>
      <c r="X545" s="41"/>
      <c r="Y545" s="30"/>
      <c r="Z545" s="30"/>
      <c r="AA545" s="30"/>
      <c r="AB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85"/>
      <c r="M546" s="135"/>
      <c r="N546" s="19"/>
      <c r="O546" s="131"/>
      <c r="P546" s="128"/>
      <c r="Q546" s="30"/>
      <c r="R546" s="39"/>
      <c r="S546" s="40"/>
      <c r="T546" s="40"/>
      <c r="U546" s="40"/>
      <c r="V546" s="40"/>
      <c r="W546" s="40"/>
      <c r="X546" s="41"/>
      <c r="Y546" s="30"/>
      <c r="Z546" s="30"/>
      <c r="AA546" s="30"/>
      <c r="AB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85"/>
      <c r="M547" s="135"/>
      <c r="N547" s="19"/>
      <c r="O547" s="131"/>
      <c r="P547" s="128"/>
      <c r="Q547" s="30"/>
      <c r="R547" s="39"/>
      <c r="S547" s="40"/>
      <c r="T547" s="40"/>
      <c r="U547" s="40"/>
      <c r="V547" s="40"/>
      <c r="W547" s="40"/>
      <c r="X547" s="41"/>
      <c r="Y547" s="30"/>
      <c r="Z547" s="30"/>
      <c r="AA547" s="30"/>
      <c r="AB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85"/>
      <c r="M548" s="135"/>
      <c r="N548" s="19"/>
      <c r="O548" s="131"/>
      <c r="P548" s="128"/>
      <c r="Q548" s="30"/>
      <c r="R548" s="39"/>
      <c r="S548" s="40"/>
      <c r="T548" s="40"/>
      <c r="U548" s="40"/>
      <c r="V548" s="40"/>
      <c r="W548" s="40"/>
      <c r="X548" s="41"/>
      <c r="Y548" s="30"/>
      <c r="Z548" s="30"/>
      <c r="AA548" s="30"/>
      <c r="AB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85"/>
      <c r="M549" s="135"/>
      <c r="N549" s="19"/>
      <c r="O549" s="131"/>
      <c r="P549" s="128"/>
      <c r="Q549" s="30"/>
      <c r="R549" s="39"/>
      <c r="S549" s="40"/>
      <c r="T549" s="40"/>
      <c r="U549" s="40"/>
      <c r="V549" s="40"/>
      <c r="W549" s="40"/>
      <c r="X549" s="41"/>
      <c r="Y549" s="30"/>
      <c r="Z549" s="30"/>
      <c r="AA549" s="30"/>
      <c r="AB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85"/>
      <c r="M550" s="135"/>
      <c r="N550" s="19"/>
      <c r="O550" s="131"/>
      <c r="P550" s="128"/>
      <c r="Q550" s="30"/>
      <c r="R550" s="39"/>
      <c r="S550" s="40"/>
      <c r="T550" s="40"/>
      <c r="U550" s="40"/>
      <c r="V550" s="40"/>
      <c r="W550" s="40"/>
      <c r="X550" s="41"/>
      <c r="Y550" s="30"/>
      <c r="Z550" s="30"/>
      <c r="AA550" s="30"/>
      <c r="AB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85"/>
      <c r="M551" s="135"/>
      <c r="N551" s="19"/>
      <c r="O551" s="131"/>
      <c r="P551" s="128"/>
      <c r="Q551" s="30"/>
      <c r="R551" s="39"/>
      <c r="S551" s="40"/>
      <c r="T551" s="40"/>
      <c r="U551" s="40"/>
      <c r="V551" s="40"/>
      <c r="W551" s="40"/>
      <c r="X551" s="41"/>
      <c r="Y551" s="30"/>
      <c r="Z551" s="30"/>
      <c r="AA551" s="30"/>
      <c r="AB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85"/>
      <c r="M552" s="135"/>
      <c r="N552" s="19"/>
      <c r="O552" s="131"/>
      <c r="P552" s="128"/>
      <c r="Q552" s="30"/>
      <c r="R552" s="39"/>
      <c r="S552" s="40"/>
      <c r="T552" s="40"/>
      <c r="U552" s="40"/>
      <c r="V552" s="40"/>
      <c r="W552" s="40"/>
      <c r="X552" s="41"/>
      <c r="Y552" s="30"/>
      <c r="Z552" s="30"/>
      <c r="AA552" s="30"/>
      <c r="AB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85"/>
      <c r="M553" s="135"/>
      <c r="N553" s="19"/>
      <c r="O553" s="131"/>
      <c r="P553" s="128"/>
      <c r="Q553" s="30"/>
      <c r="R553" s="39"/>
      <c r="S553" s="40"/>
      <c r="T553" s="40"/>
      <c r="U553" s="40"/>
      <c r="V553" s="40"/>
      <c r="W553" s="40"/>
      <c r="X553" s="41"/>
      <c r="Y553" s="30"/>
      <c r="Z553" s="30"/>
      <c r="AA553" s="30"/>
      <c r="AB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85"/>
      <c r="M554" s="135"/>
      <c r="N554" s="19"/>
      <c r="O554" s="131"/>
      <c r="P554" s="128"/>
      <c r="Q554" s="30"/>
      <c r="R554" s="39"/>
      <c r="S554" s="40"/>
      <c r="T554" s="40"/>
      <c r="U554" s="40"/>
      <c r="V554" s="40"/>
      <c r="W554" s="40"/>
      <c r="X554" s="41"/>
      <c r="Y554" s="30"/>
      <c r="Z554" s="30"/>
      <c r="AA554" s="30"/>
      <c r="AB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85"/>
      <c r="M555" s="135"/>
      <c r="N555" s="19"/>
      <c r="O555" s="131"/>
      <c r="P555" s="128"/>
      <c r="Q555" s="30"/>
      <c r="R555" s="39"/>
      <c r="S555" s="40"/>
      <c r="T555" s="40"/>
      <c r="U555" s="40"/>
      <c r="V555" s="40"/>
      <c r="W555" s="40"/>
      <c r="X555" s="41"/>
      <c r="Y555" s="30"/>
      <c r="Z555" s="30"/>
      <c r="AA555" s="30"/>
      <c r="AB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85"/>
      <c r="M556" s="135"/>
      <c r="N556" s="19"/>
      <c r="O556" s="131"/>
      <c r="P556" s="128"/>
      <c r="Q556" s="30"/>
      <c r="R556" s="39"/>
      <c r="S556" s="40"/>
      <c r="T556" s="40"/>
      <c r="U556" s="40"/>
      <c r="V556" s="40"/>
      <c r="W556" s="40"/>
      <c r="X556" s="41"/>
      <c r="Y556" s="30"/>
      <c r="Z556" s="30"/>
      <c r="AA556" s="30"/>
      <c r="AB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85"/>
      <c r="M557" s="135"/>
      <c r="N557" s="19"/>
      <c r="O557" s="131"/>
      <c r="P557" s="128"/>
      <c r="Q557" s="30"/>
      <c r="R557" s="39"/>
      <c r="S557" s="40"/>
      <c r="T557" s="40"/>
      <c r="U557" s="40"/>
      <c r="V557" s="40"/>
      <c r="W557" s="40"/>
      <c r="X557" s="41"/>
      <c r="Y557" s="30"/>
      <c r="Z557" s="30"/>
      <c r="AA557" s="30"/>
      <c r="AB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85"/>
      <c r="M558" s="135"/>
      <c r="N558" s="19"/>
      <c r="O558" s="131"/>
      <c r="P558" s="128"/>
      <c r="Q558" s="30"/>
      <c r="R558" s="39"/>
      <c r="S558" s="40"/>
      <c r="T558" s="40"/>
      <c r="U558" s="40"/>
      <c r="V558" s="40"/>
      <c r="W558" s="40"/>
      <c r="X558" s="41"/>
      <c r="Y558" s="30"/>
      <c r="Z558" s="30"/>
      <c r="AA558" s="30"/>
      <c r="AB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85"/>
      <c r="M559" s="135"/>
      <c r="N559" s="19"/>
      <c r="O559" s="131"/>
      <c r="P559" s="128"/>
      <c r="Q559" s="30"/>
      <c r="R559" s="39"/>
      <c r="S559" s="40"/>
      <c r="T559" s="40"/>
      <c r="U559" s="40"/>
      <c r="V559" s="40"/>
      <c r="W559" s="40"/>
      <c r="X559" s="41"/>
      <c r="Y559" s="30"/>
      <c r="Z559" s="30"/>
      <c r="AA559" s="30"/>
      <c r="AB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85"/>
      <c r="M560" s="135"/>
      <c r="N560" s="19"/>
      <c r="O560" s="131"/>
      <c r="P560" s="128"/>
      <c r="Q560" s="30"/>
      <c r="R560" s="39"/>
      <c r="S560" s="40"/>
      <c r="T560" s="40"/>
      <c r="U560" s="40"/>
      <c r="V560" s="40"/>
      <c r="W560" s="40"/>
      <c r="X560" s="41"/>
      <c r="Y560" s="30"/>
      <c r="Z560" s="30"/>
      <c r="AA560" s="30"/>
      <c r="AB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85"/>
      <c r="M561" s="135"/>
      <c r="N561" s="19"/>
      <c r="O561" s="131"/>
      <c r="P561" s="128"/>
      <c r="Q561" s="30"/>
      <c r="R561" s="39"/>
      <c r="S561" s="40"/>
      <c r="T561" s="40"/>
      <c r="U561" s="40"/>
      <c r="V561" s="40"/>
      <c r="W561" s="40"/>
      <c r="X561" s="41"/>
      <c r="Y561" s="30"/>
      <c r="Z561" s="30"/>
      <c r="AA561" s="30"/>
      <c r="AB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85"/>
      <c r="M562" s="135"/>
      <c r="N562" s="19"/>
      <c r="O562" s="131"/>
      <c r="P562" s="128"/>
      <c r="Q562" s="30"/>
      <c r="R562" s="39"/>
      <c r="S562" s="40"/>
      <c r="T562" s="40"/>
      <c r="U562" s="40"/>
      <c r="V562" s="40"/>
      <c r="W562" s="40"/>
      <c r="X562" s="41"/>
      <c r="Y562" s="30"/>
      <c r="Z562" s="30"/>
      <c r="AA562" s="30"/>
      <c r="AB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85"/>
      <c r="M563" s="135"/>
      <c r="N563" s="19"/>
      <c r="O563" s="131"/>
      <c r="P563" s="128"/>
      <c r="Q563" s="30"/>
      <c r="R563" s="39"/>
      <c r="S563" s="40"/>
      <c r="T563" s="40"/>
      <c r="U563" s="40"/>
      <c r="V563" s="40"/>
      <c r="W563" s="40"/>
      <c r="X563" s="41"/>
      <c r="Y563" s="30"/>
      <c r="Z563" s="30"/>
      <c r="AA563" s="30"/>
      <c r="AB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85"/>
      <c r="M564" s="135"/>
      <c r="N564" s="19"/>
      <c r="O564" s="131"/>
      <c r="P564" s="128"/>
      <c r="Q564" s="30"/>
      <c r="R564" s="39"/>
      <c r="S564" s="40"/>
      <c r="T564" s="40"/>
      <c r="U564" s="40"/>
      <c r="V564" s="40"/>
      <c r="W564" s="40"/>
      <c r="X564" s="41"/>
      <c r="Y564" s="30"/>
      <c r="Z564" s="30"/>
      <c r="AA564" s="30"/>
      <c r="AB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85"/>
      <c r="M565" s="135"/>
      <c r="N565" s="19"/>
      <c r="O565" s="131"/>
      <c r="P565" s="128"/>
      <c r="Q565" s="30"/>
      <c r="R565" s="39"/>
      <c r="S565" s="40"/>
      <c r="T565" s="40"/>
      <c r="U565" s="40"/>
      <c r="V565" s="40"/>
      <c r="W565" s="40"/>
      <c r="X565" s="41"/>
      <c r="Y565" s="30"/>
      <c r="Z565" s="30"/>
      <c r="AA565" s="30"/>
      <c r="AB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85"/>
      <c r="M566" s="135"/>
      <c r="N566" s="19"/>
      <c r="O566" s="131"/>
      <c r="P566" s="128"/>
      <c r="Q566" s="30"/>
      <c r="R566" s="39"/>
      <c r="S566" s="40"/>
      <c r="T566" s="40"/>
      <c r="U566" s="40"/>
      <c r="V566" s="40"/>
      <c r="W566" s="40"/>
      <c r="X566" s="41"/>
      <c r="Y566" s="30"/>
      <c r="Z566" s="30"/>
      <c r="AA566" s="30"/>
      <c r="AB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85"/>
      <c r="M567" s="135"/>
      <c r="N567" s="19"/>
      <c r="O567" s="131"/>
      <c r="P567" s="128"/>
      <c r="Q567" s="30"/>
      <c r="R567" s="39"/>
      <c r="S567" s="40"/>
      <c r="T567" s="40"/>
      <c r="U567" s="40"/>
      <c r="V567" s="40"/>
      <c r="W567" s="40"/>
      <c r="X567" s="41"/>
      <c r="Y567" s="30"/>
      <c r="Z567" s="30"/>
      <c r="AA567" s="30"/>
      <c r="AB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85"/>
      <c r="M568" s="135"/>
      <c r="N568" s="19"/>
      <c r="O568" s="131"/>
      <c r="P568" s="128"/>
      <c r="Q568" s="30"/>
      <c r="R568" s="39"/>
      <c r="S568" s="40"/>
      <c r="T568" s="40"/>
      <c r="U568" s="40"/>
      <c r="V568" s="40"/>
      <c r="W568" s="40"/>
      <c r="X568" s="41"/>
      <c r="Y568" s="30"/>
      <c r="Z568" s="30"/>
      <c r="AA568" s="30"/>
      <c r="AB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85"/>
      <c r="M569" s="135"/>
      <c r="N569" s="19"/>
      <c r="O569" s="131"/>
      <c r="P569" s="128"/>
      <c r="Q569" s="30"/>
      <c r="R569" s="39"/>
      <c r="S569" s="40"/>
      <c r="T569" s="40"/>
      <c r="U569" s="40"/>
      <c r="V569" s="40"/>
      <c r="W569" s="40"/>
      <c r="X569" s="41"/>
      <c r="Y569" s="30"/>
      <c r="Z569" s="30"/>
      <c r="AA569" s="30"/>
      <c r="AB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85"/>
      <c r="M570" s="135"/>
      <c r="N570" s="19"/>
      <c r="O570" s="131"/>
      <c r="P570" s="128"/>
      <c r="Q570" s="30"/>
      <c r="R570" s="39"/>
      <c r="S570" s="40"/>
      <c r="T570" s="40"/>
      <c r="U570" s="40"/>
      <c r="V570" s="40"/>
      <c r="W570" s="40"/>
      <c r="X570" s="41"/>
      <c r="Y570" s="30"/>
      <c r="Z570" s="30"/>
      <c r="AA570" s="30"/>
      <c r="AB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85"/>
      <c r="M571" s="135"/>
      <c r="N571" s="19"/>
      <c r="O571" s="131"/>
      <c r="P571" s="128"/>
      <c r="Q571" s="30"/>
      <c r="R571" s="39"/>
      <c r="S571" s="40"/>
      <c r="T571" s="40"/>
      <c r="U571" s="40"/>
      <c r="V571" s="40"/>
      <c r="W571" s="40"/>
      <c r="X571" s="41"/>
      <c r="Y571" s="30"/>
      <c r="Z571" s="30"/>
      <c r="AA571" s="30"/>
      <c r="AB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85"/>
      <c r="M572" s="135"/>
      <c r="N572" s="19"/>
      <c r="O572" s="131"/>
      <c r="P572" s="128"/>
      <c r="Q572" s="30"/>
      <c r="R572" s="39"/>
      <c r="S572" s="40"/>
      <c r="T572" s="40"/>
      <c r="U572" s="40"/>
      <c r="V572" s="40"/>
      <c r="W572" s="40"/>
      <c r="X572" s="41"/>
      <c r="Y572" s="30"/>
      <c r="Z572" s="30"/>
      <c r="AA572" s="30"/>
      <c r="AB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85"/>
      <c r="M573" s="135"/>
      <c r="N573" s="19"/>
      <c r="O573" s="131"/>
      <c r="P573" s="128"/>
      <c r="Q573" s="30"/>
      <c r="R573" s="39"/>
      <c r="S573" s="40"/>
      <c r="T573" s="40"/>
      <c r="U573" s="40"/>
      <c r="V573" s="40"/>
      <c r="W573" s="40"/>
      <c r="X573" s="41"/>
      <c r="Y573" s="30"/>
      <c r="Z573" s="30"/>
      <c r="AA573" s="30"/>
      <c r="AB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85"/>
      <c r="M574" s="135"/>
      <c r="N574" s="19"/>
      <c r="O574" s="131"/>
      <c r="P574" s="128"/>
      <c r="Q574" s="30"/>
      <c r="R574" s="39"/>
      <c r="S574" s="40"/>
      <c r="T574" s="40"/>
      <c r="U574" s="40"/>
      <c r="V574" s="40"/>
      <c r="W574" s="40"/>
      <c r="X574" s="41"/>
      <c r="Y574" s="30"/>
      <c r="Z574" s="30"/>
      <c r="AA574" s="30"/>
      <c r="AB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85"/>
      <c r="M575" s="135"/>
      <c r="N575" s="19"/>
      <c r="O575" s="131"/>
      <c r="P575" s="128"/>
      <c r="Q575" s="30"/>
      <c r="R575" s="39"/>
      <c r="S575" s="40"/>
      <c r="T575" s="40"/>
      <c r="U575" s="40"/>
      <c r="V575" s="40"/>
      <c r="W575" s="40"/>
      <c r="X575" s="41"/>
      <c r="Y575" s="30"/>
      <c r="Z575" s="30"/>
      <c r="AA575" s="30"/>
      <c r="AB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85"/>
      <c r="M576" s="135"/>
      <c r="N576" s="19"/>
      <c r="O576" s="131"/>
      <c r="P576" s="128"/>
      <c r="Q576" s="30"/>
      <c r="R576" s="39"/>
      <c r="S576" s="40"/>
      <c r="T576" s="40"/>
      <c r="U576" s="40"/>
      <c r="V576" s="40"/>
      <c r="W576" s="40"/>
      <c r="X576" s="41"/>
      <c r="Y576" s="30"/>
      <c r="Z576" s="30"/>
      <c r="AA576" s="30"/>
      <c r="AB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85"/>
      <c r="M577" s="135"/>
      <c r="N577" s="19"/>
      <c r="O577" s="131"/>
      <c r="P577" s="128"/>
      <c r="Q577" s="30"/>
      <c r="R577" s="39"/>
      <c r="S577" s="40"/>
      <c r="T577" s="40"/>
      <c r="U577" s="40"/>
      <c r="V577" s="40"/>
      <c r="W577" s="40"/>
      <c r="X577" s="41"/>
      <c r="Y577" s="30"/>
      <c r="Z577" s="30"/>
      <c r="AA577" s="30"/>
      <c r="AB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85"/>
      <c r="M578" s="135"/>
      <c r="N578" s="19"/>
      <c r="O578" s="131"/>
      <c r="P578" s="128"/>
      <c r="Q578" s="30"/>
      <c r="R578" s="39"/>
      <c r="S578" s="40"/>
      <c r="T578" s="40"/>
      <c r="U578" s="40"/>
      <c r="V578" s="40"/>
      <c r="W578" s="40"/>
      <c r="X578" s="41"/>
      <c r="Y578" s="30"/>
      <c r="Z578" s="30"/>
      <c r="AA578" s="30"/>
      <c r="AB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85"/>
      <c r="M579" s="135"/>
      <c r="N579" s="19"/>
      <c r="O579" s="131"/>
      <c r="P579" s="128"/>
      <c r="Q579" s="30"/>
      <c r="R579" s="39"/>
      <c r="S579" s="40"/>
      <c r="T579" s="40"/>
      <c r="U579" s="40"/>
      <c r="V579" s="40"/>
      <c r="W579" s="40"/>
      <c r="X579" s="41"/>
      <c r="Y579" s="30"/>
      <c r="Z579" s="30"/>
      <c r="AA579" s="30"/>
      <c r="AB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85"/>
      <c r="M580" s="135"/>
      <c r="N580" s="19"/>
      <c r="O580" s="131"/>
      <c r="P580" s="128"/>
      <c r="Q580" s="30"/>
      <c r="R580" s="39"/>
      <c r="S580" s="40"/>
      <c r="T580" s="40"/>
      <c r="U580" s="40"/>
      <c r="V580" s="40"/>
      <c r="W580" s="40"/>
      <c r="X580" s="41"/>
      <c r="Y580" s="30"/>
      <c r="Z580" s="30"/>
      <c r="AA580" s="30"/>
      <c r="AB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85"/>
      <c r="M581" s="135"/>
      <c r="N581" s="19"/>
      <c r="O581" s="131"/>
      <c r="P581" s="128"/>
      <c r="Q581" s="30"/>
      <c r="R581" s="39"/>
      <c r="S581" s="40"/>
      <c r="T581" s="40"/>
      <c r="U581" s="40"/>
      <c r="V581" s="40"/>
      <c r="W581" s="40"/>
      <c r="X581" s="41"/>
      <c r="Y581" s="30"/>
      <c r="Z581" s="30"/>
      <c r="AA581" s="30"/>
      <c r="AB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85"/>
      <c r="M582" s="135"/>
      <c r="N582" s="19"/>
      <c r="O582" s="131"/>
      <c r="P582" s="128"/>
      <c r="Q582" s="30"/>
      <c r="R582" s="39"/>
      <c r="S582" s="40"/>
      <c r="T582" s="40"/>
      <c r="U582" s="40"/>
      <c r="V582" s="40"/>
      <c r="W582" s="40"/>
      <c r="X582" s="41"/>
      <c r="Y582" s="30"/>
      <c r="Z582" s="30"/>
      <c r="AA582" s="30"/>
      <c r="AB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85"/>
      <c r="M583" s="135"/>
      <c r="N583" s="19"/>
      <c r="O583" s="131"/>
      <c r="P583" s="128"/>
      <c r="Q583" s="30"/>
      <c r="R583" s="39"/>
      <c r="S583" s="40"/>
      <c r="T583" s="40"/>
      <c r="U583" s="40"/>
      <c r="V583" s="40"/>
      <c r="W583" s="40"/>
      <c r="X583" s="41"/>
      <c r="Y583" s="30"/>
      <c r="Z583" s="30"/>
      <c r="AA583" s="30"/>
      <c r="AB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85"/>
      <c r="M584" s="135"/>
      <c r="N584" s="19"/>
      <c r="O584" s="131"/>
      <c r="P584" s="128"/>
      <c r="Q584" s="30"/>
      <c r="R584" s="39"/>
      <c r="S584" s="40"/>
      <c r="T584" s="40"/>
      <c r="U584" s="40"/>
      <c r="V584" s="40"/>
      <c r="W584" s="40"/>
      <c r="X584" s="41"/>
      <c r="Y584" s="30"/>
      <c r="Z584" s="30"/>
      <c r="AA584" s="30"/>
      <c r="AB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85"/>
      <c r="M585" s="135"/>
      <c r="N585" s="19"/>
      <c r="O585" s="131"/>
      <c r="P585" s="128"/>
      <c r="Q585" s="30"/>
      <c r="R585" s="39"/>
      <c r="S585" s="40"/>
      <c r="T585" s="40"/>
      <c r="U585" s="40"/>
      <c r="V585" s="40"/>
      <c r="W585" s="40"/>
      <c r="X585" s="41"/>
      <c r="Y585" s="30"/>
      <c r="Z585" s="30"/>
      <c r="AA585" s="30"/>
      <c r="AB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85"/>
      <c r="M586" s="135"/>
      <c r="N586" s="19"/>
      <c r="O586" s="131"/>
      <c r="P586" s="128"/>
      <c r="Q586" s="30"/>
      <c r="R586" s="39"/>
      <c r="S586" s="40"/>
      <c r="T586" s="40"/>
      <c r="U586" s="40"/>
      <c r="V586" s="40"/>
      <c r="W586" s="40"/>
      <c r="X586" s="41"/>
      <c r="Y586" s="30"/>
      <c r="Z586" s="30"/>
      <c r="AA586" s="30"/>
      <c r="AB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85"/>
      <c r="M587" s="135"/>
      <c r="N587" s="19"/>
      <c r="O587" s="131"/>
      <c r="P587" s="128"/>
      <c r="Q587" s="30"/>
      <c r="R587" s="39"/>
      <c r="S587" s="40"/>
      <c r="T587" s="40"/>
      <c r="U587" s="40"/>
      <c r="V587" s="40"/>
      <c r="W587" s="40"/>
      <c r="X587" s="41"/>
      <c r="Y587" s="30"/>
      <c r="Z587" s="30"/>
      <c r="AA587" s="30"/>
      <c r="AB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85"/>
      <c r="M588" s="135"/>
      <c r="N588" s="19"/>
      <c r="O588" s="131"/>
      <c r="P588" s="128"/>
      <c r="Q588" s="30"/>
      <c r="R588" s="39"/>
      <c r="S588" s="40"/>
      <c r="T588" s="40"/>
      <c r="U588" s="40"/>
      <c r="V588" s="40"/>
      <c r="W588" s="40"/>
      <c r="X588" s="41"/>
      <c r="Y588" s="30"/>
      <c r="Z588" s="30"/>
      <c r="AA588" s="30"/>
      <c r="AB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85"/>
      <c r="M589" s="135"/>
      <c r="N589" s="19"/>
      <c r="O589" s="131"/>
      <c r="P589" s="128"/>
      <c r="Q589" s="30"/>
      <c r="R589" s="39"/>
      <c r="S589" s="40"/>
      <c r="T589" s="40"/>
      <c r="U589" s="40"/>
      <c r="V589" s="40"/>
      <c r="W589" s="40"/>
      <c r="X589" s="41"/>
      <c r="Y589" s="30"/>
      <c r="Z589" s="30"/>
      <c r="AA589" s="30"/>
      <c r="AB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85"/>
      <c r="M590" s="135"/>
      <c r="N590" s="19"/>
      <c r="O590" s="131"/>
      <c r="P590" s="128"/>
      <c r="Q590" s="30"/>
      <c r="R590" s="39"/>
      <c r="S590" s="40"/>
      <c r="T590" s="40"/>
      <c r="U590" s="40"/>
      <c r="V590" s="40"/>
      <c r="W590" s="40"/>
      <c r="X590" s="41"/>
      <c r="Y590" s="30"/>
      <c r="Z590" s="30"/>
      <c r="AA590" s="30"/>
      <c r="AB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85"/>
      <c r="M591" s="135"/>
      <c r="N591" s="19"/>
      <c r="O591" s="131"/>
      <c r="P591" s="128"/>
      <c r="Q591" s="30"/>
      <c r="R591" s="39"/>
      <c r="S591" s="40"/>
      <c r="T591" s="40"/>
      <c r="U591" s="40"/>
      <c r="V591" s="40"/>
      <c r="W591" s="40"/>
      <c r="X591" s="41"/>
      <c r="Y591" s="30"/>
      <c r="Z591" s="30"/>
      <c r="AA591" s="30"/>
      <c r="AB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85"/>
      <c r="M592" s="135"/>
      <c r="N592" s="19"/>
      <c r="O592" s="131"/>
      <c r="P592" s="128"/>
      <c r="Q592" s="30"/>
      <c r="R592" s="39"/>
      <c r="S592" s="40"/>
      <c r="T592" s="40"/>
      <c r="U592" s="40"/>
      <c r="V592" s="40"/>
      <c r="W592" s="40"/>
      <c r="X592" s="41"/>
      <c r="Y592" s="30"/>
      <c r="Z592" s="30"/>
      <c r="AA592" s="30"/>
      <c r="AB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85"/>
      <c r="M593" s="135"/>
      <c r="N593" s="19"/>
      <c r="O593" s="131"/>
      <c r="P593" s="128"/>
      <c r="Q593" s="30"/>
      <c r="R593" s="39"/>
      <c r="S593" s="40"/>
      <c r="T593" s="40"/>
      <c r="U593" s="40"/>
      <c r="V593" s="40"/>
      <c r="W593" s="40"/>
      <c r="X593" s="41"/>
      <c r="Y593" s="30"/>
      <c r="Z593" s="30"/>
      <c r="AA593" s="30"/>
      <c r="AB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85"/>
      <c r="M594" s="135"/>
      <c r="N594" s="19"/>
      <c r="O594" s="131"/>
      <c r="P594" s="128"/>
      <c r="Q594" s="30"/>
      <c r="R594" s="39"/>
      <c r="S594" s="40"/>
      <c r="T594" s="40"/>
      <c r="U594" s="40"/>
      <c r="V594" s="40"/>
      <c r="W594" s="40"/>
      <c r="X594" s="41"/>
      <c r="Y594" s="30"/>
      <c r="Z594" s="30"/>
      <c r="AA594" s="30"/>
      <c r="AB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85"/>
      <c r="M595" s="135"/>
      <c r="N595" s="19"/>
      <c r="O595" s="131"/>
      <c r="P595" s="128"/>
      <c r="Q595" s="30"/>
      <c r="R595" s="39"/>
      <c r="S595" s="40"/>
      <c r="T595" s="40"/>
      <c r="U595" s="40"/>
      <c r="V595" s="40"/>
      <c r="W595" s="40"/>
      <c r="X595" s="41"/>
      <c r="Y595" s="30"/>
      <c r="Z595" s="30"/>
      <c r="AA595" s="30"/>
      <c r="AB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85"/>
      <c r="M596" s="135"/>
      <c r="N596" s="19"/>
      <c r="O596" s="131"/>
      <c r="P596" s="128"/>
      <c r="Q596" s="30"/>
      <c r="R596" s="39"/>
      <c r="S596" s="40"/>
      <c r="T596" s="40"/>
      <c r="U596" s="40"/>
      <c r="V596" s="40"/>
      <c r="W596" s="40"/>
      <c r="X596" s="41"/>
      <c r="Y596" s="30"/>
      <c r="Z596" s="30"/>
      <c r="AA596" s="30"/>
      <c r="AB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85"/>
      <c r="M597" s="135"/>
      <c r="N597" s="19"/>
      <c r="O597" s="131"/>
      <c r="P597" s="128"/>
      <c r="Q597" s="30"/>
      <c r="R597" s="39"/>
      <c r="S597" s="40"/>
      <c r="T597" s="40"/>
      <c r="U597" s="40"/>
      <c r="V597" s="40"/>
      <c r="W597" s="40"/>
      <c r="X597" s="41"/>
      <c r="Y597" s="30"/>
      <c r="Z597" s="30"/>
      <c r="AA597" s="30"/>
      <c r="AB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85"/>
      <c r="M598" s="135"/>
      <c r="N598" s="19"/>
      <c r="O598" s="131"/>
      <c r="P598" s="128"/>
      <c r="Q598" s="30"/>
      <c r="R598" s="39"/>
      <c r="S598" s="40"/>
      <c r="T598" s="40"/>
      <c r="U598" s="40"/>
      <c r="V598" s="40"/>
      <c r="W598" s="40"/>
      <c r="X598" s="41"/>
      <c r="Y598" s="30"/>
      <c r="Z598" s="30"/>
      <c r="AA598" s="30"/>
      <c r="AB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85"/>
      <c r="M599" s="135"/>
      <c r="N599" s="19"/>
      <c r="O599" s="131"/>
      <c r="P599" s="128"/>
      <c r="Q599" s="30"/>
      <c r="R599" s="39"/>
      <c r="S599" s="40"/>
      <c r="T599" s="40"/>
      <c r="U599" s="40"/>
      <c r="V599" s="40"/>
      <c r="W599" s="40"/>
      <c r="X599" s="41"/>
      <c r="Y599" s="30"/>
      <c r="Z599" s="30"/>
      <c r="AA599" s="30"/>
      <c r="AB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85"/>
      <c r="M600" s="135"/>
      <c r="N600" s="19"/>
      <c r="O600" s="131"/>
      <c r="P600" s="128"/>
      <c r="Q600" s="30"/>
      <c r="R600" s="39"/>
      <c r="S600" s="40"/>
      <c r="T600" s="40"/>
      <c r="U600" s="40"/>
      <c r="V600" s="40"/>
      <c r="W600" s="40"/>
      <c r="X600" s="41"/>
      <c r="Y600" s="30"/>
      <c r="Z600" s="30"/>
      <c r="AA600" s="30"/>
      <c r="AB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85"/>
      <c r="M601" s="135"/>
      <c r="N601" s="19"/>
      <c r="O601" s="131"/>
      <c r="P601" s="128"/>
      <c r="Q601" s="30"/>
      <c r="R601" s="39"/>
      <c r="S601" s="40"/>
      <c r="T601" s="40"/>
      <c r="U601" s="40"/>
      <c r="V601" s="40"/>
      <c r="W601" s="40"/>
      <c r="X601" s="41"/>
      <c r="Y601" s="30"/>
      <c r="Z601" s="30"/>
      <c r="AA601" s="30"/>
      <c r="AB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85"/>
      <c r="M602" s="135"/>
      <c r="N602" s="19"/>
      <c r="O602" s="131"/>
      <c r="P602" s="128"/>
      <c r="Q602" s="30"/>
      <c r="R602" s="39"/>
      <c r="S602" s="40"/>
      <c r="T602" s="40"/>
      <c r="U602" s="40"/>
      <c r="V602" s="40"/>
      <c r="W602" s="40"/>
      <c r="X602" s="41"/>
      <c r="Y602" s="30"/>
      <c r="Z602" s="30"/>
      <c r="AA602" s="30"/>
      <c r="AB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85"/>
      <c r="M603" s="135"/>
      <c r="N603" s="19"/>
      <c r="O603" s="131"/>
      <c r="P603" s="128"/>
      <c r="Q603" s="30"/>
      <c r="R603" s="39"/>
      <c r="S603" s="40"/>
      <c r="T603" s="40"/>
      <c r="U603" s="40"/>
      <c r="V603" s="40"/>
      <c r="W603" s="40"/>
      <c r="X603" s="41"/>
      <c r="Y603" s="30"/>
      <c r="Z603" s="30"/>
      <c r="AA603" s="30"/>
      <c r="AB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85"/>
      <c r="M604" s="135"/>
      <c r="N604" s="19"/>
      <c r="O604" s="131"/>
      <c r="P604" s="128"/>
      <c r="Q604" s="30"/>
      <c r="R604" s="39"/>
      <c r="S604" s="40"/>
      <c r="T604" s="40"/>
      <c r="U604" s="40"/>
      <c r="V604" s="40"/>
      <c r="W604" s="40"/>
      <c r="X604" s="41"/>
      <c r="Y604" s="30"/>
      <c r="Z604" s="30"/>
      <c r="AA604" s="30"/>
      <c r="AB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85"/>
      <c r="M605" s="135"/>
      <c r="N605" s="19"/>
      <c r="O605" s="131"/>
      <c r="P605" s="128"/>
      <c r="Q605" s="30"/>
      <c r="R605" s="39"/>
      <c r="S605" s="40"/>
      <c r="T605" s="40"/>
      <c r="U605" s="40"/>
      <c r="V605" s="40"/>
      <c r="W605" s="40"/>
      <c r="X605" s="41"/>
      <c r="Y605" s="30"/>
      <c r="Z605" s="30"/>
      <c r="AA605" s="30"/>
      <c r="AB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85"/>
      <c r="M606" s="135"/>
      <c r="N606" s="19"/>
      <c r="O606" s="131"/>
      <c r="P606" s="128"/>
      <c r="Q606" s="30"/>
      <c r="R606" s="39"/>
      <c r="S606" s="40"/>
      <c r="T606" s="40"/>
      <c r="U606" s="40"/>
      <c r="V606" s="40"/>
      <c r="W606" s="40"/>
      <c r="X606" s="41"/>
      <c r="Y606" s="30"/>
      <c r="Z606" s="30"/>
      <c r="AA606" s="30"/>
      <c r="AB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85"/>
      <c r="M607" s="135"/>
      <c r="N607" s="19"/>
      <c r="O607" s="131"/>
      <c r="P607" s="128"/>
      <c r="Q607" s="30"/>
      <c r="R607" s="39"/>
      <c r="S607" s="40"/>
      <c r="T607" s="40"/>
      <c r="U607" s="40"/>
      <c r="V607" s="40"/>
      <c r="W607" s="40"/>
      <c r="X607" s="41"/>
      <c r="Y607" s="30"/>
      <c r="Z607" s="30"/>
      <c r="AA607" s="30"/>
      <c r="AB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85"/>
      <c r="M608" s="135"/>
      <c r="N608" s="19"/>
      <c r="O608" s="131"/>
      <c r="P608" s="128"/>
      <c r="Q608" s="30"/>
      <c r="R608" s="39"/>
      <c r="S608" s="40"/>
      <c r="T608" s="40"/>
      <c r="U608" s="40"/>
      <c r="V608" s="40"/>
      <c r="W608" s="40"/>
      <c r="X608" s="41"/>
      <c r="Y608" s="30"/>
      <c r="Z608" s="30"/>
      <c r="AA608" s="30"/>
      <c r="AB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85"/>
      <c r="M609" s="135"/>
      <c r="N609" s="19"/>
      <c r="O609" s="131"/>
      <c r="P609" s="128"/>
      <c r="Q609" s="30"/>
      <c r="R609" s="39"/>
      <c r="S609" s="40"/>
      <c r="T609" s="40"/>
      <c r="U609" s="40"/>
      <c r="V609" s="40"/>
      <c r="W609" s="40"/>
      <c r="X609" s="41"/>
      <c r="Y609" s="30"/>
      <c r="Z609" s="30"/>
      <c r="AA609" s="30"/>
      <c r="AB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85"/>
      <c r="M610" s="135"/>
      <c r="N610" s="19"/>
      <c r="O610" s="131"/>
      <c r="P610" s="128"/>
      <c r="Q610" s="30"/>
      <c r="R610" s="39"/>
      <c r="S610" s="40"/>
      <c r="T610" s="40"/>
      <c r="U610" s="40"/>
      <c r="V610" s="40"/>
      <c r="W610" s="40"/>
      <c r="X610" s="41"/>
      <c r="Y610" s="30"/>
      <c r="Z610" s="30"/>
      <c r="AA610" s="30"/>
      <c r="AB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85"/>
      <c r="M611" s="135"/>
      <c r="N611" s="19"/>
      <c r="O611" s="131"/>
      <c r="P611" s="128"/>
      <c r="Q611" s="30"/>
      <c r="R611" s="39"/>
      <c r="S611" s="40"/>
      <c r="T611" s="40"/>
      <c r="U611" s="40"/>
      <c r="V611" s="40"/>
      <c r="W611" s="40"/>
      <c r="X611" s="41"/>
      <c r="Y611" s="30"/>
      <c r="Z611" s="30"/>
      <c r="AA611" s="30"/>
      <c r="AB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85"/>
      <c r="M612" s="135"/>
      <c r="N612" s="19"/>
      <c r="O612" s="131"/>
      <c r="P612" s="128"/>
      <c r="Q612" s="30"/>
      <c r="R612" s="39"/>
      <c r="S612" s="40"/>
      <c r="T612" s="40"/>
      <c r="U612" s="40"/>
      <c r="V612" s="40"/>
      <c r="W612" s="40"/>
      <c r="X612" s="41"/>
      <c r="Y612" s="30"/>
      <c r="Z612" s="30"/>
      <c r="AA612" s="30"/>
      <c r="AB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85"/>
      <c r="M613" s="135"/>
      <c r="N613" s="19"/>
      <c r="O613" s="131"/>
      <c r="P613" s="128"/>
      <c r="Q613" s="30"/>
      <c r="R613" s="39"/>
      <c r="S613" s="40"/>
      <c r="T613" s="40"/>
      <c r="U613" s="40"/>
      <c r="V613" s="40"/>
      <c r="W613" s="40"/>
      <c r="X613" s="41"/>
      <c r="Y613" s="30"/>
      <c r="Z613" s="30"/>
      <c r="AA613" s="30"/>
      <c r="AB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85"/>
      <c r="M614" s="135"/>
      <c r="N614" s="19"/>
      <c r="O614" s="131"/>
      <c r="P614" s="128"/>
      <c r="Q614" s="30"/>
      <c r="R614" s="39"/>
      <c r="S614" s="40"/>
      <c r="T614" s="40"/>
      <c r="U614" s="40"/>
      <c r="V614" s="40"/>
      <c r="W614" s="40"/>
      <c r="X614" s="41"/>
      <c r="Y614" s="30"/>
      <c r="Z614" s="30"/>
      <c r="AA614" s="30"/>
      <c r="AB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85"/>
      <c r="M615" s="135"/>
      <c r="N615" s="19"/>
      <c r="O615" s="131"/>
      <c r="P615" s="128"/>
      <c r="Q615" s="30"/>
      <c r="R615" s="39"/>
      <c r="S615" s="40"/>
      <c r="T615" s="40"/>
      <c r="U615" s="40"/>
      <c r="V615" s="40"/>
      <c r="W615" s="40"/>
      <c r="X615" s="41"/>
      <c r="Y615" s="30"/>
      <c r="Z615" s="30"/>
      <c r="AA615" s="30"/>
      <c r="AB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85"/>
      <c r="M616" s="135"/>
      <c r="N616" s="19"/>
      <c r="O616" s="131"/>
      <c r="P616" s="128"/>
      <c r="Q616" s="30"/>
      <c r="R616" s="39"/>
      <c r="S616" s="40"/>
      <c r="T616" s="40"/>
      <c r="U616" s="40"/>
      <c r="V616" s="40"/>
      <c r="W616" s="40"/>
      <c r="X616" s="41"/>
      <c r="Y616" s="30"/>
      <c r="Z616" s="30"/>
      <c r="AA616" s="30"/>
      <c r="AB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85"/>
      <c r="M617" s="135"/>
      <c r="N617" s="19"/>
      <c r="O617" s="131"/>
      <c r="P617" s="128"/>
      <c r="Q617" s="30"/>
      <c r="R617" s="39"/>
      <c r="S617" s="40"/>
      <c r="T617" s="40"/>
      <c r="U617" s="40"/>
      <c r="V617" s="40"/>
      <c r="W617" s="40"/>
      <c r="X617" s="41"/>
      <c r="Y617" s="30"/>
      <c r="Z617" s="30"/>
      <c r="AA617" s="30"/>
      <c r="AB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85"/>
      <c r="M618" s="135"/>
      <c r="N618" s="19"/>
      <c r="O618" s="131"/>
      <c r="P618" s="128"/>
      <c r="Q618" s="30"/>
      <c r="R618" s="39"/>
      <c r="S618" s="40"/>
      <c r="T618" s="40"/>
      <c r="U618" s="40"/>
      <c r="V618" s="40"/>
      <c r="W618" s="40"/>
      <c r="X618" s="41"/>
      <c r="Y618" s="30"/>
      <c r="Z618" s="30"/>
      <c r="AA618" s="30"/>
      <c r="AB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85"/>
      <c r="M619" s="135"/>
      <c r="N619" s="19"/>
      <c r="O619" s="131"/>
      <c r="P619" s="128"/>
      <c r="Q619" s="30"/>
      <c r="R619" s="39"/>
      <c r="S619" s="40"/>
      <c r="T619" s="40"/>
      <c r="U619" s="40"/>
      <c r="V619" s="40"/>
      <c r="W619" s="40"/>
      <c r="X619" s="41"/>
      <c r="Y619" s="30"/>
      <c r="Z619" s="30"/>
      <c r="AA619" s="30"/>
      <c r="AB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85"/>
      <c r="M620" s="135"/>
      <c r="N620" s="19"/>
      <c r="O620" s="131"/>
      <c r="P620" s="128"/>
      <c r="Q620" s="30"/>
      <c r="R620" s="39"/>
      <c r="S620" s="40"/>
      <c r="T620" s="40"/>
      <c r="U620" s="40"/>
      <c r="V620" s="40"/>
      <c r="W620" s="40"/>
      <c r="X620" s="41"/>
      <c r="Y620" s="30"/>
      <c r="Z620" s="30"/>
      <c r="AA620" s="30"/>
      <c r="AB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85"/>
      <c r="M621" s="135"/>
      <c r="N621" s="19"/>
      <c r="O621" s="131"/>
      <c r="P621" s="128"/>
      <c r="Q621" s="30"/>
      <c r="R621" s="39"/>
      <c r="S621" s="40"/>
      <c r="T621" s="40"/>
      <c r="U621" s="40"/>
      <c r="V621" s="40"/>
      <c r="W621" s="40"/>
      <c r="X621" s="41"/>
      <c r="Y621" s="30"/>
      <c r="Z621" s="30"/>
      <c r="AA621" s="30"/>
      <c r="AB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85"/>
      <c r="M622" s="135"/>
      <c r="N622" s="19"/>
      <c r="O622" s="131"/>
      <c r="P622" s="128"/>
      <c r="Q622" s="30"/>
      <c r="R622" s="39"/>
      <c r="S622" s="40"/>
      <c r="T622" s="40"/>
      <c r="U622" s="40"/>
      <c r="V622" s="40"/>
      <c r="W622" s="40"/>
      <c r="X622" s="41"/>
      <c r="Y622" s="30"/>
      <c r="Z622" s="30"/>
      <c r="AA622" s="30"/>
      <c r="AB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85"/>
      <c r="M623" s="135"/>
      <c r="N623" s="19"/>
      <c r="O623" s="131"/>
      <c r="P623" s="128"/>
      <c r="Q623" s="30"/>
      <c r="R623" s="39"/>
      <c r="S623" s="40"/>
      <c r="T623" s="40"/>
      <c r="U623" s="40"/>
      <c r="V623" s="40"/>
      <c r="W623" s="40"/>
      <c r="X623" s="41"/>
      <c r="Y623" s="30"/>
      <c r="Z623" s="30"/>
      <c r="AA623" s="30"/>
      <c r="AB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85"/>
      <c r="M624" s="135"/>
      <c r="N624" s="19"/>
      <c r="O624" s="131"/>
      <c r="P624" s="128"/>
      <c r="Q624" s="30"/>
      <c r="R624" s="39"/>
      <c r="S624" s="40"/>
      <c r="T624" s="40"/>
      <c r="U624" s="40"/>
      <c r="V624" s="40"/>
      <c r="W624" s="40"/>
      <c r="X624" s="41"/>
      <c r="Y624" s="30"/>
      <c r="Z624" s="30"/>
      <c r="AA624" s="30"/>
      <c r="AB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85"/>
      <c r="M625" s="135"/>
      <c r="N625" s="19"/>
      <c r="O625" s="131"/>
      <c r="P625" s="128"/>
      <c r="Q625" s="30"/>
      <c r="R625" s="39"/>
      <c r="S625" s="40"/>
      <c r="T625" s="40"/>
      <c r="U625" s="40"/>
      <c r="V625" s="40"/>
      <c r="W625" s="40"/>
      <c r="X625" s="41"/>
      <c r="Y625" s="30"/>
      <c r="Z625" s="30"/>
      <c r="AA625" s="30"/>
      <c r="AB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85"/>
      <c r="M626" s="135"/>
      <c r="N626" s="19"/>
      <c r="O626" s="131"/>
      <c r="P626" s="128"/>
      <c r="Q626" s="30"/>
      <c r="R626" s="39"/>
      <c r="S626" s="40"/>
      <c r="T626" s="40"/>
      <c r="U626" s="40"/>
      <c r="V626" s="40"/>
      <c r="W626" s="40"/>
      <c r="X626" s="41"/>
      <c r="Y626" s="30"/>
      <c r="Z626" s="30"/>
      <c r="AA626" s="30"/>
      <c r="AB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85"/>
      <c r="M627" s="135"/>
      <c r="N627" s="19"/>
      <c r="O627" s="131"/>
      <c r="P627" s="128"/>
      <c r="Q627" s="30"/>
      <c r="R627" s="39"/>
      <c r="S627" s="40"/>
      <c r="T627" s="40"/>
      <c r="U627" s="40"/>
      <c r="V627" s="40"/>
      <c r="W627" s="40"/>
      <c r="X627" s="41"/>
      <c r="Y627" s="30"/>
      <c r="Z627" s="30"/>
      <c r="AA627" s="30"/>
      <c r="AB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85"/>
      <c r="M628" s="135"/>
      <c r="N628" s="19"/>
      <c r="O628" s="131"/>
      <c r="P628" s="128"/>
      <c r="Q628" s="30"/>
      <c r="R628" s="39"/>
      <c r="S628" s="40"/>
      <c r="T628" s="40"/>
      <c r="U628" s="40"/>
      <c r="V628" s="40"/>
      <c r="W628" s="40"/>
      <c r="X628" s="41"/>
      <c r="Y628" s="30"/>
      <c r="Z628" s="30"/>
      <c r="AA628" s="30"/>
      <c r="AB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85"/>
      <c r="M629" s="135"/>
      <c r="N629" s="19"/>
      <c r="O629" s="131"/>
      <c r="P629" s="128"/>
      <c r="Q629" s="30"/>
      <c r="R629" s="39"/>
      <c r="S629" s="40"/>
      <c r="T629" s="40"/>
      <c r="U629" s="40"/>
      <c r="V629" s="40"/>
      <c r="W629" s="40"/>
      <c r="X629" s="41"/>
      <c r="Y629" s="30"/>
      <c r="Z629" s="30"/>
      <c r="AA629" s="30"/>
      <c r="AB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85"/>
      <c r="M630" s="135"/>
      <c r="N630" s="19"/>
      <c r="O630" s="131"/>
      <c r="P630" s="128"/>
      <c r="Q630" s="30"/>
      <c r="R630" s="39"/>
      <c r="S630" s="40"/>
      <c r="T630" s="40"/>
      <c r="U630" s="40"/>
      <c r="V630" s="40"/>
      <c r="W630" s="40"/>
      <c r="X630" s="41"/>
      <c r="Y630" s="30"/>
      <c r="Z630" s="30"/>
      <c r="AA630" s="30"/>
      <c r="AB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85"/>
      <c r="M631" s="135"/>
      <c r="N631" s="19"/>
      <c r="O631" s="131"/>
      <c r="P631" s="128"/>
      <c r="Q631" s="30"/>
      <c r="R631" s="39"/>
      <c r="S631" s="40"/>
      <c r="T631" s="40"/>
      <c r="U631" s="40"/>
      <c r="V631" s="40"/>
      <c r="W631" s="40"/>
      <c r="X631" s="41"/>
      <c r="Y631" s="30"/>
      <c r="Z631" s="30"/>
      <c r="AA631" s="30"/>
      <c r="AB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85"/>
      <c r="M632" s="135"/>
      <c r="N632" s="19"/>
      <c r="O632" s="131"/>
      <c r="P632" s="128"/>
      <c r="Q632" s="30"/>
      <c r="R632" s="39"/>
      <c r="S632" s="40"/>
      <c r="T632" s="40"/>
      <c r="U632" s="40"/>
      <c r="V632" s="40"/>
      <c r="W632" s="40"/>
      <c r="X632" s="41"/>
      <c r="Y632" s="30"/>
      <c r="Z632" s="30"/>
      <c r="AA632" s="30"/>
      <c r="AB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85"/>
      <c r="M633" s="135"/>
      <c r="N633" s="19"/>
      <c r="O633" s="131"/>
      <c r="P633" s="128"/>
      <c r="Q633" s="30"/>
      <c r="R633" s="39"/>
      <c r="S633" s="40"/>
      <c r="T633" s="40"/>
      <c r="U633" s="40"/>
      <c r="V633" s="40"/>
      <c r="W633" s="40"/>
      <c r="X633" s="41"/>
      <c r="Y633" s="30"/>
      <c r="Z633" s="30"/>
      <c r="AA633" s="30"/>
      <c r="AB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85"/>
      <c r="M634" s="135"/>
      <c r="N634" s="19"/>
      <c r="O634" s="131"/>
      <c r="P634" s="128"/>
      <c r="Q634" s="30"/>
      <c r="R634" s="39"/>
      <c r="S634" s="40"/>
      <c r="T634" s="40"/>
      <c r="U634" s="40"/>
      <c r="V634" s="40"/>
      <c r="W634" s="40"/>
      <c r="X634" s="41"/>
      <c r="Y634" s="30"/>
      <c r="Z634" s="30"/>
      <c r="AA634" s="30"/>
      <c r="AB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85"/>
      <c r="M635" s="135"/>
      <c r="N635" s="19"/>
      <c r="O635" s="131"/>
      <c r="P635" s="128"/>
      <c r="Q635" s="30"/>
      <c r="R635" s="39"/>
      <c r="S635" s="40"/>
      <c r="T635" s="40"/>
      <c r="U635" s="40"/>
      <c r="V635" s="40"/>
      <c r="W635" s="40"/>
      <c r="X635" s="41"/>
      <c r="Y635" s="30"/>
      <c r="Z635" s="30"/>
      <c r="AA635" s="30"/>
      <c r="AB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85"/>
      <c r="M636" s="135"/>
      <c r="N636" s="19"/>
      <c r="O636" s="131"/>
      <c r="P636" s="128"/>
      <c r="Q636" s="30"/>
      <c r="R636" s="39"/>
      <c r="S636" s="40"/>
      <c r="T636" s="40"/>
      <c r="U636" s="40"/>
      <c r="V636" s="40"/>
      <c r="W636" s="40"/>
      <c r="X636" s="41"/>
      <c r="Y636" s="30"/>
      <c r="Z636" s="30"/>
      <c r="AA636" s="30"/>
      <c r="AB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85"/>
      <c r="M637" s="135"/>
      <c r="N637" s="19"/>
      <c r="O637" s="131"/>
      <c r="P637" s="128"/>
      <c r="Q637" s="30"/>
      <c r="R637" s="39"/>
      <c r="S637" s="40"/>
      <c r="T637" s="40"/>
      <c r="U637" s="40"/>
      <c r="V637" s="40"/>
      <c r="W637" s="40"/>
      <c r="X637" s="41"/>
      <c r="Y637" s="30"/>
      <c r="Z637" s="30"/>
      <c r="AA637" s="30"/>
      <c r="AB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85"/>
      <c r="M638" s="135"/>
      <c r="N638" s="19"/>
      <c r="O638" s="131"/>
      <c r="P638" s="128"/>
      <c r="Q638" s="30"/>
      <c r="R638" s="39"/>
      <c r="S638" s="40"/>
      <c r="T638" s="40"/>
      <c r="U638" s="40"/>
      <c r="V638" s="40"/>
      <c r="W638" s="40"/>
      <c r="X638" s="41"/>
      <c r="Y638" s="30"/>
      <c r="Z638" s="30"/>
      <c r="AA638" s="30"/>
      <c r="AB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85"/>
      <c r="M639" s="135"/>
      <c r="N639" s="19"/>
      <c r="O639" s="131"/>
      <c r="P639" s="128"/>
      <c r="Q639" s="30"/>
      <c r="R639" s="39"/>
      <c r="S639" s="40"/>
      <c r="T639" s="40"/>
      <c r="U639" s="40"/>
      <c r="V639" s="40"/>
      <c r="W639" s="40"/>
      <c r="X639" s="41"/>
      <c r="Y639" s="30"/>
      <c r="Z639" s="30"/>
      <c r="AA639" s="30"/>
      <c r="AB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85"/>
      <c r="M640" s="135"/>
      <c r="N640" s="19"/>
      <c r="O640" s="131"/>
      <c r="P640" s="128"/>
      <c r="Q640" s="30"/>
      <c r="R640" s="39"/>
      <c r="S640" s="40"/>
      <c r="T640" s="40"/>
      <c r="U640" s="40"/>
      <c r="V640" s="40"/>
      <c r="W640" s="40"/>
      <c r="X640" s="41"/>
      <c r="Y640" s="30"/>
      <c r="Z640" s="30"/>
      <c r="AA640" s="30"/>
      <c r="AB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85"/>
      <c r="M641" s="135"/>
      <c r="N641" s="19"/>
      <c r="O641" s="131"/>
      <c r="P641" s="128"/>
      <c r="Q641" s="30"/>
      <c r="R641" s="39"/>
      <c r="S641" s="40"/>
      <c r="T641" s="40"/>
      <c r="U641" s="40"/>
      <c r="V641" s="40"/>
      <c r="W641" s="40"/>
      <c r="X641" s="41"/>
      <c r="Y641" s="30"/>
      <c r="Z641" s="30"/>
      <c r="AA641" s="30"/>
      <c r="AB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85"/>
      <c r="M642" s="135"/>
      <c r="N642" s="19"/>
      <c r="O642" s="131"/>
      <c r="P642" s="128"/>
      <c r="Q642" s="30"/>
      <c r="R642" s="39"/>
      <c r="S642" s="40"/>
      <c r="T642" s="40"/>
      <c r="U642" s="40"/>
      <c r="V642" s="40"/>
      <c r="W642" s="40"/>
      <c r="X642" s="41"/>
      <c r="Y642" s="30"/>
      <c r="Z642" s="30"/>
      <c r="AA642" s="30"/>
      <c r="AB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85"/>
      <c r="M643" s="135"/>
      <c r="N643" s="19"/>
      <c r="O643" s="131"/>
      <c r="P643" s="128"/>
      <c r="Q643" s="30"/>
      <c r="R643" s="39"/>
      <c r="S643" s="40"/>
      <c r="T643" s="40"/>
      <c r="U643" s="40"/>
      <c r="V643" s="40"/>
      <c r="W643" s="40"/>
      <c r="X643" s="41"/>
      <c r="Y643" s="30"/>
      <c r="Z643" s="30"/>
      <c r="AA643" s="30"/>
      <c r="AB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85"/>
      <c r="M644" s="135"/>
      <c r="N644" s="19"/>
      <c r="O644" s="131"/>
      <c r="P644" s="128"/>
      <c r="Q644" s="30"/>
      <c r="R644" s="39"/>
      <c r="S644" s="40"/>
      <c r="T644" s="40"/>
      <c r="U644" s="40"/>
      <c r="V644" s="40"/>
      <c r="W644" s="40"/>
      <c r="X644" s="41"/>
      <c r="Y644" s="30"/>
      <c r="Z644" s="30"/>
      <c r="AA644" s="30"/>
      <c r="AB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85"/>
      <c r="M645" s="135"/>
      <c r="N645" s="19"/>
      <c r="O645" s="131"/>
      <c r="P645" s="128"/>
      <c r="Q645" s="30"/>
      <c r="R645" s="39"/>
      <c r="S645" s="40"/>
      <c r="T645" s="40"/>
      <c r="U645" s="40"/>
      <c r="V645" s="40"/>
      <c r="W645" s="40"/>
      <c r="X645" s="41"/>
      <c r="Y645" s="30"/>
      <c r="Z645" s="30"/>
      <c r="AA645" s="30"/>
      <c r="AB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85"/>
      <c r="M646" s="135"/>
      <c r="N646" s="19"/>
      <c r="O646" s="131"/>
      <c r="P646" s="128"/>
      <c r="Q646" s="30"/>
      <c r="R646" s="39"/>
      <c r="S646" s="40"/>
      <c r="T646" s="40"/>
      <c r="U646" s="40"/>
      <c r="V646" s="40"/>
      <c r="W646" s="40"/>
      <c r="X646" s="41"/>
      <c r="Y646" s="30"/>
      <c r="Z646" s="30"/>
      <c r="AA646" s="30"/>
      <c r="AB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85"/>
      <c r="M647" s="135"/>
      <c r="N647" s="19"/>
      <c r="O647" s="131"/>
      <c r="P647" s="128"/>
      <c r="Q647" s="30"/>
      <c r="R647" s="39"/>
      <c r="S647" s="40"/>
      <c r="T647" s="40"/>
      <c r="U647" s="40"/>
      <c r="V647" s="40"/>
      <c r="W647" s="40"/>
      <c r="X647" s="41"/>
      <c r="Y647" s="30"/>
      <c r="Z647" s="30"/>
      <c r="AA647" s="30"/>
      <c r="AB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85"/>
      <c r="M648" s="135"/>
      <c r="N648" s="19"/>
      <c r="O648" s="131"/>
      <c r="P648" s="128"/>
      <c r="Q648" s="30"/>
      <c r="R648" s="39"/>
      <c r="S648" s="40"/>
      <c r="T648" s="40"/>
      <c r="U648" s="40"/>
      <c r="V648" s="40"/>
      <c r="W648" s="40"/>
      <c r="X648" s="41"/>
      <c r="Y648" s="30"/>
      <c r="Z648" s="30"/>
      <c r="AA648" s="30"/>
      <c r="AB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85"/>
      <c r="M649" s="135"/>
      <c r="N649" s="19"/>
      <c r="O649" s="131"/>
      <c r="P649" s="128"/>
      <c r="Q649" s="30"/>
      <c r="R649" s="39"/>
      <c r="S649" s="40"/>
      <c r="T649" s="40"/>
      <c r="U649" s="40"/>
      <c r="V649" s="40"/>
      <c r="W649" s="40"/>
      <c r="X649" s="41"/>
      <c r="Y649" s="30"/>
      <c r="Z649" s="30"/>
      <c r="AA649" s="30"/>
      <c r="AB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85"/>
      <c r="M650" s="135"/>
      <c r="N650" s="19"/>
      <c r="O650" s="131"/>
      <c r="P650" s="128"/>
      <c r="Q650" s="30"/>
      <c r="R650" s="39"/>
      <c r="S650" s="40"/>
      <c r="T650" s="40"/>
      <c r="U650" s="40"/>
      <c r="V650" s="40"/>
      <c r="W650" s="40"/>
      <c r="X650" s="41"/>
      <c r="Y650" s="30"/>
      <c r="Z650" s="30"/>
      <c r="AA650" s="30"/>
      <c r="AB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85"/>
      <c r="M651" s="135"/>
      <c r="N651" s="19"/>
      <c r="O651" s="131"/>
      <c r="P651" s="128"/>
      <c r="Q651" s="30"/>
      <c r="R651" s="39"/>
      <c r="S651" s="40"/>
      <c r="T651" s="40"/>
      <c r="U651" s="40"/>
      <c r="V651" s="40"/>
      <c r="W651" s="40"/>
      <c r="X651" s="41"/>
      <c r="Y651" s="30"/>
      <c r="Z651" s="30"/>
      <c r="AA651" s="30"/>
      <c r="AB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85"/>
      <c r="M652" s="135"/>
      <c r="N652" s="19"/>
      <c r="O652" s="131"/>
      <c r="P652" s="128"/>
      <c r="Q652" s="30"/>
      <c r="R652" s="39"/>
      <c r="S652" s="40"/>
      <c r="T652" s="40"/>
      <c r="U652" s="40"/>
      <c r="V652" s="40"/>
      <c r="W652" s="40"/>
      <c r="X652" s="41"/>
      <c r="Y652" s="30"/>
      <c r="Z652" s="30"/>
      <c r="AA652" s="30"/>
      <c r="AB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85"/>
      <c r="M653" s="135"/>
      <c r="N653" s="19"/>
      <c r="O653" s="131"/>
      <c r="P653" s="128"/>
      <c r="Q653" s="30"/>
      <c r="R653" s="39"/>
      <c r="S653" s="40"/>
      <c r="T653" s="40"/>
      <c r="U653" s="40"/>
      <c r="V653" s="40"/>
      <c r="W653" s="40"/>
      <c r="X653" s="41"/>
      <c r="Y653" s="30"/>
      <c r="Z653" s="30"/>
      <c r="AA653" s="30"/>
      <c r="AB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85"/>
      <c r="M654" s="135"/>
      <c r="N654" s="19"/>
      <c r="O654" s="131"/>
      <c r="P654" s="128"/>
      <c r="Q654" s="30"/>
      <c r="R654" s="39"/>
      <c r="S654" s="40"/>
      <c r="T654" s="40"/>
      <c r="U654" s="40"/>
      <c r="V654" s="40"/>
      <c r="W654" s="40"/>
      <c r="X654" s="41"/>
      <c r="Y654" s="30"/>
      <c r="Z654" s="30"/>
      <c r="AA654" s="30"/>
      <c r="AB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85"/>
      <c r="M655" s="135"/>
      <c r="N655" s="19"/>
      <c r="O655" s="131"/>
      <c r="P655" s="128"/>
      <c r="Q655" s="30"/>
      <c r="R655" s="39"/>
      <c r="S655" s="40"/>
      <c r="T655" s="40"/>
      <c r="U655" s="40"/>
      <c r="V655" s="40"/>
      <c r="W655" s="40"/>
      <c r="X655" s="41"/>
      <c r="Y655" s="30"/>
      <c r="Z655" s="30"/>
      <c r="AA655" s="30"/>
      <c r="AB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85"/>
      <c r="M656" s="135"/>
      <c r="N656" s="19"/>
      <c r="O656" s="131"/>
      <c r="P656" s="128"/>
      <c r="Q656" s="30"/>
      <c r="R656" s="39"/>
      <c r="S656" s="40"/>
      <c r="T656" s="40"/>
      <c r="U656" s="40"/>
      <c r="V656" s="40"/>
      <c r="W656" s="40"/>
      <c r="X656" s="41"/>
      <c r="Y656" s="30"/>
      <c r="Z656" s="30"/>
      <c r="AA656" s="30"/>
      <c r="AB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85"/>
      <c r="M657" s="135"/>
      <c r="N657" s="19"/>
      <c r="O657" s="131"/>
      <c r="P657" s="128"/>
      <c r="Q657" s="30"/>
      <c r="R657" s="39"/>
      <c r="S657" s="40"/>
      <c r="T657" s="40"/>
      <c r="U657" s="40"/>
      <c r="V657" s="40"/>
      <c r="W657" s="40"/>
      <c r="X657" s="41"/>
      <c r="Y657" s="30"/>
      <c r="Z657" s="30"/>
      <c r="AA657" s="30"/>
      <c r="AB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85"/>
      <c r="M658" s="135"/>
      <c r="N658" s="19"/>
      <c r="O658" s="131"/>
      <c r="P658" s="128"/>
      <c r="Q658" s="30"/>
      <c r="R658" s="39"/>
      <c r="S658" s="40"/>
      <c r="T658" s="40"/>
      <c r="U658" s="40"/>
      <c r="V658" s="40"/>
      <c r="W658" s="40"/>
      <c r="X658" s="41"/>
      <c r="Y658" s="30"/>
      <c r="Z658" s="30"/>
      <c r="AA658" s="30"/>
      <c r="AB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85"/>
      <c r="M659" s="135"/>
      <c r="N659" s="19"/>
      <c r="O659" s="131"/>
      <c r="P659" s="128"/>
      <c r="Q659" s="30"/>
      <c r="R659" s="39"/>
      <c r="S659" s="40"/>
      <c r="T659" s="40"/>
      <c r="U659" s="40"/>
      <c r="V659" s="40"/>
      <c r="W659" s="40"/>
      <c r="X659" s="41"/>
      <c r="Y659" s="30"/>
      <c r="Z659" s="30"/>
      <c r="AA659" s="30"/>
      <c r="AB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85"/>
      <c r="M660" s="135"/>
      <c r="N660" s="19"/>
      <c r="O660" s="131"/>
      <c r="P660" s="128"/>
      <c r="Q660" s="30"/>
      <c r="R660" s="39"/>
      <c r="S660" s="40"/>
      <c r="T660" s="40"/>
      <c r="U660" s="40"/>
      <c r="V660" s="40"/>
      <c r="W660" s="40"/>
      <c r="X660" s="41"/>
      <c r="Y660" s="30"/>
      <c r="Z660" s="30"/>
      <c r="AA660" s="30"/>
      <c r="AB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85"/>
      <c r="M661" s="135"/>
      <c r="N661" s="19"/>
      <c r="O661" s="131"/>
      <c r="P661" s="128"/>
      <c r="Q661" s="30"/>
      <c r="R661" s="39"/>
      <c r="S661" s="40"/>
      <c r="T661" s="40"/>
      <c r="U661" s="40"/>
      <c r="V661" s="40"/>
      <c r="W661" s="40"/>
      <c r="X661" s="41"/>
      <c r="Y661" s="30"/>
      <c r="Z661" s="30"/>
      <c r="AA661" s="30"/>
      <c r="AB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85"/>
      <c r="M662" s="135"/>
      <c r="N662" s="19"/>
      <c r="O662" s="131"/>
      <c r="P662" s="128"/>
      <c r="Q662" s="30"/>
      <c r="R662" s="39"/>
      <c r="S662" s="40"/>
      <c r="T662" s="40"/>
      <c r="U662" s="40"/>
      <c r="V662" s="40"/>
      <c r="W662" s="40"/>
      <c r="X662" s="41"/>
      <c r="Y662" s="30"/>
      <c r="Z662" s="30"/>
      <c r="AA662" s="30"/>
      <c r="AB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85"/>
      <c r="M663" s="135"/>
      <c r="N663" s="19"/>
      <c r="O663" s="131"/>
      <c r="P663" s="128"/>
      <c r="Q663" s="30"/>
      <c r="R663" s="39"/>
      <c r="S663" s="40"/>
      <c r="T663" s="40"/>
      <c r="U663" s="40"/>
      <c r="V663" s="40"/>
      <c r="W663" s="40"/>
      <c r="X663" s="41"/>
      <c r="Y663" s="30"/>
      <c r="Z663" s="30"/>
      <c r="AA663" s="30"/>
      <c r="AB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85"/>
      <c r="M664" s="135"/>
      <c r="N664" s="19"/>
      <c r="O664" s="131"/>
      <c r="P664" s="128"/>
      <c r="Q664" s="30"/>
      <c r="R664" s="39"/>
      <c r="S664" s="40"/>
      <c r="T664" s="40"/>
      <c r="U664" s="40"/>
      <c r="V664" s="40"/>
      <c r="W664" s="40"/>
      <c r="X664" s="41"/>
      <c r="Y664" s="30"/>
      <c r="Z664" s="30"/>
      <c r="AA664" s="30"/>
      <c r="AB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85"/>
      <c r="M665" s="135"/>
      <c r="N665" s="19"/>
      <c r="O665" s="131"/>
      <c r="P665" s="128"/>
      <c r="Q665" s="30"/>
      <c r="R665" s="39"/>
      <c r="S665" s="40"/>
      <c r="T665" s="40"/>
      <c r="U665" s="40"/>
      <c r="V665" s="40"/>
      <c r="W665" s="40"/>
      <c r="X665" s="41"/>
      <c r="Y665" s="30"/>
      <c r="Z665" s="30"/>
      <c r="AA665" s="30"/>
      <c r="AB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85"/>
      <c r="M666" s="135"/>
      <c r="N666" s="19"/>
      <c r="O666" s="131"/>
      <c r="P666" s="128"/>
      <c r="Q666" s="30"/>
      <c r="R666" s="39"/>
      <c r="S666" s="40"/>
      <c r="T666" s="40"/>
      <c r="U666" s="40"/>
      <c r="V666" s="40"/>
      <c r="W666" s="40"/>
      <c r="X666" s="41"/>
      <c r="Y666" s="30"/>
      <c r="Z666" s="30"/>
      <c r="AA666" s="30"/>
      <c r="AB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85"/>
      <c r="M667" s="135"/>
      <c r="N667" s="19"/>
      <c r="O667" s="131"/>
      <c r="P667" s="128"/>
      <c r="Q667" s="30"/>
      <c r="R667" s="39"/>
      <c r="S667" s="40"/>
      <c r="T667" s="40"/>
      <c r="U667" s="40"/>
      <c r="V667" s="40"/>
      <c r="W667" s="40"/>
      <c r="X667" s="41"/>
      <c r="Y667" s="30"/>
      <c r="Z667" s="30"/>
      <c r="AA667" s="30"/>
      <c r="AB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85"/>
      <c r="M668" s="135"/>
      <c r="N668" s="19"/>
      <c r="O668" s="131"/>
      <c r="P668" s="128"/>
      <c r="Q668" s="30"/>
      <c r="R668" s="39"/>
      <c r="S668" s="40"/>
      <c r="T668" s="40"/>
      <c r="U668" s="40"/>
      <c r="V668" s="40"/>
      <c r="W668" s="40"/>
      <c r="X668" s="41"/>
      <c r="Y668" s="30"/>
      <c r="Z668" s="30"/>
      <c r="AA668" s="30"/>
      <c r="AB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85"/>
      <c r="M669" s="135"/>
      <c r="N669" s="19"/>
      <c r="O669" s="131"/>
      <c r="P669" s="128"/>
      <c r="Q669" s="30"/>
      <c r="R669" s="39"/>
      <c r="S669" s="40"/>
      <c r="T669" s="40"/>
      <c r="U669" s="40"/>
      <c r="V669" s="40"/>
      <c r="W669" s="40"/>
      <c r="X669" s="41"/>
      <c r="Y669" s="30"/>
      <c r="Z669" s="30"/>
      <c r="AA669" s="30"/>
      <c r="AB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85"/>
      <c r="M670" s="135"/>
      <c r="N670" s="19"/>
      <c r="O670" s="131"/>
      <c r="P670" s="128"/>
      <c r="Q670" s="30"/>
      <c r="R670" s="39"/>
      <c r="S670" s="40"/>
      <c r="T670" s="40"/>
      <c r="U670" s="40"/>
      <c r="V670" s="40"/>
      <c r="W670" s="40"/>
      <c r="X670" s="41"/>
      <c r="Y670" s="30"/>
      <c r="Z670" s="30"/>
      <c r="AA670" s="30"/>
      <c r="AB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85"/>
      <c r="M671" s="135"/>
      <c r="N671" s="19"/>
      <c r="O671" s="131"/>
      <c r="P671" s="128"/>
      <c r="Q671" s="30"/>
      <c r="R671" s="39"/>
      <c r="S671" s="40"/>
      <c r="T671" s="40"/>
      <c r="U671" s="40"/>
      <c r="V671" s="40"/>
      <c r="W671" s="40"/>
      <c r="X671" s="41"/>
      <c r="Y671" s="30"/>
      <c r="Z671" s="30"/>
      <c r="AA671" s="30"/>
      <c r="AB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85"/>
      <c r="M672" s="135"/>
      <c r="N672" s="19"/>
      <c r="O672" s="131"/>
      <c r="P672" s="128"/>
      <c r="Q672" s="30"/>
      <c r="R672" s="39"/>
      <c r="S672" s="40"/>
      <c r="T672" s="40"/>
      <c r="U672" s="40"/>
      <c r="V672" s="40"/>
      <c r="W672" s="40"/>
      <c r="X672" s="41"/>
      <c r="Y672" s="30"/>
      <c r="Z672" s="30"/>
      <c r="AA672" s="30"/>
      <c r="AB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85"/>
      <c r="M673" s="135"/>
      <c r="N673" s="19"/>
      <c r="O673" s="131"/>
      <c r="P673" s="128"/>
      <c r="Q673" s="30"/>
      <c r="R673" s="39"/>
      <c r="S673" s="40"/>
      <c r="T673" s="40"/>
      <c r="U673" s="40"/>
      <c r="V673" s="40"/>
      <c r="W673" s="40"/>
      <c r="X673" s="41"/>
      <c r="Y673" s="30"/>
      <c r="Z673" s="30"/>
      <c r="AA673" s="30"/>
      <c r="AB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85"/>
      <c r="M674" s="135"/>
      <c r="N674" s="19"/>
      <c r="O674" s="131"/>
      <c r="P674" s="128"/>
      <c r="Q674" s="30"/>
      <c r="R674" s="39"/>
      <c r="S674" s="40"/>
      <c r="T674" s="40"/>
      <c r="U674" s="40"/>
      <c r="V674" s="40"/>
      <c r="W674" s="40"/>
      <c r="X674" s="41"/>
      <c r="Y674" s="30"/>
      <c r="Z674" s="30"/>
      <c r="AA674" s="30"/>
      <c r="AB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85"/>
      <c r="M675" s="135"/>
      <c r="N675" s="19"/>
      <c r="O675" s="131"/>
      <c r="P675" s="128"/>
      <c r="Q675" s="30"/>
      <c r="R675" s="39"/>
      <c r="S675" s="40"/>
      <c r="T675" s="40"/>
      <c r="U675" s="40"/>
      <c r="V675" s="40"/>
      <c r="W675" s="40"/>
      <c r="X675" s="41"/>
      <c r="Y675" s="30"/>
      <c r="Z675" s="30"/>
      <c r="AA675" s="30"/>
      <c r="AB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85"/>
      <c r="M676" s="135"/>
      <c r="N676" s="19"/>
      <c r="O676" s="131"/>
      <c r="P676" s="128"/>
      <c r="Q676" s="30"/>
      <c r="R676" s="39"/>
      <c r="S676" s="40"/>
      <c r="T676" s="40"/>
      <c r="U676" s="40"/>
      <c r="V676" s="40"/>
      <c r="W676" s="40"/>
      <c r="X676" s="41"/>
      <c r="Y676" s="30"/>
      <c r="Z676" s="30"/>
      <c r="AA676" s="30"/>
      <c r="AB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85"/>
      <c r="M677" s="135"/>
      <c r="N677" s="19"/>
      <c r="O677" s="131"/>
      <c r="P677" s="128"/>
      <c r="Q677" s="30"/>
      <c r="R677" s="39"/>
      <c r="S677" s="40"/>
      <c r="T677" s="40"/>
      <c r="U677" s="40"/>
      <c r="V677" s="40"/>
      <c r="W677" s="40"/>
      <c r="X677" s="41"/>
      <c r="Y677" s="30"/>
      <c r="Z677" s="30"/>
      <c r="AA677" s="30"/>
      <c r="AB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85"/>
      <c r="M678" s="135"/>
      <c r="N678" s="19"/>
      <c r="O678" s="131"/>
      <c r="P678" s="128"/>
      <c r="Q678" s="30"/>
      <c r="R678" s="39"/>
      <c r="S678" s="40"/>
      <c r="T678" s="40"/>
      <c r="U678" s="40"/>
      <c r="V678" s="40"/>
      <c r="W678" s="40"/>
      <c r="X678" s="41"/>
      <c r="Y678" s="30"/>
      <c r="Z678" s="30"/>
      <c r="AA678" s="30"/>
      <c r="AB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85"/>
      <c r="M679" s="135"/>
      <c r="N679" s="19"/>
      <c r="O679" s="131"/>
      <c r="P679" s="128"/>
      <c r="Q679" s="30"/>
      <c r="R679" s="39"/>
      <c r="S679" s="40"/>
      <c r="T679" s="40"/>
      <c r="U679" s="40"/>
      <c r="V679" s="40"/>
      <c r="W679" s="40"/>
      <c r="X679" s="41"/>
      <c r="Y679" s="30"/>
      <c r="Z679" s="30"/>
      <c r="AA679" s="30"/>
      <c r="AB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85"/>
      <c r="M680" s="135"/>
      <c r="N680" s="19"/>
      <c r="O680" s="131"/>
      <c r="P680" s="128"/>
      <c r="Q680" s="30"/>
      <c r="R680" s="39"/>
      <c r="S680" s="40"/>
      <c r="T680" s="40"/>
      <c r="U680" s="40"/>
      <c r="V680" s="40"/>
      <c r="W680" s="40"/>
      <c r="X680" s="41"/>
      <c r="Y680" s="30"/>
      <c r="Z680" s="30"/>
      <c r="AA680" s="30"/>
      <c r="AB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85"/>
      <c r="M681" s="135"/>
      <c r="N681" s="19"/>
      <c r="O681" s="131"/>
      <c r="P681" s="128"/>
      <c r="Q681" s="30"/>
      <c r="R681" s="39"/>
      <c r="S681" s="40"/>
      <c r="T681" s="40"/>
      <c r="U681" s="40"/>
      <c r="V681" s="40"/>
      <c r="W681" s="40"/>
      <c r="X681" s="41"/>
      <c r="Y681" s="30"/>
      <c r="Z681" s="30"/>
      <c r="AA681" s="30"/>
      <c r="AB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85"/>
      <c r="M682" s="135"/>
      <c r="N682" s="19"/>
      <c r="O682" s="131"/>
      <c r="P682" s="128"/>
      <c r="Q682" s="30"/>
      <c r="R682" s="39"/>
      <c r="S682" s="40"/>
      <c r="T682" s="40"/>
      <c r="U682" s="40"/>
      <c r="V682" s="40"/>
      <c r="W682" s="40"/>
      <c r="X682" s="41"/>
      <c r="Y682" s="30"/>
      <c r="Z682" s="30"/>
      <c r="AA682" s="30"/>
      <c r="AB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85"/>
      <c r="M683" s="135"/>
      <c r="N683" s="19"/>
      <c r="O683" s="131"/>
      <c r="P683" s="128"/>
      <c r="Q683" s="30"/>
      <c r="R683" s="39"/>
      <c r="S683" s="40"/>
      <c r="T683" s="40"/>
      <c r="U683" s="40"/>
      <c r="V683" s="40"/>
      <c r="W683" s="40"/>
      <c r="X683" s="41"/>
      <c r="Y683" s="30"/>
      <c r="Z683" s="30"/>
      <c r="AA683" s="30"/>
      <c r="AB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85"/>
      <c r="M684" s="135"/>
      <c r="N684" s="19"/>
      <c r="O684" s="131"/>
      <c r="P684" s="128"/>
      <c r="Q684" s="30"/>
      <c r="R684" s="39"/>
      <c r="S684" s="40"/>
      <c r="T684" s="40"/>
      <c r="U684" s="40"/>
      <c r="V684" s="40"/>
      <c r="W684" s="40"/>
      <c r="X684" s="41"/>
      <c r="Y684" s="30"/>
      <c r="Z684" s="30"/>
      <c r="AA684" s="30"/>
      <c r="AB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85"/>
      <c r="M685" s="135"/>
      <c r="N685" s="19"/>
      <c r="O685" s="131"/>
      <c r="P685" s="128"/>
      <c r="Q685" s="30"/>
      <c r="R685" s="39"/>
      <c r="S685" s="40"/>
      <c r="T685" s="40"/>
      <c r="U685" s="40"/>
      <c r="V685" s="40"/>
      <c r="W685" s="40"/>
      <c r="X685" s="41"/>
      <c r="Y685" s="30"/>
      <c r="Z685" s="30"/>
      <c r="AA685" s="30"/>
      <c r="AB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85"/>
      <c r="M686" s="135"/>
      <c r="N686" s="19"/>
      <c r="O686" s="131"/>
      <c r="P686" s="128"/>
      <c r="Q686" s="30"/>
      <c r="R686" s="39"/>
      <c r="S686" s="40"/>
      <c r="T686" s="40"/>
      <c r="U686" s="40"/>
      <c r="V686" s="40"/>
      <c r="W686" s="40"/>
      <c r="X686" s="41"/>
      <c r="Y686" s="30"/>
      <c r="Z686" s="30"/>
      <c r="AA686" s="30"/>
      <c r="AB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85"/>
      <c r="M687" s="135"/>
      <c r="N687" s="19"/>
      <c r="O687" s="131"/>
      <c r="P687" s="128"/>
      <c r="Q687" s="30"/>
      <c r="R687" s="39"/>
      <c r="S687" s="40"/>
      <c r="T687" s="40"/>
      <c r="U687" s="40"/>
      <c r="V687" s="40"/>
      <c r="W687" s="40"/>
      <c r="X687" s="41"/>
      <c r="Y687" s="30"/>
      <c r="Z687" s="30"/>
      <c r="AA687" s="30"/>
      <c r="AB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85"/>
      <c r="M688" s="135"/>
      <c r="N688" s="19"/>
      <c r="O688" s="131"/>
      <c r="P688" s="128"/>
      <c r="Q688" s="30"/>
      <c r="R688" s="39"/>
      <c r="S688" s="40"/>
      <c r="T688" s="40"/>
      <c r="U688" s="40"/>
      <c r="V688" s="40"/>
      <c r="W688" s="40"/>
      <c r="X688" s="41"/>
      <c r="Y688" s="30"/>
      <c r="Z688" s="30"/>
      <c r="AA688" s="30"/>
      <c r="AB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85"/>
      <c r="M689" s="135"/>
      <c r="N689" s="19"/>
      <c r="O689" s="131"/>
      <c r="P689" s="128"/>
      <c r="Q689" s="30"/>
      <c r="R689" s="39"/>
      <c r="S689" s="40"/>
      <c r="T689" s="40"/>
      <c r="U689" s="40"/>
      <c r="V689" s="40"/>
      <c r="W689" s="40"/>
      <c r="X689" s="41"/>
      <c r="Y689" s="30"/>
      <c r="Z689" s="30"/>
      <c r="AA689" s="30"/>
      <c r="AB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85"/>
      <c r="M690" s="135"/>
      <c r="N690" s="19"/>
      <c r="O690" s="131"/>
      <c r="P690" s="128"/>
      <c r="Q690" s="30"/>
      <c r="R690" s="39"/>
      <c r="S690" s="40"/>
      <c r="T690" s="40"/>
      <c r="U690" s="40"/>
      <c r="V690" s="40"/>
      <c r="W690" s="40"/>
      <c r="X690" s="41"/>
      <c r="Y690" s="30"/>
      <c r="Z690" s="30"/>
      <c r="AA690" s="30"/>
      <c r="AB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85"/>
      <c r="M691" s="135"/>
      <c r="N691" s="19"/>
      <c r="O691" s="131"/>
      <c r="P691" s="128"/>
      <c r="Q691" s="30"/>
      <c r="R691" s="39"/>
      <c r="S691" s="40"/>
      <c r="T691" s="40"/>
      <c r="U691" s="40"/>
      <c r="V691" s="40"/>
      <c r="W691" s="40"/>
      <c r="X691" s="41"/>
      <c r="Y691" s="30"/>
      <c r="Z691" s="30"/>
      <c r="AA691" s="30"/>
      <c r="AB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85"/>
      <c r="M692" s="135"/>
      <c r="N692" s="19"/>
      <c r="O692" s="131"/>
      <c r="P692" s="128"/>
      <c r="Q692" s="30"/>
      <c r="R692" s="39"/>
      <c r="S692" s="40"/>
      <c r="T692" s="40"/>
      <c r="U692" s="40"/>
      <c r="V692" s="40"/>
      <c r="W692" s="40"/>
      <c r="X692" s="41"/>
      <c r="Y692" s="30"/>
      <c r="Z692" s="30"/>
      <c r="AA692" s="30"/>
      <c r="AB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85"/>
      <c r="M693" s="135"/>
      <c r="N693" s="19"/>
      <c r="O693" s="131"/>
      <c r="P693" s="128"/>
      <c r="Q693" s="30"/>
      <c r="R693" s="39"/>
      <c r="S693" s="40"/>
      <c r="T693" s="40"/>
      <c r="U693" s="40"/>
      <c r="V693" s="40"/>
      <c r="W693" s="40"/>
      <c r="X693" s="41"/>
      <c r="Y693" s="30"/>
      <c r="Z693" s="30"/>
      <c r="AA693" s="30"/>
      <c r="AB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85"/>
      <c r="M694" s="135"/>
      <c r="N694" s="19"/>
      <c r="O694" s="131"/>
      <c r="P694" s="128"/>
      <c r="Q694" s="30"/>
      <c r="R694" s="39"/>
      <c r="S694" s="40"/>
      <c r="T694" s="40"/>
      <c r="U694" s="40"/>
      <c r="V694" s="40"/>
      <c r="W694" s="40"/>
      <c r="X694" s="41"/>
      <c r="Y694" s="30"/>
      <c r="Z694" s="30"/>
      <c r="AA694" s="30"/>
      <c r="AB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85"/>
      <c r="M695" s="135"/>
      <c r="N695" s="19"/>
      <c r="O695" s="131"/>
      <c r="P695" s="128"/>
      <c r="Q695" s="30"/>
      <c r="R695" s="39"/>
      <c r="S695" s="40"/>
      <c r="T695" s="40"/>
      <c r="U695" s="40"/>
      <c r="V695" s="40"/>
      <c r="W695" s="40"/>
      <c r="X695" s="41"/>
      <c r="Y695" s="30"/>
      <c r="Z695" s="30"/>
      <c r="AA695" s="30"/>
      <c r="AB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85"/>
      <c r="M696" s="135"/>
      <c r="N696" s="19"/>
      <c r="O696" s="131"/>
      <c r="P696" s="128"/>
      <c r="Q696" s="30"/>
      <c r="R696" s="39"/>
      <c r="S696" s="40"/>
      <c r="T696" s="40"/>
      <c r="U696" s="40"/>
      <c r="V696" s="40"/>
      <c r="W696" s="40"/>
      <c r="X696" s="41"/>
      <c r="Y696" s="30"/>
      <c r="Z696" s="30"/>
      <c r="AA696" s="30"/>
      <c r="AB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85"/>
      <c r="M697" s="135"/>
      <c r="N697" s="19"/>
      <c r="O697" s="131"/>
      <c r="P697" s="128"/>
      <c r="Q697" s="30"/>
      <c r="R697" s="39"/>
      <c r="S697" s="40"/>
      <c r="T697" s="40"/>
      <c r="U697" s="40"/>
      <c r="V697" s="40"/>
      <c r="W697" s="40"/>
      <c r="X697" s="41"/>
      <c r="Y697" s="30"/>
      <c r="Z697" s="30"/>
      <c r="AA697" s="30"/>
      <c r="AB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85"/>
      <c r="M698" s="135"/>
      <c r="N698" s="19"/>
      <c r="O698" s="131"/>
      <c r="P698" s="128"/>
      <c r="Q698" s="30"/>
      <c r="R698" s="39"/>
      <c r="S698" s="40"/>
      <c r="T698" s="40"/>
      <c r="U698" s="40"/>
      <c r="V698" s="40"/>
      <c r="W698" s="40"/>
      <c r="X698" s="41"/>
      <c r="Y698" s="30"/>
      <c r="Z698" s="30"/>
      <c r="AA698" s="30"/>
      <c r="AB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85"/>
      <c r="M699" s="135"/>
      <c r="N699" s="19"/>
      <c r="O699" s="131"/>
      <c r="P699" s="128"/>
      <c r="Q699" s="30"/>
      <c r="R699" s="39"/>
      <c r="S699" s="40"/>
      <c r="T699" s="40"/>
      <c r="U699" s="40"/>
      <c r="V699" s="40"/>
      <c r="W699" s="40"/>
      <c r="X699" s="41"/>
      <c r="Y699" s="30"/>
      <c r="Z699" s="30"/>
      <c r="AA699" s="30"/>
      <c r="AB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85"/>
      <c r="M700" s="135"/>
      <c r="N700" s="19"/>
      <c r="O700" s="131"/>
      <c r="P700" s="128"/>
      <c r="Q700" s="30"/>
      <c r="R700" s="39"/>
      <c r="S700" s="40"/>
      <c r="T700" s="40"/>
      <c r="U700" s="40"/>
      <c r="V700" s="40"/>
      <c r="W700" s="40"/>
      <c r="X700" s="41"/>
      <c r="Y700" s="30"/>
      <c r="Z700" s="30"/>
      <c r="AA700" s="30"/>
      <c r="AB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85"/>
      <c r="M701" s="135"/>
      <c r="N701" s="19"/>
      <c r="O701" s="131"/>
      <c r="P701" s="128"/>
      <c r="Q701" s="30"/>
      <c r="R701" s="39"/>
      <c r="S701" s="40"/>
      <c r="T701" s="40"/>
      <c r="U701" s="40"/>
      <c r="V701" s="40"/>
      <c r="W701" s="40"/>
      <c r="X701" s="41"/>
      <c r="Y701" s="30"/>
      <c r="Z701" s="30"/>
      <c r="AA701" s="30"/>
      <c r="AB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85"/>
      <c r="M702" s="135"/>
      <c r="N702" s="19"/>
      <c r="O702" s="131"/>
      <c r="P702" s="128"/>
      <c r="Q702" s="30"/>
      <c r="R702" s="39"/>
      <c r="S702" s="40"/>
      <c r="T702" s="40"/>
      <c r="U702" s="40"/>
      <c r="V702" s="40"/>
      <c r="W702" s="40"/>
      <c r="X702" s="41"/>
      <c r="Y702" s="30"/>
      <c r="Z702" s="30"/>
      <c r="AA702" s="30"/>
      <c r="AB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85"/>
      <c r="M703" s="135"/>
      <c r="N703" s="19"/>
      <c r="O703" s="131"/>
      <c r="P703" s="128"/>
      <c r="Q703" s="30"/>
      <c r="R703" s="39"/>
      <c r="S703" s="40"/>
      <c r="T703" s="40"/>
      <c r="U703" s="40"/>
      <c r="V703" s="40"/>
      <c r="W703" s="40"/>
      <c r="X703" s="41"/>
      <c r="Y703" s="30"/>
      <c r="Z703" s="30"/>
      <c r="AA703" s="30"/>
      <c r="AB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85"/>
      <c r="M704" s="135"/>
      <c r="N704" s="19"/>
      <c r="O704" s="131"/>
      <c r="P704" s="128"/>
      <c r="Q704" s="30"/>
      <c r="R704" s="39"/>
      <c r="S704" s="40"/>
      <c r="T704" s="40"/>
      <c r="U704" s="40"/>
      <c r="V704" s="40"/>
      <c r="W704" s="40"/>
      <c r="X704" s="41"/>
      <c r="Y704" s="30"/>
      <c r="Z704" s="30"/>
      <c r="AA704" s="30"/>
      <c r="AB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85"/>
      <c r="M705" s="135"/>
      <c r="N705" s="19"/>
      <c r="O705" s="131"/>
      <c r="P705" s="128"/>
      <c r="Q705" s="30"/>
      <c r="R705" s="39"/>
      <c r="S705" s="40"/>
      <c r="T705" s="40"/>
      <c r="U705" s="40"/>
      <c r="V705" s="40"/>
      <c r="W705" s="40"/>
      <c r="X705" s="41"/>
      <c r="Y705" s="30"/>
      <c r="Z705" s="30"/>
      <c r="AA705" s="30"/>
      <c r="AB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85"/>
      <c r="M706" s="135"/>
      <c r="N706" s="19"/>
      <c r="O706" s="131"/>
      <c r="P706" s="128"/>
      <c r="Q706" s="30"/>
      <c r="R706" s="39"/>
      <c r="S706" s="40"/>
      <c r="T706" s="40"/>
      <c r="U706" s="40"/>
      <c r="V706" s="40"/>
      <c r="W706" s="40"/>
      <c r="X706" s="41"/>
      <c r="Y706" s="30"/>
      <c r="Z706" s="30"/>
      <c r="AA706" s="30"/>
      <c r="AB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85"/>
      <c r="M707" s="135"/>
      <c r="N707" s="19"/>
      <c r="O707" s="131"/>
      <c r="P707" s="128"/>
      <c r="Q707" s="30"/>
      <c r="R707" s="39"/>
      <c r="S707" s="40"/>
      <c r="T707" s="40"/>
      <c r="U707" s="40"/>
      <c r="V707" s="40"/>
      <c r="W707" s="40"/>
      <c r="X707" s="41"/>
      <c r="Y707" s="30"/>
      <c r="Z707" s="30"/>
      <c r="AA707" s="30"/>
      <c r="AB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85"/>
      <c r="M708" s="135"/>
      <c r="N708" s="19"/>
      <c r="O708" s="131"/>
      <c r="P708" s="128"/>
      <c r="Q708" s="30"/>
      <c r="R708" s="39"/>
      <c r="S708" s="40"/>
      <c r="T708" s="40"/>
      <c r="U708" s="40"/>
      <c r="V708" s="40"/>
      <c r="W708" s="40"/>
      <c r="X708" s="41"/>
      <c r="Y708" s="30"/>
      <c r="Z708" s="30"/>
      <c r="AA708" s="30"/>
      <c r="AB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85"/>
      <c r="M709" s="135"/>
      <c r="N709" s="19"/>
      <c r="O709" s="131"/>
      <c r="P709" s="128"/>
      <c r="Q709" s="30"/>
      <c r="R709" s="39"/>
      <c r="S709" s="40"/>
      <c r="T709" s="40"/>
      <c r="U709" s="40"/>
      <c r="V709" s="40"/>
      <c r="W709" s="40"/>
      <c r="X709" s="41"/>
      <c r="Y709" s="30"/>
      <c r="Z709" s="30"/>
      <c r="AA709" s="30"/>
      <c r="AB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85"/>
      <c r="M710" s="135"/>
      <c r="N710" s="19"/>
      <c r="O710" s="131"/>
      <c r="P710" s="128"/>
      <c r="Q710" s="30"/>
      <c r="R710" s="39"/>
      <c r="S710" s="40"/>
      <c r="T710" s="40"/>
      <c r="U710" s="40"/>
      <c r="V710" s="40"/>
      <c r="W710" s="40"/>
      <c r="X710" s="41"/>
      <c r="Y710" s="30"/>
      <c r="Z710" s="30"/>
      <c r="AA710" s="30"/>
      <c r="AB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85"/>
      <c r="M711" s="135"/>
      <c r="N711" s="19"/>
      <c r="O711" s="131"/>
      <c r="P711" s="128"/>
      <c r="Q711" s="30"/>
      <c r="R711" s="39"/>
      <c r="S711" s="40"/>
      <c r="T711" s="40"/>
      <c r="U711" s="40"/>
      <c r="V711" s="40"/>
      <c r="W711" s="40"/>
      <c r="X711" s="41"/>
      <c r="Y711" s="30"/>
      <c r="Z711" s="30"/>
      <c r="AA711" s="30"/>
      <c r="AB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85"/>
      <c r="M712" s="135"/>
      <c r="N712" s="19"/>
      <c r="O712" s="131"/>
      <c r="P712" s="128"/>
      <c r="Q712" s="30"/>
      <c r="R712" s="39"/>
      <c r="S712" s="40"/>
      <c r="T712" s="40"/>
      <c r="U712" s="40"/>
      <c r="V712" s="40"/>
      <c r="W712" s="40"/>
      <c r="X712" s="41"/>
      <c r="Y712" s="30"/>
      <c r="Z712" s="30"/>
      <c r="AA712" s="30"/>
      <c r="AB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85"/>
      <c r="M713" s="135"/>
      <c r="N713" s="19"/>
      <c r="O713" s="131"/>
      <c r="P713" s="128"/>
      <c r="Q713" s="30"/>
      <c r="R713" s="39"/>
      <c r="S713" s="40"/>
      <c r="T713" s="40"/>
      <c r="U713" s="40"/>
      <c r="V713" s="40"/>
      <c r="W713" s="40"/>
      <c r="X713" s="41"/>
      <c r="Y713" s="30"/>
      <c r="Z713" s="30"/>
      <c r="AA713" s="30"/>
      <c r="AB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85"/>
      <c r="M714" s="135"/>
      <c r="N714" s="19"/>
      <c r="O714" s="131"/>
      <c r="P714" s="128"/>
      <c r="Q714" s="30"/>
      <c r="R714" s="39"/>
      <c r="S714" s="40"/>
      <c r="T714" s="40"/>
      <c r="U714" s="40"/>
      <c r="V714" s="40"/>
      <c r="W714" s="40"/>
      <c r="X714" s="41"/>
      <c r="Y714" s="30"/>
      <c r="Z714" s="30"/>
      <c r="AA714" s="30"/>
      <c r="AB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85"/>
      <c r="M715" s="135"/>
      <c r="N715" s="19"/>
      <c r="O715" s="131"/>
      <c r="P715" s="128"/>
      <c r="Q715" s="30"/>
      <c r="R715" s="39"/>
      <c r="S715" s="40"/>
      <c r="T715" s="40"/>
      <c r="U715" s="40"/>
      <c r="V715" s="40"/>
      <c r="W715" s="40"/>
      <c r="X715" s="41"/>
      <c r="Y715" s="30"/>
      <c r="Z715" s="30"/>
      <c r="AA715" s="30"/>
      <c r="AB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85"/>
      <c r="M716" s="135"/>
      <c r="N716" s="19"/>
      <c r="O716" s="131"/>
      <c r="P716" s="128"/>
      <c r="Q716" s="30"/>
      <c r="R716" s="39"/>
      <c r="S716" s="40"/>
      <c r="T716" s="40"/>
      <c r="U716" s="40"/>
      <c r="V716" s="40"/>
      <c r="W716" s="40"/>
      <c r="X716" s="41"/>
      <c r="Y716" s="30"/>
      <c r="Z716" s="30"/>
      <c r="AA716" s="30"/>
      <c r="AB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85"/>
      <c r="M717" s="135"/>
      <c r="N717" s="19"/>
      <c r="O717" s="131"/>
      <c r="P717" s="128"/>
      <c r="Q717" s="30"/>
      <c r="R717" s="39"/>
      <c r="S717" s="40"/>
      <c r="T717" s="40"/>
      <c r="U717" s="40"/>
      <c r="V717" s="40"/>
      <c r="W717" s="40"/>
      <c r="X717" s="41"/>
      <c r="Y717" s="30"/>
      <c r="Z717" s="30"/>
      <c r="AA717" s="30"/>
      <c r="AB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85"/>
      <c r="M718" s="135"/>
      <c r="N718" s="19"/>
      <c r="O718" s="131"/>
      <c r="P718" s="128"/>
      <c r="Q718" s="30"/>
      <c r="R718" s="39"/>
      <c r="S718" s="40"/>
      <c r="T718" s="40"/>
      <c r="U718" s="40"/>
      <c r="V718" s="40"/>
      <c r="W718" s="40"/>
      <c r="X718" s="41"/>
      <c r="Y718" s="30"/>
      <c r="Z718" s="30"/>
      <c r="AA718" s="30"/>
      <c r="AB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85"/>
      <c r="M719" s="135"/>
      <c r="N719" s="19"/>
      <c r="O719" s="131"/>
      <c r="P719" s="128"/>
      <c r="Q719" s="30"/>
      <c r="R719" s="39"/>
      <c r="S719" s="40"/>
      <c r="T719" s="40"/>
      <c r="U719" s="40"/>
      <c r="V719" s="40"/>
      <c r="W719" s="40"/>
      <c r="X719" s="41"/>
      <c r="Y719" s="30"/>
      <c r="Z719" s="30"/>
      <c r="AA719" s="30"/>
      <c r="AB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85"/>
      <c r="M720" s="135"/>
      <c r="N720" s="19"/>
      <c r="O720" s="131"/>
      <c r="P720" s="128"/>
      <c r="Q720" s="30"/>
      <c r="R720" s="39"/>
      <c r="S720" s="40"/>
      <c r="T720" s="40"/>
      <c r="U720" s="40"/>
      <c r="V720" s="40"/>
      <c r="W720" s="40"/>
      <c r="X720" s="41"/>
      <c r="Y720" s="30"/>
      <c r="Z720" s="30"/>
      <c r="AA720" s="30"/>
      <c r="AB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85"/>
      <c r="M721" s="135"/>
      <c r="N721" s="19"/>
      <c r="O721" s="131"/>
      <c r="P721" s="128"/>
      <c r="Q721" s="30"/>
      <c r="R721" s="39"/>
      <c r="S721" s="40"/>
      <c r="T721" s="40"/>
      <c r="U721" s="40"/>
      <c r="V721" s="40"/>
      <c r="W721" s="40"/>
      <c r="X721" s="41"/>
      <c r="Y721" s="30"/>
      <c r="Z721" s="30"/>
      <c r="AA721" s="30"/>
      <c r="AB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85"/>
      <c r="M722" s="135"/>
      <c r="N722" s="19"/>
      <c r="O722" s="131"/>
      <c r="P722" s="128"/>
      <c r="Q722" s="30"/>
      <c r="R722" s="39"/>
      <c r="S722" s="40"/>
      <c r="T722" s="40"/>
      <c r="U722" s="40"/>
      <c r="V722" s="40"/>
      <c r="W722" s="40"/>
      <c r="X722" s="41"/>
      <c r="Y722" s="30"/>
      <c r="Z722" s="30"/>
      <c r="AA722" s="30"/>
      <c r="AB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85"/>
      <c r="M723" s="135"/>
      <c r="N723" s="19"/>
      <c r="O723" s="131"/>
      <c r="P723" s="128"/>
      <c r="Q723" s="30"/>
      <c r="R723" s="39"/>
      <c r="S723" s="40"/>
      <c r="T723" s="40"/>
      <c r="U723" s="40"/>
      <c r="V723" s="40"/>
      <c r="W723" s="40"/>
      <c r="X723" s="41"/>
      <c r="Y723" s="30"/>
      <c r="Z723" s="30"/>
      <c r="AA723" s="30"/>
      <c r="AB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85"/>
      <c r="M724" s="135"/>
      <c r="N724" s="19"/>
      <c r="O724" s="131"/>
      <c r="P724" s="128"/>
      <c r="Q724" s="30"/>
      <c r="R724" s="39"/>
      <c r="S724" s="40"/>
      <c r="T724" s="40"/>
      <c r="U724" s="40"/>
      <c r="V724" s="40"/>
      <c r="W724" s="40"/>
      <c r="X724" s="41"/>
      <c r="Y724" s="30"/>
      <c r="Z724" s="30"/>
      <c r="AA724" s="30"/>
      <c r="AB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85"/>
      <c r="M725" s="135"/>
      <c r="N725" s="19"/>
      <c r="O725" s="131"/>
      <c r="P725" s="128"/>
      <c r="Q725" s="30"/>
      <c r="R725" s="39"/>
      <c r="S725" s="40"/>
      <c r="T725" s="40"/>
      <c r="U725" s="40"/>
      <c r="V725" s="40"/>
      <c r="W725" s="40"/>
      <c r="X725" s="41"/>
      <c r="Y725" s="30"/>
      <c r="Z725" s="30"/>
      <c r="AA725" s="30"/>
      <c r="AB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85"/>
      <c r="M726" s="135"/>
      <c r="N726" s="19"/>
      <c r="O726" s="131"/>
      <c r="P726" s="128"/>
      <c r="Q726" s="30"/>
      <c r="R726" s="39"/>
      <c r="S726" s="40"/>
      <c r="T726" s="40"/>
      <c r="U726" s="40"/>
      <c r="V726" s="40"/>
      <c r="W726" s="40"/>
      <c r="X726" s="41"/>
      <c r="Y726" s="30"/>
      <c r="Z726" s="30"/>
      <c r="AA726" s="30"/>
      <c r="AB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85"/>
      <c r="M727" s="135"/>
      <c r="N727" s="19"/>
      <c r="O727" s="131"/>
      <c r="P727" s="128"/>
      <c r="Q727" s="30"/>
      <c r="R727" s="39"/>
      <c r="S727" s="40"/>
      <c r="T727" s="40"/>
      <c r="U727" s="40"/>
      <c r="V727" s="40"/>
      <c r="W727" s="40"/>
      <c r="X727" s="41"/>
      <c r="Y727" s="30"/>
      <c r="Z727" s="30"/>
      <c r="AA727" s="30"/>
      <c r="AB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85"/>
      <c r="M728" s="135"/>
      <c r="N728" s="19"/>
      <c r="O728" s="131"/>
      <c r="P728" s="128"/>
      <c r="Q728" s="30"/>
      <c r="R728" s="39"/>
      <c r="S728" s="40"/>
      <c r="T728" s="40"/>
      <c r="U728" s="40"/>
      <c r="V728" s="40"/>
      <c r="W728" s="40"/>
      <c r="X728" s="41"/>
      <c r="Y728" s="30"/>
      <c r="Z728" s="30"/>
      <c r="AA728" s="30"/>
      <c r="AB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85"/>
      <c r="M729" s="135"/>
      <c r="N729" s="19"/>
      <c r="O729" s="131"/>
      <c r="P729" s="128"/>
      <c r="Q729" s="30"/>
      <c r="R729" s="39"/>
      <c r="S729" s="40"/>
      <c r="T729" s="40"/>
      <c r="U729" s="40"/>
      <c r="V729" s="40"/>
      <c r="W729" s="40"/>
      <c r="X729" s="41"/>
      <c r="Y729" s="30"/>
      <c r="Z729" s="30"/>
      <c r="AA729" s="30"/>
      <c r="AB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85"/>
      <c r="M730" s="135"/>
      <c r="N730" s="19"/>
      <c r="O730" s="131"/>
      <c r="P730" s="128"/>
      <c r="Q730" s="30"/>
      <c r="R730" s="39"/>
      <c r="S730" s="40"/>
      <c r="T730" s="40"/>
      <c r="U730" s="40"/>
      <c r="V730" s="40"/>
      <c r="W730" s="40"/>
      <c r="X730" s="41"/>
      <c r="Y730" s="30"/>
      <c r="Z730" s="30"/>
      <c r="AA730" s="30"/>
      <c r="AB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85"/>
      <c r="M731" s="135"/>
      <c r="N731" s="19"/>
      <c r="O731" s="131"/>
      <c r="P731" s="128"/>
      <c r="Q731" s="30"/>
      <c r="R731" s="39"/>
      <c r="S731" s="40"/>
      <c r="T731" s="40"/>
      <c r="U731" s="40"/>
      <c r="V731" s="40"/>
      <c r="W731" s="40"/>
      <c r="X731" s="41"/>
      <c r="Y731" s="30"/>
      <c r="Z731" s="30"/>
      <c r="AA731" s="30"/>
      <c r="AB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85"/>
      <c r="M732" s="135"/>
      <c r="N732" s="19"/>
      <c r="O732" s="131"/>
      <c r="P732" s="128"/>
      <c r="Q732" s="30"/>
      <c r="R732" s="39"/>
      <c r="S732" s="40"/>
      <c r="T732" s="40"/>
      <c r="U732" s="40"/>
      <c r="V732" s="40"/>
      <c r="W732" s="40"/>
      <c r="X732" s="41"/>
      <c r="Y732" s="30"/>
      <c r="Z732" s="30"/>
      <c r="AA732" s="30"/>
      <c r="AB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85"/>
      <c r="M733" s="135"/>
      <c r="N733" s="19"/>
      <c r="O733" s="131"/>
      <c r="P733" s="128"/>
      <c r="Q733" s="30"/>
      <c r="R733" s="39"/>
      <c r="S733" s="40"/>
      <c r="T733" s="40"/>
      <c r="U733" s="40"/>
      <c r="V733" s="40"/>
      <c r="W733" s="40"/>
      <c r="X733" s="41"/>
      <c r="Y733" s="30"/>
      <c r="Z733" s="30"/>
      <c r="AA733" s="30"/>
      <c r="AB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85"/>
      <c r="M734" s="135"/>
      <c r="N734" s="19"/>
      <c r="O734" s="131"/>
      <c r="P734" s="128"/>
      <c r="Q734" s="30"/>
      <c r="R734" s="39"/>
      <c r="S734" s="40"/>
      <c r="T734" s="40"/>
      <c r="U734" s="40"/>
      <c r="V734" s="40"/>
      <c r="W734" s="40"/>
      <c r="X734" s="41"/>
      <c r="Y734" s="30"/>
      <c r="Z734" s="30"/>
      <c r="AA734" s="30"/>
      <c r="AB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85"/>
      <c r="M735" s="135"/>
      <c r="N735" s="19"/>
      <c r="O735" s="131"/>
      <c r="P735" s="128"/>
      <c r="Q735" s="30"/>
      <c r="R735" s="39"/>
      <c r="S735" s="40"/>
      <c r="T735" s="40"/>
      <c r="U735" s="40"/>
      <c r="V735" s="40"/>
      <c r="W735" s="40"/>
      <c r="X735" s="41"/>
      <c r="Y735" s="30"/>
      <c r="Z735" s="30"/>
      <c r="AA735" s="30"/>
      <c r="AB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85"/>
      <c r="M736" s="135"/>
      <c r="N736" s="19"/>
      <c r="O736" s="131"/>
      <c r="P736" s="128"/>
      <c r="Q736" s="30"/>
      <c r="R736" s="39"/>
      <c r="S736" s="40"/>
      <c r="T736" s="40"/>
      <c r="U736" s="40"/>
      <c r="V736" s="40"/>
      <c r="W736" s="40"/>
      <c r="X736" s="41"/>
      <c r="Y736" s="30"/>
      <c r="Z736" s="30"/>
      <c r="AA736" s="30"/>
      <c r="AB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85"/>
      <c r="M737" s="135"/>
      <c r="N737" s="19"/>
      <c r="O737" s="131"/>
      <c r="P737" s="128"/>
      <c r="Q737" s="30"/>
      <c r="R737" s="39"/>
      <c r="S737" s="40"/>
      <c r="T737" s="40"/>
      <c r="U737" s="40"/>
      <c r="V737" s="40"/>
      <c r="W737" s="40"/>
      <c r="X737" s="41"/>
      <c r="Y737" s="30"/>
      <c r="Z737" s="30"/>
      <c r="AA737" s="30"/>
      <c r="AB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85"/>
      <c r="M738" s="135"/>
      <c r="N738" s="19"/>
      <c r="O738" s="131"/>
      <c r="P738" s="128"/>
      <c r="Q738" s="30"/>
      <c r="R738" s="39"/>
      <c r="S738" s="40"/>
      <c r="T738" s="40"/>
      <c r="U738" s="40"/>
      <c r="V738" s="40"/>
      <c r="W738" s="40"/>
      <c r="X738" s="41"/>
      <c r="Y738" s="30"/>
      <c r="Z738" s="30"/>
      <c r="AA738" s="30"/>
      <c r="AB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85"/>
      <c r="M739" s="135"/>
      <c r="N739" s="19"/>
      <c r="O739" s="131"/>
      <c r="P739" s="128"/>
      <c r="Q739" s="30"/>
      <c r="R739" s="39"/>
      <c r="S739" s="40"/>
      <c r="T739" s="40"/>
      <c r="U739" s="40"/>
      <c r="V739" s="40"/>
      <c r="W739" s="40"/>
      <c r="X739" s="41"/>
      <c r="Y739" s="30"/>
      <c r="Z739" s="30"/>
      <c r="AA739" s="30"/>
      <c r="AB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85"/>
      <c r="M740" s="135"/>
      <c r="N740" s="19"/>
      <c r="O740" s="131"/>
      <c r="P740" s="128"/>
      <c r="Q740" s="30"/>
      <c r="R740" s="39"/>
      <c r="S740" s="40"/>
      <c r="T740" s="40"/>
      <c r="U740" s="40"/>
      <c r="V740" s="40"/>
      <c r="W740" s="40"/>
      <c r="X740" s="41"/>
      <c r="Y740" s="30"/>
      <c r="Z740" s="30"/>
      <c r="AA740" s="30"/>
      <c r="AB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85"/>
      <c r="M741" s="135"/>
      <c r="N741" s="19"/>
      <c r="O741" s="131"/>
      <c r="P741" s="128"/>
      <c r="Q741" s="30"/>
      <c r="R741" s="39"/>
      <c r="S741" s="40"/>
      <c r="T741" s="40"/>
      <c r="U741" s="40"/>
      <c r="V741" s="40"/>
      <c r="W741" s="40"/>
      <c r="X741" s="41"/>
      <c r="Y741" s="30"/>
      <c r="Z741" s="30"/>
      <c r="AA741" s="30"/>
      <c r="AB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85"/>
      <c r="M742" s="135"/>
      <c r="N742" s="19"/>
      <c r="O742" s="131"/>
      <c r="P742" s="128"/>
      <c r="Q742" s="30"/>
      <c r="R742" s="39"/>
      <c r="S742" s="40"/>
      <c r="T742" s="40"/>
      <c r="U742" s="40"/>
      <c r="V742" s="40"/>
      <c r="W742" s="40"/>
      <c r="X742" s="41"/>
      <c r="Y742" s="30"/>
      <c r="Z742" s="30"/>
      <c r="AA742" s="30"/>
      <c r="AB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85"/>
      <c r="M743" s="135"/>
      <c r="N743" s="19"/>
      <c r="O743" s="131"/>
      <c r="P743" s="128"/>
      <c r="Q743" s="30"/>
      <c r="R743" s="39"/>
      <c r="S743" s="40"/>
      <c r="T743" s="40"/>
      <c r="U743" s="40"/>
      <c r="V743" s="40"/>
      <c r="W743" s="40"/>
      <c r="X743" s="41"/>
      <c r="Y743" s="30"/>
      <c r="Z743" s="30"/>
      <c r="AA743" s="30"/>
      <c r="AB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85"/>
      <c r="M744" s="135"/>
      <c r="N744" s="19"/>
      <c r="O744" s="131"/>
      <c r="P744" s="128"/>
      <c r="Q744" s="30"/>
      <c r="R744" s="39"/>
      <c r="S744" s="40"/>
      <c r="T744" s="40"/>
      <c r="U744" s="40"/>
      <c r="V744" s="40"/>
      <c r="W744" s="40"/>
      <c r="X744" s="41"/>
      <c r="Y744" s="30"/>
      <c r="Z744" s="30"/>
      <c r="AA744" s="30"/>
      <c r="AB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85"/>
      <c r="M745" s="135"/>
      <c r="N745" s="19"/>
      <c r="O745" s="131"/>
      <c r="P745" s="128"/>
      <c r="Q745" s="30"/>
      <c r="R745" s="39"/>
      <c r="S745" s="40"/>
      <c r="T745" s="40"/>
      <c r="U745" s="40"/>
      <c r="V745" s="40"/>
      <c r="W745" s="40"/>
      <c r="X745" s="41"/>
      <c r="Y745" s="30"/>
      <c r="Z745" s="30"/>
      <c r="AA745" s="30"/>
      <c r="AB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85"/>
      <c r="M746" s="135"/>
      <c r="N746" s="19"/>
      <c r="O746" s="131"/>
      <c r="P746" s="128"/>
      <c r="Q746" s="30"/>
      <c r="R746" s="39"/>
      <c r="S746" s="40"/>
      <c r="T746" s="40"/>
      <c r="U746" s="40"/>
      <c r="V746" s="40"/>
      <c r="W746" s="40"/>
      <c r="X746" s="41"/>
      <c r="Y746" s="30"/>
      <c r="Z746" s="30"/>
      <c r="AA746" s="30"/>
      <c r="AB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85"/>
      <c r="M747" s="135"/>
      <c r="N747" s="19"/>
      <c r="O747" s="131"/>
      <c r="P747" s="128"/>
      <c r="Q747" s="30"/>
      <c r="R747" s="39"/>
      <c r="S747" s="40"/>
      <c r="T747" s="40"/>
      <c r="U747" s="40"/>
      <c r="V747" s="40"/>
      <c r="W747" s="40"/>
      <c r="X747" s="41"/>
      <c r="Y747" s="30"/>
      <c r="Z747" s="30"/>
      <c r="AA747" s="30"/>
      <c r="AB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85"/>
      <c r="M748" s="135"/>
      <c r="N748" s="19"/>
      <c r="O748" s="131"/>
      <c r="P748" s="128"/>
      <c r="Q748" s="30"/>
      <c r="R748" s="39"/>
      <c r="S748" s="40"/>
      <c r="T748" s="40"/>
      <c r="U748" s="40"/>
      <c r="V748" s="40"/>
      <c r="W748" s="40"/>
      <c r="X748" s="41"/>
      <c r="Y748" s="30"/>
      <c r="Z748" s="30"/>
      <c r="AA748" s="30"/>
      <c r="AB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85"/>
      <c r="M749" s="135"/>
      <c r="N749" s="19"/>
      <c r="O749" s="131"/>
      <c r="P749" s="128"/>
      <c r="Q749" s="30"/>
      <c r="R749" s="39"/>
      <c r="S749" s="40"/>
      <c r="T749" s="40"/>
      <c r="U749" s="40"/>
      <c r="V749" s="40"/>
      <c r="W749" s="40"/>
      <c r="X749" s="41"/>
      <c r="Y749" s="30"/>
      <c r="Z749" s="30"/>
      <c r="AA749" s="30"/>
      <c r="AB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85"/>
      <c r="M750" s="135"/>
      <c r="N750" s="19"/>
      <c r="O750" s="131"/>
      <c r="P750" s="128"/>
      <c r="Q750" s="30"/>
      <c r="R750" s="39"/>
      <c r="S750" s="40"/>
      <c r="T750" s="40"/>
      <c r="U750" s="40"/>
      <c r="V750" s="40"/>
      <c r="W750" s="40"/>
      <c r="X750" s="41"/>
      <c r="Y750" s="30"/>
      <c r="Z750" s="30"/>
      <c r="AA750" s="30"/>
      <c r="AB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85"/>
      <c r="M751" s="135"/>
      <c r="N751" s="19"/>
      <c r="O751" s="131"/>
      <c r="P751" s="128"/>
      <c r="Q751" s="30"/>
      <c r="R751" s="39"/>
      <c r="S751" s="40"/>
      <c r="T751" s="40"/>
      <c r="U751" s="40"/>
      <c r="V751" s="40"/>
      <c r="W751" s="40"/>
      <c r="X751" s="41"/>
      <c r="Y751" s="30"/>
      <c r="Z751" s="30"/>
      <c r="AA751" s="30"/>
      <c r="AB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85"/>
      <c r="M752" s="135"/>
      <c r="N752" s="19"/>
      <c r="O752" s="131"/>
      <c r="P752" s="128"/>
      <c r="Q752" s="30"/>
      <c r="R752" s="39"/>
      <c r="S752" s="40"/>
      <c r="T752" s="40"/>
      <c r="U752" s="40"/>
      <c r="V752" s="40"/>
      <c r="W752" s="40"/>
      <c r="X752" s="41"/>
      <c r="Y752" s="30"/>
      <c r="Z752" s="30"/>
      <c r="AA752" s="30"/>
      <c r="AB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85"/>
      <c r="M753" s="135"/>
      <c r="N753" s="19"/>
      <c r="O753" s="131"/>
      <c r="P753" s="128"/>
      <c r="Q753" s="30"/>
      <c r="R753" s="39"/>
      <c r="S753" s="40"/>
      <c r="T753" s="40"/>
      <c r="U753" s="40"/>
      <c r="V753" s="40"/>
      <c r="W753" s="40"/>
      <c r="X753" s="41"/>
      <c r="Y753" s="30"/>
      <c r="Z753" s="30"/>
      <c r="AA753" s="30"/>
      <c r="AB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85"/>
      <c r="M754" s="135"/>
      <c r="N754" s="19"/>
      <c r="O754" s="131"/>
      <c r="P754" s="128"/>
      <c r="Q754" s="30"/>
      <c r="R754" s="39"/>
      <c r="S754" s="40"/>
      <c r="T754" s="40"/>
      <c r="U754" s="40"/>
      <c r="V754" s="40"/>
      <c r="W754" s="40"/>
      <c r="X754" s="41"/>
      <c r="Y754" s="30"/>
      <c r="Z754" s="30"/>
      <c r="AA754" s="30"/>
      <c r="AB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85"/>
      <c r="M755" s="135"/>
      <c r="N755" s="19"/>
      <c r="O755" s="131"/>
      <c r="P755" s="128"/>
      <c r="Q755" s="30"/>
      <c r="R755" s="39"/>
      <c r="S755" s="40"/>
      <c r="T755" s="40"/>
      <c r="U755" s="40"/>
      <c r="V755" s="40"/>
      <c r="W755" s="40"/>
      <c r="X755" s="41"/>
      <c r="Y755" s="30"/>
      <c r="Z755" s="30"/>
      <c r="AA755" s="30"/>
      <c r="AB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85"/>
      <c r="M756" s="135"/>
      <c r="N756" s="19"/>
      <c r="O756" s="131"/>
      <c r="P756" s="128"/>
      <c r="Q756" s="30"/>
      <c r="R756" s="39"/>
      <c r="S756" s="40"/>
      <c r="T756" s="40"/>
      <c r="U756" s="40"/>
      <c r="V756" s="40"/>
      <c r="W756" s="40"/>
      <c r="X756" s="41"/>
      <c r="Y756" s="30"/>
      <c r="Z756" s="30"/>
      <c r="AA756" s="30"/>
      <c r="AB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85"/>
      <c r="M757" s="135"/>
      <c r="N757" s="19"/>
      <c r="O757" s="131"/>
      <c r="P757" s="128"/>
      <c r="Q757" s="30"/>
      <c r="R757" s="39"/>
      <c r="S757" s="40"/>
      <c r="T757" s="40"/>
      <c r="U757" s="40"/>
      <c r="V757" s="40"/>
      <c r="W757" s="40"/>
      <c r="X757" s="41"/>
      <c r="Y757" s="30"/>
      <c r="Z757" s="30"/>
      <c r="AA757" s="30"/>
      <c r="AB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85"/>
      <c r="M758" s="135"/>
      <c r="N758" s="19"/>
      <c r="O758" s="131"/>
      <c r="P758" s="128"/>
      <c r="Q758" s="30"/>
      <c r="R758" s="39"/>
      <c r="S758" s="40"/>
      <c r="T758" s="40"/>
      <c r="U758" s="40"/>
      <c r="V758" s="40"/>
      <c r="W758" s="40"/>
      <c r="X758" s="41"/>
      <c r="Y758" s="30"/>
      <c r="Z758" s="30"/>
      <c r="AA758" s="30"/>
      <c r="AB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85"/>
      <c r="M759" s="135"/>
      <c r="N759" s="19"/>
      <c r="O759" s="131"/>
      <c r="P759" s="128"/>
      <c r="Q759" s="30"/>
      <c r="R759" s="39"/>
      <c r="S759" s="40"/>
      <c r="T759" s="40"/>
      <c r="U759" s="40"/>
      <c r="V759" s="40"/>
      <c r="W759" s="40"/>
      <c r="X759" s="41"/>
      <c r="Y759" s="30"/>
      <c r="Z759" s="30"/>
      <c r="AA759" s="30"/>
      <c r="AB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85"/>
      <c r="M760" s="135"/>
      <c r="N760" s="19"/>
      <c r="O760" s="131"/>
      <c r="P760" s="128"/>
      <c r="Q760" s="30"/>
      <c r="R760" s="39"/>
      <c r="S760" s="40"/>
      <c r="T760" s="40"/>
      <c r="U760" s="40"/>
      <c r="V760" s="40"/>
      <c r="W760" s="40"/>
      <c r="X760" s="41"/>
      <c r="Y760" s="30"/>
      <c r="Z760" s="30"/>
      <c r="AA760" s="30"/>
      <c r="AB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85"/>
      <c r="M761" s="135"/>
      <c r="N761" s="19"/>
      <c r="O761" s="131"/>
      <c r="P761" s="128"/>
      <c r="Q761" s="30"/>
      <c r="R761" s="39"/>
      <c r="S761" s="40"/>
      <c r="T761" s="40"/>
      <c r="U761" s="40"/>
      <c r="V761" s="40"/>
      <c r="W761" s="40"/>
      <c r="X761" s="41"/>
      <c r="Y761" s="30"/>
      <c r="Z761" s="30"/>
      <c r="AA761" s="30"/>
      <c r="AB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85"/>
      <c r="M762" s="135"/>
      <c r="N762" s="19"/>
      <c r="O762" s="131"/>
      <c r="P762" s="128"/>
      <c r="Q762" s="30"/>
      <c r="R762" s="39"/>
      <c r="S762" s="40"/>
      <c r="T762" s="40"/>
      <c r="U762" s="40"/>
      <c r="V762" s="40"/>
      <c r="W762" s="40"/>
      <c r="X762" s="41"/>
      <c r="Y762" s="30"/>
      <c r="Z762" s="30"/>
      <c r="AA762" s="30"/>
      <c r="AB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85"/>
      <c r="M763" s="135"/>
      <c r="N763" s="19"/>
      <c r="O763" s="131"/>
      <c r="P763" s="128"/>
      <c r="Q763" s="30"/>
      <c r="R763" s="39"/>
      <c r="S763" s="40"/>
      <c r="T763" s="40"/>
      <c r="U763" s="40"/>
      <c r="V763" s="40"/>
      <c r="W763" s="40"/>
      <c r="X763" s="41"/>
      <c r="Y763" s="30"/>
      <c r="Z763" s="30"/>
      <c r="AA763" s="30"/>
      <c r="AB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85"/>
      <c r="M764" s="135"/>
      <c r="N764" s="19"/>
      <c r="O764" s="131"/>
      <c r="P764" s="128"/>
      <c r="Q764" s="30"/>
      <c r="R764" s="39"/>
      <c r="S764" s="40"/>
      <c r="T764" s="40"/>
      <c r="U764" s="40"/>
      <c r="V764" s="40"/>
      <c r="W764" s="40"/>
      <c r="X764" s="41"/>
      <c r="Y764" s="30"/>
      <c r="Z764" s="30"/>
      <c r="AA764" s="30"/>
      <c r="AB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85"/>
      <c r="M765" s="135"/>
      <c r="N765" s="19"/>
      <c r="O765" s="131"/>
      <c r="P765" s="128"/>
      <c r="Q765" s="30"/>
      <c r="R765" s="39"/>
      <c r="S765" s="40"/>
      <c r="T765" s="40"/>
      <c r="U765" s="40"/>
      <c r="V765" s="40"/>
      <c r="W765" s="40"/>
      <c r="X765" s="41"/>
      <c r="Y765" s="30"/>
      <c r="Z765" s="30"/>
      <c r="AA765" s="30"/>
      <c r="AB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85"/>
      <c r="M766" s="135"/>
      <c r="N766" s="19"/>
      <c r="O766" s="131"/>
      <c r="P766" s="128"/>
      <c r="Q766" s="30"/>
      <c r="R766" s="39"/>
      <c r="S766" s="40"/>
      <c r="T766" s="40"/>
      <c r="U766" s="40"/>
      <c r="V766" s="40"/>
      <c r="W766" s="40"/>
      <c r="X766" s="41"/>
      <c r="Y766" s="30"/>
      <c r="Z766" s="30"/>
      <c r="AA766" s="30"/>
      <c r="AB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85"/>
      <c r="M767" s="135"/>
      <c r="N767" s="19"/>
      <c r="O767" s="131"/>
      <c r="P767" s="128"/>
      <c r="Q767" s="30"/>
      <c r="R767" s="39"/>
      <c r="S767" s="40"/>
      <c r="T767" s="40"/>
      <c r="U767" s="40"/>
      <c r="V767" s="40"/>
      <c r="W767" s="40"/>
      <c r="X767" s="41"/>
      <c r="Y767" s="30"/>
      <c r="Z767" s="30"/>
      <c r="AA767" s="30"/>
      <c r="AB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85"/>
      <c r="M768" s="135"/>
      <c r="N768" s="19"/>
      <c r="O768" s="131"/>
      <c r="P768" s="128"/>
      <c r="Q768" s="30"/>
      <c r="R768" s="39"/>
      <c r="S768" s="40"/>
      <c r="T768" s="40"/>
      <c r="U768" s="40"/>
      <c r="V768" s="40"/>
      <c r="W768" s="40"/>
      <c r="X768" s="41"/>
      <c r="Y768" s="30"/>
      <c r="Z768" s="30"/>
      <c r="AA768" s="30"/>
      <c r="AB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85"/>
      <c r="M769" s="135"/>
      <c r="N769" s="19"/>
      <c r="O769" s="131"/>
      <c r="P769" s="128"/>
      <c r="Q769" s="30"/>
      <c r="R769" s="39"/>
      <c r="S769" s="40"/>
      <c r="T769" s="40"/>
      <c r="U769" s="40"/>
      <c r="V769" s="40"/>
      <c r="W769" s="40"/>
      <c r="X769" s="41"/>
      <c r="Y769" s="30"/>
      <c r="Z769" s="30"/>
      <c r="AA769" s="30"/>
      <c r="AB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85"/>
      <c r="M770" s="135"/>
      <c r="N770" s="19"/>
      <c r="O770" s="131"/>
      <c r="P770" s="128"/>
      <c r="Q770" s="30"/>
      <c r="R770" s="39"/>
      <c r="S770" s="40"/>
      <c r="T770" s="40"/>
      <c r="U770" s="40"/>
      <c r="V770" s="40"/>
      <c r="W770" s="40"/>
      <c r="X770" s="41"/>
      <c r="Y770" s="30"/>
      <c r="Z770" s="30"/>
      <c r="AA770" s="30"/>
      <c r="AB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85"/>
      <c r="M771" s="135"/>
      <c r="N771" s="19"/>
      <c r="O771" s="131"/>
      <c r="P771" s="128"/>
      <c r="Q771" s="30"/>
      <c r="R771" s="39"/>
      <c r="S771" s="40"/>
      <c r="T771" s="40"/>
      <c r="U771" s="40"/>
      <c r="V771" s="40"/>
      <c r="W771" s="40"/>
      <c r="X771" s="41"/>
      <c r="Y771" s="30"/>
      <c r="Z771" s="30"/>
      <c r="AA771" s="30"/>
      <c r="AB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85"/>
      <c r="M772" s="135"/>
      <c r="N772" s="19"/>
      <c r="O772" s="131"/>
      <c r="P772" s="128"/>
      <c r="Q772" s="30"/>
      <c r="R772" s="39"/>
      <c r="S772" s="40"/>
      <c r="T772" s="40"/>
      <c r="U772" s="40"/>
      <c r="V772" s="40"/>
      <c r="W772" s="40"/>
      <c r="X772" s="41"/>
      <c r="Y772" s="30"/>
      <c r="Z772" s="30"/>
      <c r="AA772" s="30"/>
      <c r="AB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85"/>
      <c r="M773" s="135"/>
      <c r="N773" s="19"/>
      <c r="O773" s="131"/>
      <c r="P773" s="128"/>
      <c r="Q773" s="30"/>
      <c r="R773" s="39"/>
      <c r="S773" s="40"/>
      <c r="T773" s="40"/>
      <c r="U773" s="40"/>
      <c r="V773" s="40"/>
      <c r="W773" s="40"/>
      <c r="X773" s="41"/>
      <c r="Y773" s="30"/>
      <c r="Z773" s="30"/>
      <c r="AA773" s="30"/>
      <c r="AB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85"/>
      <c r="M774" s="135"/>
      <c r="N774" s="19"/>
      <c r="O774" s="131"/>
      <c r="P774" s="128"/>
      <c r="Q774" s="30"/>
      <c r="R774" s="39"/>
      <c r="S774" s="40"/>
      <c r="T774" s="40"/>
      <c r="U774" s="40"/>
      <c r="V774" s="40"/>
      <c r="W774" s="40"/>
      <c r="X774" s="41"/>
      <c r="Y774" s="30"/>
      <c r="Z774" s="30"/>
      <c r="AA774" s="30"/>
      <c r="AB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85"/>
      <c r="M775" s="135"/>
      <c r="N775" s="19"/>
      <c r="O775" s="131"/>
      <c r="P775" s="128"/>
      <c r="Q775" s="30"/>
      <c r="R775" s="39"/>
      <c r="S775" s="40"/>
      <c r="T775" s="40"/>
      <c r="U775" s="40"/>
      <c r="V775" s="40"/>
      <c r="W775" s="40"/>
      <c r="X775" s="41"/>
      <c r="Y775" s="30"/>
      <c r="Z775" s="30"/>
      <c r="AA775" s="30"/>
      <c r="AB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85"/>
      <c r="M776" s="135"/>
      <c r="N776" s="19"/>
      <c r="O776" s="131"/>
      <c r="P776" s="128"/>
      <c r="Q776" s="30"/>
      <c r="R776" s="39"/>
      <c r="S776" s="40"/>
      <c r="T776" s="40"/>
      <c r="U776" s="40"/>
      <c r="V776" s="40"/>
      <c r="W776" s="40"/>
      <c r="X776" s="41"/>
      <c r="Y776" s="30"/>
      <c r="Z776" s="30"/>
      <c r="AA776" s="30"/>
      <c r="AB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85"/>
      <c r="M777" s="135"/>
      <c r="N777" s="19"/>
      <c r="O777" s="131"/>
      <c r="P777" s="128"/>
      <c r="Q777" s="30"/>
      <c r="R777" s="39"/>
      <c r="S777" s="40"/>
      <c r="T777" s="40"/>
      <c r="U777" s="40"/>
      <c r="V777" s="40"/>
      <c r="W777" s="40"/>
      <c r="X777" s="41"/>
      <c r="Y777" s="30"/>
      <c r="Z777" s="30"/>
      <c r="AA777" s="30"/>
      <c r="AB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85"/>
      <c r="M778" s="135"/>
      <c r="N778" s="19"/>
      <c r="O778" s="131"/>
      <c r="P778" s="128"/>
      <c r="Q778" s="30"/>
      <c r="R778" s="39"/>
      <c r="S778" s="40"/>
      <c r="T778" s="40"/>
      <c r="U778" s="40"/>
      <c r="V778" s="40"/>
      <c r="W778" s="40"/>
      <c r="X778" s="41"/>
      <c r="Y778" s="30"/>
      <c r="Z778" s="30"/>
      <c r="AA778" s="30"/>
      <c r="AB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85"/>
      <c r="M779" s="135"/>
      <c r="N779" s="19"/>
      <c r="O779" s="131"/>
      <c r="P779" s="128"/>
      <c r="Q779" s="30"/>
      <c r="R779" s="39"/>
      <c r="S779" s="40"/>
      <c r="T779" s="40"/>
      <c r="U779" s="40"/>
      <c r="V779" s="40"/>
      <c r="W779" s="40"/>
      <c r="X779" s="41"/>
      <c r="Y779" s="30"/>
      <c r="Z779" s="30"/>
      <c r="AA779" s="30"/>
      <c r="AB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85"/>
      <c r="M780" s="135"/>
      <c r="N780" s="19"/>
      <c r="O780" s="131"/>
      <c r="P780" s="128"/>
      <c r="Q780" s="30"/>
      <c r="R780" s="39"/>
      <c r="S780" s="40"/>
      <c r="T780" s="40"/>
      <c r="U780" s="40"/>
      <c r="V780" s="40"/>
      <c r="W780" s="40"/>
      <c r="X780" s="41"/>
      <c r="Y780" s="30"/>
      <c r="Z780" s="30"/>
      <c r="AA780" s="30"/>
      <c r="AB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85"/>
      <c r="M781" s="135"/>
      <c r="N781" s="19"/>
      <c r="O781" s="131"/>
      <c r="P781" s="128"/>
      <c r="Q781" s="30"/>
      <c r="R781" s="39"/>
      <c r="S781" s="40"/>
      <c r="T781" s="40"/>
      <c r="U781" s="40"/>
      <c r="V781" s="40"/>
      <c r="W781" s="40"/>
      <c r="X781" s="41"/>
      <c r="Y781" s="30"/>
      <c r="Z781" s="30"/>
      <c r="AA781" s="30"/>
      <c r="AB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85"/>
      <c r="M782" s="135"/>
      <c r="N782" s="19"/>
      <c r="O782" s="131"/>
      <c r="P782" s="128"/>
      <c r="Q782" s="30"/>
      <c r="R782" s="39"/>
      <c r="S782" s="40"/>
      <c r="T782" s="40"/>
      <c r="U782" s="40"/>
      <c r="V782" s="40"/>
      <c r="W782" s="40"/>
      <c r="X782" s="41"/>
      <c r="Y782" s="30"/>
      <c r="Z782" s="30"/>
      <c r="AA782" s="30"/>
      <c r="AB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85"/>
      <c r="M783" s="135"/>
      <c r="N783" s="19"/>
      <c r="O783" s="131"/>
      <c r="P783" s="128"/>
      <c r="Q783" s="30"/>
      <c r="R783" s="39"/>
      <c r="S783" s="40"/>
      <c r="T783" s="40"/>
      <c r="U783" s="40"/>
      <c r="V783" s="40"/>
      <c r="W783" s="40"/>
      <c r="X783" s="41"/>
      <c r="Y783" s="30"/>
      <c r="Z783" s="30"/>
      <c r="AA783" s="30"/>
      <c r="AB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85"/>
      <c r="M784" s="135"/>
      <c r="N784" s="19"/>
      <c r="O784" s="131"/>
      <c r="P784" s="128"/>
      <c r="Q784" s="30"/>
      <c r="R784" s="39"/>
      <c r="S784" s="40"/>
      <c r="T784" s="40"/>
      <c r="U784" s="40"/>
      <c r="V784" s="40"/>
      <c r="W784" s="40"/>
      <c r="X784" s="41"/>
      <c r="Y784" s="30"/>
      <c r="Z784" s="30"/>
      <c r="AA784" s="30"/>
      <c r="AB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85"/>
      <c r="M785" s="135"/>
      <c r="N785" s="19"/>
      <c r="O785" s="131"/>
      <c r="P785" s="128"/>
      <c r="Q785" s="30"/>
      <c r="R785" s="39"/>
      <c r="S785" s="40"/>
      <c r="T785" s="40"/>
      <c r="U785" s="40"/>
      <c r="V785" s="40"/>
      <c r="W785" s="40"/>
      <c r="X785" s="41"/>
      <c r="Y785" s="30"/>
      <c r="Z785" s="30"/>
      <c r="AA785" s="30"/>
      <c r="AB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85"/>
      <c r="M786" s="135"/>
      <c r="N786" s="19"/>
      <c r="O786" s="131"/>
      <c r="P786" s="128"/>
      <c r="Q786" s="30"/>
      <c r="R786" s="39"/>
      <c r="S786" s="40"/>
      <c r="T786" s="40"/>
      <c r="U786" s="40"/>
      <c r="V786" s="40"/>
      <c r="W786" s="40"/>
      <c r="X786" s="41"/>
      <c r="Y786" s="30"/>
      <c r="Z786" s="30"/>
      <c r="AA786" s="30"/>
      <c r="AB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85"/>
      <c r="M787" s="135"/>
      <c r="N787" s="19"/>
      <c r="O787" s="131"/>
      <c r="P787" s="128"/>
      <c r="Q787" s="30"/>
      <c r="R787" s="39"/>
      <c r="S787" s="40"/>
      <c r="T787" s="40"/>
      <c r="U787" s="40"/>
      <c r="V787" s="40"/>
      <c r="W787" s="40"/>
      <c r="X787" s="41"/>
      <c r="Y787" s="30"/>
      <c r="Z787" s="30"/>
      <c r="AA787" s="30"/>
      <c r="AB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85"/>
      <c r="M788" s="135"/>
      <c r="N788" s="19"/>
      <c r="O788" s="131"/>
      <c r="P788" s="128"/>
      <c r="Q788" s="30"/>
      <c r="R788" s="39"/>
      <c r="S788" s="40"/>
      <c r="T788" s="40"/>
      <c r="U788" s="40"/>
      <c r="V788" s="40"/>
      <c r="W788" s="40"/>
      <c r="X788" s="41"/>
      <c r="Y788" s="30"/>
      <c r="Z788" s="30"/>
      <c r="AA788" s="30"/>
      <c r="AB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85"/>
      <c r="M789" s="135"/>
      <c r="N789" s="19"/>
      <c r="O789" s="131"/>
      <c r="P789" s="128"/>
      <c r="Q789" s="30"/>
      <c r="R789" s="39"/>
      <c r="S789" s="40"/>
      <c r="T789" s="40"/>
      <c r="U789" s="40"/>
      <c r="V789" s="40"/>
      <c r="W789" s="40"/>
      <c r="X789" s="41"/>
      <c r="Y789" s="30"/>
      <c r="Z789" s="30"/>
      <c r="AA789" s="30"/>
      <c r="AB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85"/>
      <c r="M790" s="135"/>
      <c r="N790" s="19"/>
      <c r="O790" s="131"/>
      <c r="P790" s="128"/>
      <c r="Q790" s="30"/>
      <c r="R790" s="39"/>
      <c r="S790" s="40"/>
      <c r="T790" s="40"/>
      <c r="U790" s="40"/>
      <c r="V790" s="40"/>
      <c r="W790" s="40"/>
      <c r="X790" s="41"/>
      <c r="Y790" s="30"/>
      <c r="Z790" s="30"/>
      <c r="AA790" s="30"/>
      <c r="AB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85"/>
      <c r="M791" s="135"/>
      <c r="N791" s="19"/>
      <c r="O791" s="131"/>
      <c r="P791" s="128"/>
      <c r="Q791" s="30"/>
      <c r="R791" s="39"/>
      <c r="S791" s="40"/>
      <c r="T791" s="40"/>
      <c r="U791" s="40"/>
      <c r="V791" s="40"/>
      <c r="W791" s="40"/>
      <c r="X791" s="41"/>
      <c r="Y791" s="30"/>
      <c r="Z791" s="30"/>
      <c r="AA791" s="30"/>
      <c r="AB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85"/>
      <c r="M792" s="135"/>
      <c r="N792" s="19"/>
      <c r="O792" s="131"/>
      <c r="P792" s="128"/>
      <c r="Q792" s="30"/>
      <c r="R792" s="39"/>
      <c r="S792" s="40"/>
      <c r="T792" s="40"/>
      <c r="U792" s="40"/>
      <c r="V792" s="40"/>
      <c r="W792" s="40"/>
      <c r="X792" s="41"/>
      <c r="Y792" s="30"/>
      <c r="Z792" s="30"/>
      <c r="AA792" s="30"/>
      <c r="AB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85"/>
      <c r="M793" s="135"/>
      <c r="N793" s="19"/>
      <c r="O793" s="131"/>
      <c r="P793" s="128"/>
      <c r="Q793" s="30"/>
      <c r="R793" s="39"/>
      <c r="S793" s="40"/>
      <c r="T793" s="40"/>
      <c r="U793" s="40"/>
      <c r="V793" s="40"/>
      <c r="W793" s="40"/>
      <c r="X793" s="41"/>
      <c r="Y793" s="30"/>
      <c r="Z793" s="30"/>
      <c r="AA793" s="30"/>
      <c r="AB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85"/>
      <c r="M794" s="135"/>
      <c r="N794" s="19"/>
      <c r="O794" s="131"/>
      <c r="P794" s="128"/>
      <c r="Q794" s="30"/>
      <c r="R794" s="39"/>
      <c r="S794" s="40"/>
      <c r="T794" s="40"/>
      <c r="U794" s="40"/>
      <c r="V794" s="40"/>
      <c r="W794" s="40"/>
      <c r="X794" s="41"/>
      <c r="Y794" s="30"/>
      <c r="Z794" s="30"/>
      <c r="AA794" s="30"/>
      <c r="AB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85"/>
      <c r="M795" s="135"/>
      <c r="N795" s="19"/>
      <c r="O795" s="131"/>
      <c r="P795" s="128"/>
      <c r="Q795" s="30"/>
      <c r="R795" s="39"/>
      <c r="S795" s="40"/>
      <c r="T795" s="40"/>
      <c r="U795" s="40"/>
      <c r="V795" s="40"/>
      <c r="W795" s="40"/>
      <c r="X795" s="41"/>
      <c r="Y795" s="30"/>
      <c r="Z795" s="30"/>
      <c r="AA795" s="30"/>
      <c r="AB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85"/>
      <c r="M796" s="135"/>
      <c r="N796" s="19"/>
      <c r="O796" s="131"/>
      <c r="P796" s="128"/>
      <c r="Q796" s="30"/>
      <c r="R796" s="39"/>
      <c r="S796" s="40"/>
      <c r="T796" s="40"/>
      <c r="U796" s="40"/>
      <c r="V796" s="40"/>
      <c r="W796" s="40"/>
      <c r="X796" s="41"/>
      <c r="Y796" s="30"/>
      <c r="Z796" s="30"/>
      <c r="AA796" s="30"/>
      <c r="AB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85"/>
      <c r="M797" s="135"/>
      <c r="N797" s="19"/>
      <c r="O797" s="131"/>
      <c r="P797" s="128"/>
      <c r="Q797" s="30"/>
      <c r="R797" s="39"/>
      <c r="S797" s="40"/>
      <c r="T797" s="40"/>
      <c r="U797" s="40"/>
      <c r="V797" s="40"/>
      <c r="W797" s="40"/>
      <c r="X797" s="41"/>
      <c r="Y797" s="30"/>
      <c r="Z797" s="30"/>
      <c r="AA797" s="30"/>
      <c r="AB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85"/>
      <c r="M798" s="135"/>
      <c r="N798" s="19"/>
      <c r="O798" s="131"/>
      <c r="P798" s="128"/>
      <c r="Q798" s="30"/>
      <c r="R798" s="39"/>
      <c r="S798" s="40"/>
      <c r="T798" s="40"/>
      <c r="U798" s="40"/>
      <c r="V798" s="40"/>
      <c r="W798" s="40"/>
      <c r="X798" s="41"/>
      <c r="Y798" s="30"/>
      <c r="Z798" s="30"/>
      <c r="AA798" s="30"/>
      <c r="AB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85"/>
      <c r="M799" s="135"/>
      <c r="N799" s="19"/>
      <c r="O799" s="131"/>
      <c r="P799" s="128"/>
      <c r="Q799" s="30"/>
      <c r="R799" s="39"/>
      <c r="S799" s="40"/>
      <c r="T799" s="40"/>
      <c r="U799" s="40"/>
      <c r="V799" s="40"/>
      <c r="W799" s="40"/>
      <c r="X799" s="41"/>
      <c r="Y799" s="30"/>
      <c r="Z799" s="30"/>
      <c r="AA799" s="30"/>
      <c r="AB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85"/>
      <c r="M800" s="135"/>
      <c r="N800" s="19"/>
      <c r="O800" s="131"/>
      <c r="P800" s="128"/>
      <c r="Q800" s="30"/>
      <c r="R800" s="39"/>
      <c r="S800" s="40"/>
      <c r="T800" s="40"/>
      <c r="U800" s="40"/>
      <c r="V800" s="40"/>
      <c r="W800" s="40"/>
      <c r="X800" s="41"/>
      <c r="Y800" s="30"/>
      <c r="Z800" s="30"/>
      <c r="AA800" s="30"/>
      <c r="AB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85"/>
      <c r="M801" s="135"/>
      <c r="N801" s="19"/>
      <c r="O801" s="131"/>
      <c r="P801" s="128"/>
      <c r="Q801" s="30"/>
      <c r="R801" s="39"/>
      <c r="S801" s="40"/>
      <c r="T801" s="40"/>
      <c r="U801" s="40"/>
      <c r="V801" s="40"/>
      <c r="W801" s="40"/>
      <c r="X801" s="41"/>
      <c r="Y801" s="30"/>
      <c r="Z801" s="30"/>
      <c r="AA801" s="30"/>
      <c r="AB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85"/>
      <c r="M802" s="135"/>
      <c r="N802" s="19"/>
      <c r="O802" s="131"/>
      <c r="P802" s="128"/>
      <c r="Q802" s="30"/>
      <c r="R802" s="39"/>
      <c r="S802" s="40"/>
      <c r="T802" s="40"/>
      <c r="U802" s="40"/>
      <c r="V802" s="40"/>
      <c r="W802" s="40"/>
      <c r="X802" s="41"/>
      <c r="Y802" s="30"/>
      <c r="Z802" s="30"/>
      <c r="AA802" s="30"/>
      <c r="AB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85"/>
      <c r="M803" s="135"/>
      <c r="N803" s="19"/>
      <c r="O803" s="131"/>
      <c r="P803" s="128"/>
      <c r="Q803" s="30"/>
      <c r="R803" s="39"/>
      <c r="S803" s="40"/>
      <c r="T803" s="40"/>
      <c r="U803" s="40"/>
      <c r="V803" s="40"/>
      <c r="W803" s="40"/>
      <c r="X803" s="41"/>
      <c r="Y803" s="30"/>
      <c r="Z803" s="30"/>
      <c r="AA803" s="30"/>
      <c r="AB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85"/>
      <c r="M804" s="135"/>
      <c r="N804" s="19"/>
      <c r="O804" s="131"/>
      <c r="P804" s="128"/>
      <c r="Q804" s="30"/>
      <c r="R804" s="39"/>
      <c r="S804" s="40"/>
      <c r="T804" s="40"/>
      <c r="U804" s="40"/>
      <c r="V804" s="40"/>
      <c r="W804" s="40"/>
      <c r="X804" s="41"/>
      <c r="Y804" s="30"/>
      <c r="Z804" s="30"/>
      <c r="AA804" s="30"/>
      <c r="AB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85"/>
      <c r="M805" s="135"/>
      <c r="N805" s="19"/>
      <c r="O805" s="131"/>
      <c r="P805" s="128"/>
      <c r="Q805" s="30"/>
      <c r="R805" s="39"/>
      <c r="S805" s="40"/>
      <c r="T805" s="40"/>
      <c r="U805" s="40"/>
      <c r="V805" s="40"/>
      <c r="W805" s="40"/>
      <c r="X805" s="41"/>
      <c r="Y805" s="30"/>
      <c r="Z805" s="30"/>
      <c r="AA805" s="30"/>
      <c r="AB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85"/>
      <c r="M806" s="135"/>
      <c r="N806" s="19"/>
      <c r="O806" s="131"/>
      <c r="P806" s="128"/>
      <c r="Q806" s="30"/>
      <c r="R806" s="39"/>
      <c r="S806" s="40"/>
      <c r="T806" s="40"/>
      <c r="U806" s="40"/>
      <c r="V806" s="40"/>
      <c r="W806" s="40"/>
      <c r="X806" s="41"/>
      <c r="Y806" s="30"/>
      <c r="Z806" s="30"/>
      <c r="AA806" s="30"/>
      <c r="AB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85"/>
      <c r="M807" s="135"/>
      <c r="N807" s="19"/>
      <c r="O807" s="131"/>
      <c r="P807" s="128"/>
      <c r="Q807" s="30"/>
      <c r="R807" s="39"/>
      <c r="S807" s="40"/>
      <c r="T807" s="40"/>
      <c r="U807" s="40"/>
      <c r="V807" s="40"/>
      <c r="W807" s="40"/>
      <c r="X807" s="41"/>
      <c r="Y807" s="30"/>
      <c r="Z807" s="30"/>
      <c r="AA807" s="30"/>
      <c r="AB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85"/>
      <c r="M808" s="135"/>
      <c r="N808" s="19"/>
      <c r="O808" s="131"/>
      <c r="P808" s="128"/>
      <c r="Q808" s="30"/>
      <c r="R808" s="39"/>
      <c r="S808" s="40"/>
      <c r="T808" s="40"/>
      <c r="U808" s="40"/>
      <c r="V808" s="40"/>
      <c r="W808" s="40"/>
      <c r="X808" s="41"/>
      <c r="Y808" s="30"/>
      <c r="Z808" s="30"/>
      <c r="AA808" s="30"/>
      <c r="AB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85"/>
      <c r="M809" s="135"/>
      <c r="N809" s="19"/>
      <c r="O809" s="131"/>
      <c r="P809" s="128"/>
      <c r="Q809" s="30"/>
      <c r="R809" s="39"/>
      <c r="S809" s="40"/>
      <c r="T809" s="40"/>
      <c r="U809" s="40"/>
      <c r="V809" s="40"/>
      <c r="W809" s="40"/>
      <c r="X809" s="41"/>
      <c r="Y809" s="30"/>
      <c r="Z809" s="30"/>
      <c r="AA809" s="30"/>
      <c r="AB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85"/>
      <c r="M810" s="135"/>
      <c r="N810" s="19"/>
      <c r="O810" s="131"/>
      <c r="P810" s="128"/>
      <c r="Q810" s="30"/>
      <c r="R810" s="39"/>
      <c r="S810" s="40"/>
      <c r="T810" s="40"/>
      <c r="U810" s="40"/>
      <c r="V810" s="40"/>
      <c r="W810" s="40"/>
      <c r="X810" s="41"/>
      <c r="Y810" s="30"/>
      <c r="Z810" s="30"/>
      <c r="AA810" s="30"/>
      <c r="AB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85"/>
      <c r="M811" s="135"/>
      <c r="N811" s="19"/>
      <c r="O811" s="131"/>
      <c r="P811" s="128"/>
      <c r="Q811" s="30"/>
      <c r="R811" s="39"/>
      <c r="S811" s="40"/>
      <c r="T811" s="40"/>
      <c r="U811" s="40"/>
      <c r="V811" s="40"/>
      <c r="W811" s="40"/>
      <c r="X811" s="41"/>
      <c r="Y811" s="30"/>
      <c r="Z811" s="30"/>
      <c r="AA811" s="30"/>
      <c r="AB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85"/>
      <c r="M812" s="135"/>
      <c r="N812" s="19"/>
      <c r="O812" s="131"/>
      <c r="P812" s="128"/>
      <c r="Q812" s="30"/>
      <c r="R812" s="39"/>
      <c r="S812" s="40"/>
      <c r="T812" s="40"/>
      <c r="U812" s="40"/>
      <c r="V812" s="40"/>
      <c r="W812" s="40"/>
      <c r="X812" s="41"/>
      <c r="Y812" s="30"/>
      <c r="Z812" s="30"/>
      <c r="AA812" s="30"/>
      <c r="AB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85"/>
      <c r="M813" s="135"/>
      <c r="N813" s="19"/>
      <c r="O813" s="131"/>
      <c r="P813" s="128"/>
      <c r="Q813" s="30"/>
      <c r="R813" s="39"/>
      <c r="S813" s="40"/>
      <c r="T813" s="40"/>
      <c r="U813" s="40"/>
      <c r="V813" s="40"/>
      <c r="W813" s="40"/>
      <c r="X813" s="41"/>
      <c r="Y813" s="30"/>
      <c r="Z813" s="30"/>
      <c r="AA813" s="30"/>
      <c r="AB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85"/>
      <c r="M814" s="135"/>
      <c r="N814" s="19"/>
      <c r="O814" s="131"/>
      <c r="P814" s="128"/>
      <c r="Q814" s="30"/>
      <c r="R814" s="39"/>
      <c r="S814" s="40"/>
      <c r="T814" s="40"/>
      <c r="U814" s="40"/>
      <c r="V814" s="40"/>
      <c r="W814" s="40"/>
      <c r="X814" s="41"/>
      <c r="Y814" s="30"/>
      <c r="Z814" s="30"/>
      <c r="AA814" s="30"/>
      <c r="AB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85"/>
      <c r="M815" s="135"/>
      <c r="N815" s="19"/>
      <c r="O815" s="131"/>
      <c r="P815" s="128"/>
      <c r="Q815" s="30"/>
      <c r="R815" s="39"/>
      <c r="S815" s="40"/>
      <c r="T815" s="40"/>
      <c r="U815" s="40"/>
      <c r="V815" s="40"/>
      <c r="W815" s="40"/>
      <c r="X815" s="41"/>
      <c r="Y815" s="30"/>
      <c r="Z815" s="30"/>
      <c r="AA815" s="30"/>
      <c r="AB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85"/>
      <c r="M816" s="135"/>
      <c r="N816" s="19"/>
      <c r="O816" s="131"/>
      <c r="P816" s="128"/>
      <c r="Q816" s="30"/>
      <c r="R816" s="39"/>
      <c r="S816" s="40"/>
      <c r="T816" s="40"/>
      <c r="U816" s="40"/>
      <c r="V816" s="40"/>
      <c r="W816" s="40"/>
      <c r="X816" s="41"/>
      <c r="Y816" s="30"/>
      <c r="Z816" s="30"/>
      <c r="AA816" s="30"/>
      <c r="AB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85"/>
      <c r="M817" s="135"/>
      <c r="N817" s="19"/>
      <c r="O817" s="131"/>
      <c r="P817" s="128"/>
      <c r="Q817" s="30"/>
      <c r="R817" s="39"/>
      <c r="S817" s="40"/>
      <c r="T817" s="40"/>
      <c r="U817" s="40"/>
      <c r="V817" s="40"/>
      <c r="W817" s="40"/>
      <c r="X817" s="41"/>
      <c r="Y817" s="30"/>
      <c r="Z817" s="30"/>
      <c r="AA817" s="30"/>
      <c r="AB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85"/>
      <c r="M818" s="135"/>
      <c r="N818" s="19"/>
      <c r="O818" s="131"/>
      <c r="P818" s="128"/>
      <c r="Q818" s="30"/>
      <c r="R818" s="39"/>
      <c r="S818" s="40"/>
      <c r="T818" s="40"/>
      <c r="U818" s="40"/>
      <c r="V818" s="40"/>
      <c r="W818" s="40"/>
      <c r="X818" s="41"/>
      <c r="Y818" s="30"/>
      <c r="Z818" s="30"/>
      <c r="AA818" s="30"/>
      <c r="AB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85"/>
      <c r="M819" s="135"/>
      <c r="N819" s="19"/>
      <c r="O819" s="131"/>
      <c r="P819" s="128"/>
      <c r="Q819" s="30"/>
      <c r="R819" s="39"/>
      <c r="S819" s="40"/>
      <c r="T819" s="40"/>
      <c r="U819" s="40"/>
      <c r="V819" s="40"/>
      <c r="W819" s="40"/>
      <c r="X819" s="41"/>
      <c r="Y819" s="30"/>
      <c r="Z819" s="30"/>
      <c r="AA819" s="30"/>
      <c r="AB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85"/>
      <c r="M820" s="135"/>
      <c r="N820" s="19"/>
      <c r="O820" s="131"/>
      <c r="P820" s="128"/>
      <c r="Q820" s="30"/>
      <c r="R820" s="39"/>
      <c r="S820" s="40"/>
      <c r="T820" s="40"/>
      <c r="U820" s="40"/>
      <c r="V820" s="40"/>
      <c r="W820" s="40"/>
      <c r="X820" s="41"/>
      <c r="Y820" s="30"/>
      <c r="Z820" s="30"/>
      <c r="AA820" s="30"/>
      <c r="AB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85"/>
      <c r="M821" s="135"/>
      <c r="N821" s="19"/>
      <c r="O821" s="131"/>
      <c r="P821" s="128"/>
      <c r="Q821" s="30"/>
      <c r="R821" s="39"/>
      <c r="S821" s="40"/>
      <c r="T821" s="40"/>
      <c r="U821" s="40"/>
      <c r="V821" s="40"/>
      <c r="W821" s="40"/>
      <c r="X821" s="41"/>
      <c r="Y821" s="30"/>
      <c r="Z821" s="30"/>
      <c r="AA821" s="30"/>
      <c r="AB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85"/>
      <c r="M822" s="135"/>
      <c r="N822" s="19"/>
      <c r="O822" s="131"/>
      <c r="P822" s="128"/>
      <c r="Q822" s="30"/>
      <c r="R822" s="39"/>
      <c r="S822" s="40"/>
      <c r="T822" s="40"/>
      <c r="U822" s="40"/>
      <c r="V822" s="40"/>
      <c r="W822" s="40"/>
      <c r="X822" s="41"/>
      <c r="Y822" s="30"/>
      <c r="Z822" s="30"/>
      <c r="AA822" s="30"/>
      <c r="AB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85"/>
      <c r="M823" s="135"/>
      <c r="N823" s="19"/>
      <c r="O823" s="131"/>
      <c r="P823" s="128"/>
      <c r="Q823" s="30"/>
      <c r="R823" s="39"/>
      <c r="S823" s="40"/>
      <c r="T823" s="40"/>
      <c r="U823" s="40"/>
      <c r="V823" s="40"/>
      <c r="W823" s="40"/>
      <c r="X823" s="41"/>
      <c r="Y823" s="30"/>
      <c r="Z823" s="30"/>
      <c r="AA823" s="30"/>
      <c r="AB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85"/>
      <c r="M824" s="135"/>
      <c r="N824" s="19"/>
      <c r="O824" s="131"/>
      <c r="P824" s="128"/>
      <c r="Q824" s="30"/>
      <c r="R824" s="39"/>
      <c r="S824" s="40"/>
      <c r="T824" s="40"/>
      <c r="U824" s="40"/>
      <c r="V824" s="40"/>
      <c r="W824" s="40"/>
      <c r="X824" s="41"/>
      <c r="Y824" s="30"/>
      <c r="Z824" s="30"/>
      <c r="AA824" s="30"/>
      <c r="AB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85"/>
      <c r="M825" s="135"/>
      <c r="N825" s="19"/>
      <c r="O825" s="131"/>
      <c r="P825" s="128"/>
      <c r="Q825" s="30"/>
      <c r="R825" s="39"/>
      <c r="S825" s="40"/>
      <c r="T825" s="40"/>
      <c r="U825" s="40"/>
      <c r="V825" s="40"/>
      <c r="W825" s="40"/>
      <c r="X825" s="41"/>
      <c r="Y825" s="30"/>
      <c r="Z825" s="30"/>
      <c r="AA825" s="30"/>
      <c r="AB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85"/>
      <c r="M826" s="135"/>
      <c r="N826" s="19"/>
      <c r="O826" s="131"/>
      <c r="P826" s="128"/>
      <c r="Q826" s="30"/>
      <c r="R826" s="39"/>
      <c r="S826" s="40"/>
      <c r="T826" s="40"/>
      <c r="U826" s="40"/>
      <c r="V826" s="40"/>
      <c r="W826" s="40"/>
      <c r="X826" s="41"/>
      <c r="Y826" s="30"/>
      <c r="Z826" s="30"/>
      <c r="AA826" s="30"/>
      <c r="AB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85"/>
      <c r="M827" s="135"/>
      <c r="N827" s="19"/>
      <c r="O827" s="131"/>
      <c r="P827" s="128"/>
      <c r="Q827" s="30"/>
      <c r="R827" s="39"/>
      <c r="S827" s="40"/>
      <c r="T827" s="40"/>
      <c r="U827" s="40"/>
      <c r="V827" s="40"/>
      <c r="W827" s="40"/>
      <c r="X827" s="41"/>
      <c r="Y827" s="30"/>
      <c r="Z827" s="30"/>
      <c r="AA827" s="30"/>
      <c r="AB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85"/>
      <c r="M828" s="135"/>
      <c r="N828" s="19"/>
      <c r="O828" s="131"/>
      <c r="P828" s="128"/>
      <c r="Q828" s="30"/>
      <c r="R828" s="39"/>
      <c r="S828" s="40"/>
      <c r="T828" s="40"/>
      <c r="U828" s="40"/>
      <c r="V828" s="40"/>
      <c r="W828" s="40"/>
      <c r="X828" s="41"/>
      <c r="Y828" s="30"/>
      <c r="Z828" s="30"/>
      <c r="AA828" s="30"/>
      <c r="AB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85"/>
      <c r="M829" s="135"/>
      <c r="N829" s="19"/>
      <c r="O829" s="131"/>
      <c r="P829" s="128"/>
      <c r="Q829" s="30"/>
      <c r="R829" s="39"/>
      <c r="S829" s="40"/>
      <c r="T829" s="40"/>
      <c r="U829" s="40"/>
      <c r="V829" s="40"/>
      <c r="W829" s="40"/>
      <c r="X829" s="41"/>
      <c r="Y829" s="30"/>
      <c r="Z829" s="30"/>
      <c r="AA829" s="30"/>
      <c r="AB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85"/>
      <c r="M830" s="135"/>
      <c r="N830" s="19"/>
      <c r="O830" s="131"/>
      <c r="P830" s="128"/>
      <c r="Q830" s="30"/>
      <c r="R830" s="39"/>
      <c r="S830" s="40"/>
      <c r="T830" s="40"/>
      <c r="U830" s="40"/>
      <c r="V830" s="40"/>
      <c r="W830" s="40"/>
      <c r="X830" s="41"/>
      <c r="Y830" s="30"/>
      <c r="Z830" s="30"/>
      <c r="AA830" s="30"/>
      <c r="AB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85"/>
      <c r="M831" s="135"/>
      <c r="N831" s="19"/>
      <c r="O831" s="131"/>
      <c r="P831" s="128"/>
      <c r="Q831" s="30"/>
      <c r="R831" s="39"/>
      <c r="S831" s="40"/>
      <c r="T831" s="40"/>
      <c r="U831" s="40"/>
      <c r="V831" s="40"/>
      <c r="W831" s="40"/>
      <c r="X831" s="41"/>
      <c r="Y831" s="30"/>
      <c r="Z831" s="30"/>
      <c r="AA831" s="30"/>
      <c r="AB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85"/>
      <c r="M832" s="135"/>
      <c r="N832" s="19"/>
      <c r="O832" s="131"/>
      <c r="P832" s="128"/>
      <c r="Q832" s="30"/>
      <c r="R832" s="39"/>
      <c r="S832" s="40"/>
      <c r="T832" s="40"/>
      <c r="U832" s="40"/>
      <c r="V832" s="40"/>
      <c r="W832" s="40"/>
      <c r="X832" s="41"/>
      <c r="Y832" s="30"/>
      <c r="Z832" s="30"/>
      <c r="AA832" s="30"/>
      <c r="AB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85"/>
      <c r="M833" s="135"/>
      <c r="N833" s="19"/>
      <c r="O833" s="131"/>
      <c r="P833" s="128"/>
      <c r="Q833" s="30"/>
      <c r="R833" s="39"/>
      <c r="S833" s="40"/>
      <c r="T833" s="40"/>
      <c r="U833" s="40"/>
      <c r="V833" s="40"/>
      <c r="W833" s="40"/>
      <c r="X833" s="41"/>
      <c r="Y833" s="30"/>
      <c r="Z833" s="30"/>
      <c r="AA833" s="30"/>
      <c r="AB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85"/>
      <c r="M834" s="135"/>
      <c r="N834" s="19"/>
      <c r="O834" s="131"/>
      <c r="P834" s="128"/>
      <c r="Q834" s="30"/>
      <c r="R834" s="39"/>
      <c r="S834" s="40"/>
      <c r="T834" s="40"/>
      <c r="U834" s="40"/>
      <c r="V834" s="40"/>
      <c r="W834" s="40"/>
      <c r="X834" s="41"/>
      <c r="Y834" s="30"/>
      <c r="Z834" s="30"/>
      <c r="AA834" s="30"/>
      <c r="AB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85"/>
      <c r="M835" s="135"/>
      <c r="N835" s="19"/>
      <c r="O835" s="131"/>
      <c r="P835" s="128"/>
      <c r="Q835" s="30"/>
      <c r="R835" s="39"/>
      <c r="S835" s="40"/>
      <c r="T835" s="40"/>
      <c r="U835" s="40"/>
      <c r="V835" s="40"/>
      <c r="W835" s="40"/>
      <c r="X835" s="41"/>
      <c r="Y835" s="30"/>
      <c r="Z835" s="30"/>
      <c r="AA835" s="30"/>
      <c r="AB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85"/>
      <c r="M836" s="135"/>
      <c r="N836" s="19"/>
      <c r="O836" s="131"/>
      <c r="P836" s="128"/>
      <c r="Q836" s="30"/>
      <c r="R836" s="39"/>
      <c r="S836" s="40"/>
      <c r="T836" s="40"/>
      <c r="U836" s="40"/>
      <c r="V836" s="40"/>
      <c r="W836" s="40"/>
      <c r="X836" s="41"/>
      <c r="Y836" s="30"/>
      <c r="Z836" s="30"/>
      <c r="AA836" s="30"/>
      <c r="AB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85"/>
      <c r="M837" s="135"/>
      <c r="N837" s="19"/>
      <c r="O837" s="131"/>
      <c r="P837" s="128"/>
      <c r="Q837" s="30"/>
      <c r="R837" s="39"/>
      <c r="S837" s="40"/>
      <c r="T837" s="40"/>
      <c r="U837" s="40"/>
      <c r="V837" s="40"/>
      <c r="W837" s="40"/>
      <c r="X837" s="41"/>
      <c r="Y837" s="30"/>
      <c r="Z837" s="30"/>
      <c r="AA837" s="30"/>
      <c r="AB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85"/>
      <c r="M838" s="135"/>
      <c r="N838" s="19"/>
      <c r="O838" s="131"/>
      <c r="P838" s="128"/>
      <c r="Q838" s="30"/>
      <c r="R838" s="39"/>
      <c r="S838" s="40"/>
      <c r="T838" s="40"/>
      <c r="U838" s="40"/>
      <c r="V838" s="40"/>
      <c r="W838" s="40"/>
      <c r="X838" s="41"/>
      <c r="Y838" s="30"/>
      <c r="Z838" s="30"/>
      <c r="AA838" s="30"/>
      <c r="AB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85"/>
      <c r="M839" s="135"/>
      <c r="N839" s="19"/>
      <c r="O839" s="131"/>
      <c r="P839" s="128"/>
      <c r="Q839" s="30"/>
      <c r="R839" s="39"/>
      <c r="S839" s="40"/>
      <c r="T839" s="40"/>
      <c r="U839" s="40"/>
      <c r="V839" s="40"/>
      <c r="W839" s="40"/>
      <c r="X839" s="41"/>
      <c r="Y839" s="30"/>
      <c r="Z839" s="30"/>
      <c r="AA839" s="30"/>
      <c r="AB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85"/>
      <c r="M840" s="135"/>
      <c r="N840" s="19"/>
      <c r="O840" s="131"/>
      <c r="P840" s="128"/>
      <c r="Q840" s="30"/>
      <c r="R840" s="39"/>
      <c r="S840" s="40"/>
      <c r="T840" s="40"/>
      <c r="U840" s="40"/>
      <c r="V840" s="40"/>
      <c r="W840" s="40"/>
      <c r="X840" s="41"/>
      <c r="Y840" s="30"/>
      <c r="Z840" s="30"/>
      <c r="AA840" s="30"/>
      <c r="AB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85"/>
      <c r="M841" s="135"/>
      <c r="N841" s="19"/>
      <c r="O841" s="131"/>
      <c r="P841" s="128"/>
      <c r="Q841" s="30"/>
      <c r="R841" s="39"/>
      <c r="S841" s="40"/>
      <c r="T841" s="40"/>
      <c r="U841" s="40"/>
      <c r="V841" s="40"/>
      <c r="W841" s="40"/>
      <c r="X841" s="41"/>
      <c r="Y841" s="30"/>
      <c r="Z841" s="30"/>
      <c r="AA841" s="30"/>
      <c r="AB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85"/>
      <c r="M842" s="135"/>
      <c r="N842" s="19"/>
      <c r="O842" s="131"/>
      <c r="P842" s="128"/>
      <c r="Q842" s="30"/>
      <c r="R842" s="39"/>
      <c r="S842" s="40"/>
      <c r="T842" s="40"/>
      <c r="U842" s="40"/>
      <c r="V842" s="40"/>
      <c r="W842" s="40"/>
      <c r="X842" s="41"/>
      <c r="Y842" s="30"/>
      <c r="Z842" s="30"/>
      <c r="AA842" s="30"/>
      <c r="AB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85"/>
      <c r="M843" s="135"/>
      <c r="N843" s="19"/>
      <c r="O843" s="131"/>
      <c r="P843" s="128"/>
      <c r="Q843" s="30"/>
      <c r="R843" s="39"/>
      <c r="S843" s="40"/>
      <c r="T843" s="40"/>
      <c r="U843" s="40"/>
      <c r="V843" s="40"/>
      <c r="W843" s="40"/>
      <c r="X843" s="41"/>
      <c r="Y843" s="30"/>
      <c r="Z843" s="30"/>
      <c r="AA843" s="30"/>
      <c r="AB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85"/>
      <c r="M844" s="135"/>
      <c r="N844" s="19"/>
      <c r="O844" s="131"/>
      <c r="P844" s="128"/>
      <c r="Q844" s="30"/>
      <c r="R844" s="39"/>
      <c r="S844" s="40"/>
      <c r="T844" s="40"/>
      <c r="U844" s="40"/>
      <c r="V844" s="40"/>
      <c r="W844" s="40"/>
      <c r="X844" s="41"/>
      <c r="Y844" s="30"/>
      <c r="Z844" s="30"/>
      <c r="AA844" s="30"/>
      <c r="AB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85"/>
      <c r="M845" s="135"/>
      <c r="N845" s="19"/>
      <c r="O845" s="131"/>
      <c r="P845" s="128"/>
      <c r="Q845" s="30"/>
      <c r="R845" s="39"/>
      <c r="S845" s="40"/>
      <c r="T845" s="40"/>
      <c r="U845" s="40"/>
      <c r="V845" s="40"/>
      <c r="W845" s="40"/>
      <c r="X845" s="41"/>
      <c r="Y845" s="30"/>
      <c r="Z845" s="30"/>
      <c r="AA845" s="30"/>
      <c r="AB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85"/>
      <c r="M846" s="135"/>
      <c r="N846" s="19"/>
      <c r="O846" s="131"/>
      <c r="P846" s="128"/>
      <c r="Q846" s="30"/>
      <c r="R846" s="39"/>
      <c r="S846" s="40"/>
      <c r="T846" s="40"/>
      <c r="U846" s="40"/>
      <c r="V846" s="40"/>
      <c r="W846" s="40"/>
      <c r="X846" s="41"/>
      <c r="Y846" s="30"/>
      <c r="Z846" s="30"/>
      <c r="AA846" s="30"/>
      <c r="AB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85"/>
      <c r="M847" s="135"/>
      <c r="N847" s="19"/>
      <c r="O847" s="131"/>
      <c r="P847" s="128"/>
      <c r="Q847" s="30"/>
      <c r="R847" s="39"/>
      <c r="S847" s="40"/>
      <c r="T847" s="40"/>
      <c r="U847" s="40"/>
      <c r="V847" s="40"/>
      <c r="W847" s="40"/>
      <c r="X847" s="41"/>
      <c r="Y847" s="30"/>
      <c r="Z847" s="30"/>
      <c r="AA847" s="30"/>
      <c r="AB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85"/>
      <c r="M848" s="135"/>
      <c r="N848" s="19"/>
      <c r="O848" s="131"/>
      <c r="P848" s="128"/>
      <c r="Q848" s="30"/>
      <c r="R848" s="39"/>
      <c r="S848" s="40"/>
      <c r="T848" s="40"/>
      <c r="U848" s="40"/>
      <c r="V848" s="40"/>
      <c r="W848" s="40"/>
      <c r="X848" s="41"/>
      <c r="Y848" s="30"/>
      <c r="Z848" s="30"/>
      <c r="AA848" s="30"/>
      <c r="AB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85"/>
      <c r="M849" s="135"/>
      <c r="N849" s="19"/>
      <c r="O849" s="131"/>
      <c r="P849" s="128"/>
      <c r="Q849" s="30"/>
      <c r="R849" s="39"/>
      <c r="S849" s="40"/>
      <c r="T849" s="40"/>
      <c r="U849" s="40"/>
      <c r="V849" s="40"/>
      <c r="W849" s="40"/>
      <c r="X849" s="41"/>
      <c r="Y849" s="30"/>
      <c r="Z849" s="30"/>
      <c r="AA849" s="30"/>
      <c r="AB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85"/>
      <c r="M850" s="135"/>
      <c r="N850" s="19"/>
      <c r="O850" s="131"/>
      <c r="P850" s="128"/>
      <c r="Q850" s="30"/>
      <c r="R850" s="39"/>
      <c r="S850" s="40"/>
      <c r="T850" s="40"/>
      <c r="U850" s="40"/>
      <c r="V850" s="40"/>
      <c r="W850" s="40"/>
      <c r="X850" s="41"/>
      <c r="Y850" s="30"/>
      <c r="Z850" s="30"/>
      <c r="AA850" s="30"/>
      <c r="AB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85"/>
      <c r="M851" s="135"/>
      <c r="N851" s="19"/>
      <c r="O851" s="131"/>
      <c r="P851" s="128"/>
      <c r="Q851" s="30"/>
      <c r="R851" s="39"/>
      <c r="S851" s="40"/>
      <c r="T851" s="40"/>
      <c r="U851" s="40"/>
      <c r="V851" s="40"/>
      <c r="W851" s="40"/>
      <c r="X851" s="41"/>
      <c r="Y851" s="30"/>
      <c r="Z851" s="30"/>
      <c r="AA851" s="30"/>
      <c r="AB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85"/>
      <c r="M852" s="135"/>
      <c r="N852" s="19"/>
      <c r="O852" s="131"/>
      <c r="P852" s="128"/>
      <c r="Q852" s="30"/>
      <c r="R852" s="39"/>
      <c r="S852" s="40"/>
      <c r="T852" s="40"/>
      <c r="U852" s="40"/>
      <c r="V852" s="40"/>
      <c r="W852" s="40"/>
      <c r="X852" s="41"/>
      <c r="Y852" s="30"/>
      <c r="Z852" s="30"/>
      <c r="AA852" s="30"/>
      <c r="AB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85"/>
      <c r="M853" s="135"/>
      <c r="N853" s="19"/>
      <c r="O853" s="131"/>
      <c r="P853" s="128"/>
      <c r="Q853" s="30"/>
      <c r="R853" s="39"/>
      <c r="S853" s="40"/>
      <c r="T853" s="40"/>
      <c r="U853" s="40"/>
      <c r="V853" s="40"/>
      <c r="W853" s="40"/>
      <c r="X853" s="41"/>
      <c r="Y853" s="30"/>
      <c r="Z853" s="30"/>
      <c r="AA853" s="30"/>
      <c r="AB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85"/>
      <c r="M854" s="135"/>
      <c r="N854" s="19"/>
      <c r="O854" s="131"/>
      <c r="P854" s="128"/>
      <c r="Q854" s="30"/>
      <c r="R854" s="39"/>
      <c r="S854" s="40"/>
      <c r="T854" s="40"/>
      <c r="U854" s="40"/>
      <c r="V854" s="40"/>
      <c r="W854" s="40"/>
      <c r="X854" s="41"/>
      <c r="Y854" s="30"/>
      <c r="Z854" s="30"/>
      <c r="AA854" s="30"/>
      <c r="AB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85"/>
      <c r="M855" s="135"/>
      <c r="N855" s="19"/>
      <c r="O855" s="131"/>
      <c r="P855" s="128"/>
      <c r="Q855" s="30"/>
      <c r="R855" s="39"/>
      <c r="S855" s="40"/>
      <c r="T855" s="40"/>
      <c r="U855" s="40"/>
      <c r="V855" s="40"/>
      <c r="W855" s="40"/>
      <c r="X855" s="41"/>
      <c r="Y855" s="30"/>
      <c r="Z855" s="30"/>
      <c r="AA855" s="30"/>
      <c r="AB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85"/>
      <c r="M856" s="135"/>
      <c r="N856" s="19"/>
      <c r="O856" s="131"/>
      <c r="P856" s="128"/>
      <c r="Q856" s="30"/>
      <c r="R856" s="39"/>
      <c r="S856" s="40"/>
      <c r="T856" s="40"/>
      <c r="U856" s="40"/>
      <c r="V856" s="40"/>
      <c r="W856" s="40"/>
      <c r="X856" s="41"/>
      <c r="Y856" s="30"/>
      <c r="Z856" s="30"/>
      <c r="AA856" s="30"/>
      <c r="AB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85"/>
      <c r="M857" s="135"/>
      <c r="N857" s="19"/>
      <c r="O857" s="131"/>
      <c r="P857" s="128"/>
      <c r="Q857" s="30"/>
      <c r="R857" s="39"/>
      <c r="S857" s="40"/>
      <c r="T857" s="40"/>
      <c r="U857" s="40"/>
      <c r="V857" s="40"/>
      <c r="W857" s="40"/>
      <c r="X857" s="41"/>
      <c r="Y857" s="30"/>
      <c r="Z857" s="30"/>
      <c r="AA857" s="30"/>
      <c r="AB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85"/>
      <c r="M858" s="135"/>
      <c r="N858" s="19"/>
      <c r="O858" s="131"/>
      <c r="P858" s="128"/>
      <c r="Q858" s="30"/>
      <c r="R858" s="39"/>
      <c r="S858" s="40"/>
      <c r="T858" s="40"/>
      <c r="U858" s="40"/>
      <c r="V858" s="40"/>
      <c r="W858" s="40"/>
      <c r="X858" s="41"/>
      <c r="Y858" s="30"/>
      <c r="Z858" s="30"/>
      <c r="AA858" s="30"/>
      <c r="AB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85"/>
      <c r="M859" s="135"/>
      <c r="N859" s="19"/>
      <c r="O859" s="131"/>
      <c r="P859" s="128"/>
      <c r="Q859" s="30"/>
      <c r="R859" s="39"/>
      <c r="S859" s="40"/>
      <c r="T859" s="40"/>
      <c r="U859" s="40"/>
      <c r="V859" s="40"/>
      <c r="W859" s="40"/>
      <c r="X859" s="41"/>
      <c r="Y859" s="30"/>
      <c r="Z859" s="30"/>
      <c r="AA859" s="30"/>
      <c r="AB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85"/>
      <c r="M860" s="135"/>
      <c r="N860" s="19"/>
      <c r="O860" s="131"/>
      <c r="P860" s="128"/>
      <c r="Q860" s="30"/>
      <c r="R860" s="39"/>
      <c r="S860" s="40"/>
      <c r="T860" s="40"/>
      <c r="U860" s="40"/>
      <c r="V860" s="40"/>
      <c r="W860" s="40"/>
      <c r="X860" s="41"/>
      <c r="Y860" s="30"/>
      <c r="Z860" s="30"/>
      <c r="AA860" s="30"/>
      <c r="AB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85"/>
      <c r="M861" s="135"/>
      <c r="N861" s="19"/>
      <c r="O861" s="131"/>
      <c r="P861" s="128"/>
      <c r="Q861" s="30"/>
      <c r="R861" s="39"/>
      <c r="S861" s="40"/>
      <c r="T861" s="40"/>
      <c r="U861" s="40"/>
      <c r="V861" s="40"/>
      <c r="W861" s="40"/>
      <c r="X861" s="41"/>
      <c r="Y861" s="30"/>
      <c r="Z861" s="30"/>
      <c r="AA861" s="30"/>
      <c r="AB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85"/>
      <c r="M862" s="135"/>
      <c r="N862" s="19"/>
      <c r="O862" s="131"/>
      <c r="P862" s="128"/>
      <c r="Q862" s="30"/>
      <c r="R862" s="39"/>
      <c r="S862" s="40"/>
      <c r="T862" s="40"/>
      <c r="U862" s="40"/>
      <c r="V862" s="40"/>
      <c r="W862" s="40"/>
      <c r="X862" s="41"/>
      <c r="Y862" s="30"/>
      <c r="Z862" s="30"/>
      <c r="AA862" s="30"/>
      <c r="AB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85"/>
      <c r="M863" s="135"/>
      <c r="N863" s="19"/>
      <c r="O863" s="131"/>
      <c r="P863" s="128"/>
      <c r="Q863" s="30"/>
      <c r="R863" s="39"/>
      <c r="S863" s="40"/>
      <c r="T863" s="40"/>
      <c r="U863" s="40"/>
      <c r="V863" s="40"/>
      <c r="W863" s="40"/>
      <c r="X863" s="41"/>
      <c r="Y863" s="30"/>
      <c r="Z863" s="30"/>
      <c r="AA863" s="30"/>
      <c r="AB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85"/>
      <c r="M864" s="135"/>
      <c r="N864" s="19"/>
      <c r="O864" s="131"/>
      <c r="P864" s="128"/>
      <c r="Q864" s="30"/>
      <c r="R864" s="39"/>
      <c r="S864" s="40"/>
      <c r="T864" s="40"/>
      <c r="U864" s="40"/>
      <c r="V864" s="40"/>
      <c r="W864" s="40"/>
      <c r="X864" s="41"/>
      <c r="Y864" s="30"/>
      <c r="Z864" s="30"/>
      <c r="AA864" s="30"/>
      <c r="AB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85"/>
      <c r="M865" s="135"/>
      <c r="N865" s="19"/>
      <c r="O865" s="131"/>
      <c r="P865" s="128"/>
      <c r="Q865" s="30"/>
      <c r="R865" s="39"/>
      <c r="S865" s="40"/>
      <c r="T865" s="40"/>
      <c r="U865" s="40"/>
      <c r="V865" s="40"/>
      <c r="W865" s="40"/>
      <c r="X865" s="41"/>
      <c r="Y865" s="30"/>
      <c r="Z865" s="30"/>
      <c r="AA865" s="30"/>
      <c r="AB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85"/>
      <c r="M866" s="135"/>
      <c r="N866" s="19"/>
      <c r="O866" s="131"/>
      <c r="P866" s="128"/>
      <c r="Q866" s="30"/>
      <c r="R866" s="39"/>
      <c r="S866" s="40"/>
      <c r="T866" s="40"/>
      <c r="U866" s="40"/>
      <c r="V866" s="40"/>
      <c r="W866" s="40"/>
      <c r="X866" s="41"/>
      <c r="Y866" s="30"/>
      <c r="Z866" s="30"/>
      <c r="AA866" s="30"/>
      <c r="AB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85"/>
      <c r="M867" s="135"/>
      <c r="N867" s="19"/>
      <c r="O867" s="131"/>
      <c r="P867" s="128"/>
      <c r="Q867" s="30"/>
      <c r="R867" s="39"/>
      <c r="S867" s="40"/>
      <c r="T867" s="40"/>
      <c r="U867" s="40"/>
      <c r="V867" s="40"/>
      <c r="W867" s="40"/>
      <c r="X867" s="41"/>
      <c r="Y867" s="30"/>
      <c r="Z867" s="30"/>
      <c r="AA867" s="30"/>
      <c r="AB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85"/>
      <c r="M868" s="135"/>
      <c r="N868" s="19"/>
      <c r="O868" s="131"/>
      <c r="P868" s="128"/>
      <c r="Q868" s="30"/>
      <c r="R868" s="39"/>
      <c r="S868" s="40"/>
      <c r="T868" s="40"/>
      <c r="U868" s="40"/>
      <c r="V868" s="40"/>
      <c r="W868" s="40"/>
      <c r="X868" s="41"/>
      <c r="Y868" s="30"/>
      <c r="Z868" s="30"/>
      <c r="AA868" s="30"/>
      <c r="AB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85"/>
      <c r="M869" s="135"/>
      <c r="N869" s="19"/>
      <c r="O869" s="131"/>
      <c r="P869" s="128"/>
      <c r="Q869" s="30"/>
      <c r="R869" s="39"/>
      <c r="S869" s="40"/>
      <c r="T869" s="40"/>
      <c r="U869" s="40"/>
      <c r="V869" s="40"/>
      <c r="W869" s="40"/>
      <c r="X869" s="41"/>
      <c r="Y869" s="30"/>
      <c r="Z869" s="30"/>
      <c r="AA869" s="30"/>
      <c r="AB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85"/>
      <c r="M870" s="135"/>
      <c r="N870" s="19"/>
      <c r="O870" s="131"/>
      <c r="P870" s="128"/>
      <c r="Q870" s="30"/>
      <c r="R870" s="39"/>
      <c r="S870" s="40"/>
      <c r="T870" s="40"/>
      <c r="U870" s="40"/>
      <c r="V870" s="40"/>
      <c r="W870" s="40"/>
      <c r="X870" s="41"/>
      <c r="Y870" s="30"/>
      <c r="Z870" s="30"/>
      <c r="AA870" s="30"/>
      <c r="AB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85"/>
      <c r="M871" s="135"/>
      <c r="N871" s="19"/>
      <c r="O871" s="131"/>
      <c r="P871" s="128"/>
      <c r="Q871" s="30"/>
      <c r="R871" s="39"/>
      <c r="S871" s="40"/>
      <c r="T871" s="40"/>
      <c r="U871" s="40"/>
      <c r="V871" s="40"/>
      <c r="W871" s="40"/>
      <c r="X871" s="41"/>
      <c r="Y871" s="30"/>
      <c r="Z871" s="30"/>
      <c r="AA871" s="30"/>
      <c r="AB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85"/>
      <c r="M872" s="135"/>
      <c r="N872" s="19"/>
      <c r="O872" s="131"/>
      <c r="P872" s="128"/>
      <c r="Q872" s="30"/>
      <c r="R872" s="39"/>
      <c r="S872" s="40"/>
      <c r="T872" s="40"/>
      <c r="U872" s="40"/>
      <c r="V872" s="40"/>
      <c r="W872" s="40"/>
      <c r="X872" s="41"/>
      <c r="Y872" s="30"/>
      <c r="Z872" s="30"/>
      <c r="AA872" s="30"/>
      <c r="AB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85"/>
      <c r="M873" s="135"/>
      <c r="N873" s="19"/>
      <c r="O873" s="131"/>
      <c r="P873" s="128"/>
      <c r="Q873" s="30"/>
      <c r="R873" s="39"/>
      <c r="S873" s="40"/>
      <c r="T873" s="40"/>
      <c r="U873" s="40"/>
      <c r="V873" s="40"/>
      <c r="W873" s="40"/>
      <c r="X873" s="41"/>
      <c r="Y873" s="30"/>
      <c r="Z873" s="30"/>
      <c r="AA873" s="30"/>
      <c r="AB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85"/>
      <c r="M874" s="135"/>
      <c r="N874" s="19"/>
      <c r="O874" s="131"/>
      <c r="P874" s="128"/>
      <c r="Q874" s="30"/>
      <c r="R874" s="39"/>
      <c r="S874" s="40"/>
      <c r="T874" s="40"/>
      <c r="U874" s="40"/>
      <c r="V874" s="40"/>
      <c r="W874" s="40"/>
      <c r="X874" s="41"/>
      <c r="Y874" s="30"/>
      <c r="Z874" s="30"/>
      <c r="AA874" s="30"/>
      <c r="AB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85"/>
      <c r="M875" s="135"/>
      <c r="N875" s="19"/>
      <c r="O875" s="131"/>
      <c r="P875" s="128"/>
      <c r="Q875" s="30"/>
      <c r="R875" s="39"/>
      <c r="S875" s="40"/>
      <c r="T875" s="40"/>
      <c r="U875" s="40"/>
      <c r="V875" s="40"/>
      <c r="W875" s="40"/>
      <c r="X875" s="41"/>
      <c r="Y875" s="30"/>
      <c r="Z875" s="30"/>
      <c r="AA875" s="30"/>
      <c r="AB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85"/>
      <c r="M876" s="135"/>
      <c r="N876" s="19"/>
      <c r="O876" s="131"/>
      <c r="P876" s="128"/>
      <c r="Q876" s="30"/>
      <c r="R876" s="39"/>
      <c r="S876" s="40"/>
      <c r="T876" s="40"/>
      <c r="U876" s="40"/>
      <c r="V876" s="40"/>
      <c r="W876" s="40"/>
      <c r="X876" s="41"/>
      <c r="Y876" s="30"/>
      <c r="Z876" s="30"/>
      <c r="AA876" s="30"/>
      <c r="AB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85"/>
      <c r="M877" s="135"/>
      <c r="N877" s="19"/>
      <c r="O877" s="131"/>
      <c r="P877" s="128"/>
      <c r="Q877" s="30"/>
      <c r="R877" s="39"/>
      <c r="S877" s="40"/>
      <c r="T877" s="40"/>
      <c r="U877" s="40"/>
      <c r="V877" s="40"/>
      <c r="W877" s="40"/>
      <c r="X877" s="41"/>
      <c r="Y877" s="30"/>
      <c r="Z877" s="30"/>
      <c r="AA877" s="30"/>
      <c r="AB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85"/>
      <c r="M878" s="135"/>
      <c r="N878" s="19"/>
      <c r="O878" s="131"/>
      <c r="P878" s="128"/>
      <c r="Q878" s="30"/>
      <c r="R878" s="39"/>
      <c r="S878" s="40"/>
      <c r="T878" s="40"/>
      <c r="U878" s="40"/>
      <c r="V878" s="40"/>
      <c r="W878" s="40"/>
      <c r="X878" s="41"/>
      <c r="Y878" s="30"/>
      <c r="Z878" s="30"/>
      <c r="AA878" s="30"/>
      <c r="AB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85"/>
      <c r="M879" s="135"/>
      <c r="N879" s="19"/>
      <c r="O879" s="131"/>
      <c r="P879" s="128"/>
      <c r="Q879" s="30"/>
      <c r="R879" s="39"/>
      <c r="S879" s="40"/>
      <c r="T879" s="40"/>
      <c r="U879" s="40"/>
      <c r="V879" s="40"/>
      <c r="W879" s="40"/>
      <c r="X879" s="41"/>
      <c r="Y879" s="30"/>
      <c r="Z879" s="30"/>
      <c r="AA879" s="30"/>
      <c r="AB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85"/>
      <c r="M880" s="135"/>
      <c r="N880" s="19"/>
      <c r="O880" s="131"/>
      <c r="P880" s="128"/>
      <c r="Q880" s="30"/>
      <c r="R880" s="39"/>
      <c r="S880" s="40"/>
      <c r="T880" s="40"/>
      <c r="U880" s="40"/>
      <c r="V880" s="40"/>
      <c r="W880" s="40"/>
      <c r="X880" s="41"/>
      <c r="Y880" s="30"/>
      <c r="Z880" s="30"/>
      <c r="AA880" s="30"/>
      <c r="AB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85"/>
      <c r="M881" s="135"/>
      <c r="N881" s="19"/>
      <c r="O881" s="131"/>
      <c r="P881" s="128"/>
      <c r="Q881" s="30"/>
      <c r="R881" s="39"/>
      <c r="S881" s="40"/>
      <c r="T881" s="40"/>
      <c r="U881" s="40"/>
      <c r="V881" s="40"/>
      <c r="W881" s="40"/>
      <c r="X881" s="41"/>
      <c r="Y881" s="30"/>
      <c r="Z881" s="30"/>
      <c r="AA881" s="30"/>
      <c r="AB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85"/>
      <c r="M882" s="135"/>
      <c r="N882" s="19"/>
      <c r="O882" s="131"/>
      <c r="P882" s="128"/>
      <c r="Q882" s="30"/>
      <c r="R882" s="39"/>
      <c r="S882" s="40"/>
      <c r="T882" s="40"/>
      <c r="U882" s="40"/>
      <c r="V882" s="40"/>
      <c r="W882" s="40"/>
      <c r="X882" s="41"/>
      <c r="Y882" s="30"/>
      <c r="Z882" s="30"/>
      <c r="AA882" s="30"/>
      <c r="AB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85"/>
      <c r="M883" s="135"/>
      <c r="N883" s="19"/>
      <c r="O883" s="131"/>
      <c r="P883" s="128"/>
      <c r="Q883" s="30"/>
      <c r="R883" s="39"/>
      <c r="S883" s="40"/>
      <c r="T883" s="40"/>
      <c r="U883" s="40"/>
      <c r="V883" s="40"/>
      <c r="W883" s="40"/>
      <c r="X883" s="41"/>
      <c r="Y883" s="30"/>
      <c r="Z883" s="30"/>
      <c r="AA883" s="30"/>
      <c r="AB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85"/>
      <c r="M884" s="135"/>
      <c r="N884" s="19"/>
      <c r="O884" s="131"/>
      <c r="P884" s="128"/>
      <c r="Q884" s="30"/>
      <c r="R884" s="39"/>
      <c r="S884" s="40"/>
      <c r="T884" s="40"/>
      <c r="U884" s="40"/>
      <c r="V884" s="40"/>
      <c r="W884" s="40"/>
      <c r="X884" s="41"/>
      <c r="Y884" s="30"/>
      <c r="Z884" s="30"/>
      <c r="AA884" s="30"/>
      <c r="AB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85"/>
      <c r="M885" s="135"/>
      <c r="N885" s="19"/>
      <c r="O885" s="131"/>
      <c r="P885" s="128"/>
      <c r="Q885" s="30"/>
      <c r="R885" s="39"/>
      <c r="S885" s="40"/>
      <c r="T885" s="40"/>
      <c r="U885" s="40"/>
      <c r="V885" s="40"/>
      <c r="W885" s="40"/>
      <c r="X885" s="41"/>
      <c r="Y885" s="30"/>
      <c r="Z885" s="30"/>
      <c r="AA885" s="30"/>
      <c r="AB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85"/>
      <c r="M886" s="135"/>
      <c r="N886" s="19"/>
      <c r="O886" s="131"/>
      <c r="P886" s="128"/>
      <c r="Q886" s="30"/>
      <c r="R886" s="39"/>
      <c r="S886" s="40"/>
      <c r="T886" s="40"/>
      <c r="U886" s="40"/>
      <c r="V886" s="40"/>
      <c r="W886" s="40"/>
      <c r="X886" s="41"/>
      <c r="Y886" s="30"/>
      <c r="Z886" s="30"/>
      <c r="AA886" s="30"/>
      <c r="AB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85"/>
      <c r="M887" s="135"/>
      <c r="N887" s="19"/>
      <c r="O887" s="131"/>
      <c r="P887" s="128"/>
      <c r="Q887" s="30"/>
      <c r="R887" s="39"/>
      <c r="S887" s="40"/>
      <c r="T887" s="40"/>
      <c r="U887" s="40"/>
      <c r="V887" s="40"/>
      <c r="W887" s="40"/>
      <c r="X887" s="41"/>
      <c r="Y887" s="30"/>
      <c r="Z887" s="30"/>
      <c r="AA887" s="30"/>
      <c r="AB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85"/>
      <c r="M888" s="135"/>
      <c r="N888" s="19"/>
      <c r="O888" s="131"/>
      <c r="P888" s="128"/>
      <c r="Q888" s="30"/>
      <c r="R888" s="39"/>
      <c r="S888" s="40"/>
      <c r="T888" s="40"/>
      <c r="U888" s="40"/>
      <c r="V888" s="40"/>
      <c r="W888" s="40"/>
      <c r="X888" s="41"/>
      <c r="Y888" s="30"/>
      <c r="Z888" s="30"/>
      <c r="AA888" s="30"/>
      <c r="AB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85"/>
      <c r="M889" s="135"/>
      <c r="N889" s="19"/>
      <c r="O889" s="131"/>
      <c r="P889" s="128"/>
      <c r="Q889" s="30"/>
      <c r="R889" s="39"/>
      <c r="S889" s="40"/>
      <c r="T889" s="40"/>
      <c r="U889" s="40"/>
      <c r="V889" s="40"/>
      <c r="W889" s="40"/>
      <c r="X889" s="41"/>
      <c r="Y889" s="30"/>
      <c r="Z889" s="30"/>
      <c r="AA889" s="30"/>
      <c r="AB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85"/>
      <c r="M890" s="135"/>
      <c r="N890" s="19"/>
      <c r="O890" s="131"/>
      <c r="P890" s="128"/>
      <c r="Q890" s="30"/>
      <c r="R890" s="39"/>
      <c r="S890" s="40"/>
      <c r="T890" s="40"/>
      <c r="U890" s="40"/>
      <c r="V890" s="40"/>
      <c r="W890" s="40"/>
      <c r="X890" s="41"/>
      <c r="Y890" s="30"/>
      <c r="Z890" s="30"/>
      <c r="AA890" s="30"/>
      <c r="AB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85"/>
      <c r="M891" s="135"/>
      <c r="N891" s="19"/>
      <c r="O891" s="131"/>
      <c r="P891" s="128"/>
      <c r="Q891" s="30"/>
      <c r="R891" s="39"/>
      <c r="S891" s="40"/>
      <c r="T891" s="40"/>
      <c r="U891" s="40"/>
      <c r="V891" s="40"/>
      <c r="W891" s="40"/>
      <c r="X891" s="41"/>
      <c r="Y891" s="30"/>
      <c r="Z891" s="30"/>
      <c r="AA891" s="30"/>
      <c r="AB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85"/>
      <c r="M892" s="135"/>
      <c r="N892" s="19"/>
      <c r="O892" s="131"/>
      <c r="P892" s="128"/>
      <c r="Q892" s="30"/>
      <c r="R892" s="39"/>
      <c r="S892" s="40"/>
      <c r="T892" s="40"/>
      <c r="U892" s="40"/>
      <c r="V892" s="40"/>
      <c r="W892" s="40"/>
      <c r="X892" s="41"/>
      <c r="Y892" s="30"/>
      <c r="Z892" s="30"/>
      <c r="AA892" s="30"/>
      <c r="AB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85"/>
      <c r="M893" s="135"/>
      <c r="N893" s="19"/>
      <c r="O893" s="131"/>
      <c r="P893" s="128"/>
      <c r="Q893" s="30"/>
      <c r="R893" s="39"/>
      <c r="S893" s="40"/>
      <c r="T893" s="40"/>
      <c r="U893" s="40"/>
      <c r="V893" s="40"/>
      <c r="W893" s="40"/>
      <c r="X893" s="41"/>
      <c r="Y893" s="30"/>
      <c r="Z893" s="30"/>
      <c r="AA893" s="30"/>
      <c r="AB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85"/>
      <c r="M894" s="135"/>
      <c r="N894" s="19"/>
      <c r="O894" s="131"/>
      <c r="P894" s="128"/>
      <c r="Q894" s="30"/>
      <c r="R894" s="39"/>
      <c r="S894" s="40"/>
      <c r="T894" s="40"/>
      <c r="U894" s="40"/>
      <c r="V894" s="40"/>
      <c r="W894" s="40"/>
      <c r="X894" s="41"/>
      <c r="Y894" s="30"/>
      <c r="Z894" s="30"/>
      <c r="AA894" s="30"/>
      <c r="AB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85"/>
      <c r="M895" s="135"/>
      <c r="N895" s="19"/>
      <c r="O895" s="131"/>
      <c r="P895" s="128"/>
      <c r="Q895" s="30"/>
      <c r="R895" s="39"/>
      <c r="S895" s="40"/>
      <c r="T895" s="40"/>
      <c r="U895" s="40"/>
      <c r="V895" s="40"/>
      <c r="W895" s="40"/>
      <c r="X895" s="41"/>
      <c r="Y895" s="30"/>
      <c r="Z895" s="30"/>
      <c r="AA895" s="30"/>
      <c r="AB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85"/>
      <c r="M896" s="135"/>
      <c r="N896" s="19"/>
      <c r="O896" s="131"/>
      <c r="P896" s="128"/>
      <c r="Q896" s="30"/>
      <c r="R896" s="39"/>
      <c r="S896" s="40"/>
      <c r="T896" s="40"/>
      <c r="U896" s="40"/>
      <c r="V896" s="40"/>
      <c r="W896" s="40"/>
      <c r="X896" s="41"/>
      <c r="Y896" s="30"/>
      <c r="Z896" s="30"/>
      <c r="AA896" s="30"/>
      <c r="AB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85"/>
      <c r="M897" s="135"/>
      <c r="N897" s="19"/>
      <c r="O897" s="131"/>
      <c r="P897" s="128"/>
      <c r="Q897" s="30"/>
      <c r="R897" s="39"/>
      <c r="S897" s="40"/>
      <c r="T897" s="40"/>
      <c r="U897" s="40"/>
      <c r="V897" s="40"/>
      <c r="W897" s="40"/>
      <c r="X897" s="41"/>
      <c r="Y897" s="30"/>
      <c r="Z897" s="30"/>
      <c r="AA897" s="30"/>
      <c r="AB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85"/>
      <c r="M898" s="135"/>
      <c r="N898" s="19"/>
      <c r="O898" s="131"/>
      <c r="P898" s="128"/>
      <c r="Q898" s="30"/>
      <c r="R898" s="39"/>
      <c r="S898" s="40"/>
      <c r="T898" s="40"/>
      <c r="U898" s="40"/>
      <c r="V898" s="40"/>
      <c r="W898" s="40"/>
      <c r="X898" s="41"/>
      <c r="Y898" s="30"/>
      <c r="Z898" s="30"/>
      <c r="AA898" s="30"/>
      <c r="AB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85"/>
      <c r="M899" s="135"/>
      <c r="N899" s="19"/>
      <c r="O899" s="131"/>
      <c r="P899" s="128"/>
      <c r="Q899" s="30"/>
      <c r="R899" s="39"/>
      <c r="S899" s="40"/>
      <c r="T899" s="40"/>
      <c r="U899" s="40"/>
      <c r="V899" s="40"/>
      <c r="W899" s="40"/>
      <c r="X899" s="41"/>
      <c r="Y899" s="30"/>
      <c r="Z899" s="30"/>
      <c r="AA899" s="30"/>
      <c r="AB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85"/>
      <c r="M900" s="135"/>
      <c r="N900" s="19"/>
      <c r="O900" s="131"/>
      <c r="P900" s="128"/>
      <c r="Q900" s="30"/>
      <c r="R900" s="39"/>
      <c r="S900" s="40"/>
      <c r="T900" s="40"/>
      <c r="U900" s="40"/>
      <c r="V900" s="40"/>
      <c r="W900" s="40"/>
      <c r="X900" s="41"/>
      <c r="Y900" s="30"/>
      <c r="Z900" s="30"/>
      <c r="AA900" s="30"/>
      <c r="AB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85"/>
      <c r="M901" s="135"/>
      <c r="N901" s="19"/>
      <c r="O901" s="131"/>
      <c r="P901" s="128"/>
      <c r="Q901" s="30"/>
      <c r="R901" s="39"/>
      <c r="S901" s="40"/>
      <c r="T901" s="40"/>
      <c r="U901" s="40"/>
      <c r="V901" s="40"/>
      <c r="W901" s="40"/>
      <c r="X901" s="41"/>
      <c r="Y901" s="30"/>
      <c r="Z901" s="30"/>
      <c r="AA901" s="30"/>
      <c r="AB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85"/>
      <c r="M902" s="135"/>
      <c r="N902" s="19"/>
      <c r="O902" s="131"/>
      <c r="P902" s="128"/>
      <c r="Q902" s="30"/>
      <c r="R902" s="39"/>
      <c r="S902" s="40"/>
      <c r="T902" s="40"/>
      <c r="U902" s="40"/>
      <c r="V902" s="40"/>
      <c r="W902" s="40"/>
      <c r="X902" s="41"/>
      <c r="Y902" s="30"/>
      <c r="Z902" s="30"/>
      <c r="AA902" s="30"/>
      <c r="AB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85"/>
      <c r="M903" s="135"/>
      <c r="N903" s="19"/>
      <c r="O903" s="131"/>
      <c r="P903" s="128"/>
      <c r="Q903" s="30"/>
      <c r="R903" s="39"/>
      <c r="S903" s="40"/>
      <c r="T903" s="40"/>
      <c r="U903" s="40"/>
      <c r="V903" s="40"/>
      <c r="W903" s="40"/>
      <c r="X903" s="41"/>
      <c r="Y903" s="30"/>
      <c r="Z903" s="30"/>
      <c r="AA903" s="30"/>
      <c r="AB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85"/>
      <c r="M904" s="135"/>
      <c r="N904" s="19"/>
      <c r="O904" s="131"/>
      <c r="P904" s="128"/>
      <c r="Q904" s="30"/>
      <c r="R904" s="39"/>
      <c r="S904" s="40"/>
      <c r="T904" s="40"/>
      <c r="U904" s="40"/>
      <c r="V904" s="40"/>
      <c r="W904" s="40"/>
      <c r="X904" s="41"/>
      <c r="Y904" s="30"/>
      <c r="Z904" s="30"/>
      <c r="AA904" s="30"/>
      <c r="AB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85"/>
      <c r="M905" s="135"/>
      <c r="N905" s="19"/>
      <c r="O905" s="131"/>
      <c r="P905" s="128"/>
      <c r="Q905" s="30"/>
      <c r="R905" s="39"/>
      <c r="S905" s="40"/>
      <c r="T905" s="40"/>
      <c r="U905" s="40"/>
      <c r="V905" s="40"/>
      <c r="W905" s="40"/>
      <c r="X905" s="41"/>
      <c r="Y905" s="30"/>
      <c r="Z905" s="30"/>
      <c r="AA905" s="30"/>
      <c r="AB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85"/>
      <c r="M906" s="135"/>
      <c r="N906" s="19"/>
      <c r="O906" s="131"/>
      <c r="P906" s="128"/>
      <c r="Q906" s="30"/>
      <c r="R906" s="39"/>
      <c r="S906" s="40"/>
      <c r="T906" s="40"/>
      <c r="U906" s="40"/>
      <c r="V906" s="40"/>
      <c r="W906" s="40"/>
      <c r="X906" s="41"/>
      <c r="Y906" s="30"/>
      <c r="Z906" s="30"/>
      <c r="AA906" s="30"/>
      <c r="AB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85"/>
      <c r="M907" s="135"/>
      <c r="N907" s="19"/>
      <c r="O907" s="131"/>
      <c r="P907" s="128"/>
      <c r="Q907" s="30"/>
      <c r="R907" s="39"/>
      <c r="S907" s="40"/>
      <c r="T907" s="40"/>
      <c r="U907" s="40"/>
      <c r="V907" s="40"/>
      <c r="W907" s="40"/>
      <c r="X907" s="41"/>
      <c r="Y907" s="30"/>
      <c r="Z907" s="30"/>
      <c r="AA907" s="30"/>
      <c r="AB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85"/>
      <c r="M908" s="135"/>
      <c r="N908" s="19"/>
      <c r="O908" s="131"/>
      <c r="P908" s="128"/>
      <c r="Q908" s="30"/>
      <c r="R908" s="39"/>
      <c r="S908" s="40"/>
      <c r="T908" s="40"/>
      <c r="U908" s="40"/>
      <c r="V908" s="40"/>
      <c r="W908" s="40"/>
      <c r="X908" s="41"/>
      <c r="Y908" s="30"/>
      <c r="Z908" s="30"/>
      <c r="AA908" s="30"/>
      <c r="AB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85"/>
      <c r="M909" s="135"/>
      <c r="N909" s="19"/>
      <c r="O909" s="131"/>
      <c r="P909" s="128"/>
      <c r="Q909" s="30"/>
      <c r="R909" s="39"/>
      <c r="S909" s="40"/>
      <c r="T909" s="40"/>
      <c r="U909" s="40"/>
      <c r="V909" s="40"/>
      <c r="W909" s="40"/>
      <c r="X909" s="41"/>
      <c r="Y909" s="30"/>
      <c r="Z909" s="30"/>
      <c r="AA909" s="30"/>
      <c r="AB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85"/>
      <c r="M910" s="135"/>
      <c r="N910" s="19"/>
      <c r="O910" s="131"/>
      <c r="P910" s="128"/>
      <c r="Q910" s="30"/>
      <c r="R910" s="39"/>
      <c r="S910" s="40"/>
      <c r="T910" s="40"/>
      <c r="U910" s="40"/>
      <c r="V910" s="40"/>
      <c r="W910" s="40"/>
      <c r="X910" s="41"/>
      <c r="Y910" s="30"/>
      <c r="Z910" s="30"/>
      <c r="AA910" s="30"/>
      <c r="AB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85"/>
      <c r="M911" s="135"/>
      <c r="N911" s="19"/>
      <c r="O911" s="131"/>
      <c r="P911" s="128"/>
      <c r="Q911" s="30"/>
      <c r="R911" s="39"/>
      <c r="S911" s="40"/>
      <c r="T911" s="40"/>
      <c r="U911" s="40"/>
      <c r="V911" s="40"/>
      <c r="W911" s="40"/>
      <c r="X911" s="41"/>
      <c r="Y911" s="30"/>
      <c r="Z911" s="30"/>
      <c r="AA911" s="30"/>
      <c r="AB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85"/>
      <c r="M912" s="135"/>
      <c r="N912" s="19"/>
      <c r="O912" s="131"/>
      <c r="P912" s="128"/>
      <c r="Q912" s="30"/>
      <c r="R912" s="39"/>
      <c r="S912" s="40"/>
      <c r="T912" s="40"/>
      <c r="U912" s="40"/>
      <c r="V912" s="40"/>
      <c r="W912" s="40"/>
      <c r="X912" s="41"/>
      <c r="Y912" s="30"/>
      <c r="Z912" s="30"/>
      <c r="AA912" s="30"/>
      <c r="AB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85"/>
      <c r="M913" s="135"/>
      <c r="N913" s="19"/>
      <c r="O913" s="131"/>
      <c r="P913" s="128"/>
      <c r="Q913" s="30"/>
      <c r="R913" s="39"/>
      <c r="S913" s="40"/>
      <c r="T913" s="40"/>
      <c r="U913" s="40"/>
      <c r="V913" s="40"/>
      <c r="W913" s="40"/>
      <c r="X913" s="41"/>
      <c r="Y913" s="30"/>
      <c r="Z913" s="30"/>
      <c r="AA913" s="30"/>
      <c r="AB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85"/>
      <c r="M914" s="135"/>
      <c r="N914" s="19"/>
      <c r="O914" s="131"/>
      <c r="P914" s="128"/>
      <c r="Q914" s="30"/>
      <c r="R914" s="39"/>
      <c r="S914" s="40"/>
      <c r="T914" s="40"/>
      <c r="U914" s="40"/>
      <c r="V914" s="40"/>
      <c r="W914" s="40"/>
      <c r="X914" s="41"/>
      <c r="Y914" s="30"/>
      <c r="Z914" s="30"/>
      <c r="AA914" s="30"/>
      <c r="AB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85"/>
      <c r="M915" s="135"/>
      <c r="N915" s="19"/>
      <c r="O915" s="131"/>
      <c r="P915" s="128"/>
      <c r="Q915" s="30"/>
      <c r="R915" s="39"/>
      <c r="S915" s="40"/>
      <c r="T915" s="40"/>
      <c r="U915" s="40"/>
      <c r="V915" s="40"/>
      <c r="W915" s="40"/>
      <c r="X915" s="41"/>
      <c r="Y915" s="30"/>
      <c r="Z915" s="30"/>
      <c r="AA915" s="30"/>
      <c r="AB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85"/>
      <c r="M916" s="135"/>
      <c r="N916" s="19"/>
      <c r="O916" s="131"/>
      <c r="P916" s="128"/>
      <c r="Q916" s="30"/>
      <c r="R916" s="39"/>
      <c r="S916" s="40"/>
      <c r="T916" s="40"/>
      <c r="U916" s="40"/>
      <c r="V916" s="40"/>
      <c r="W916" s="40"/>
      <c r="X916" s="41"/>
      <c r="Y916" s="30"/>
      <c r="Z916" s="30"/>
      <c r="AA916" s="30"/>
      <c r="AB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85"/>
      <c r="M917" s="135"/>
      <c r="N917" s="19"/>
      <c r="O917" s="131"/>
      <c r="P917" s="128"/>
      <c r="Q917" s="30"/>
      <c r="R917" s="39"/>
      <c r="S917" s="40"/>
      <c r="T917" s="40"/>
      <c r="U917" s="40"/>
      <c r="V917" s="40"/>
      <c r="W917" s="40"/>
      <c r="X917" s="41"/>
      <c r="Y917" s="30"/>
      <c r="Z917" s="30"/>
      <c r="AA917" s="30"/>
      <c r="AB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85"/>
      <c r="M918" s="135"/>
      <c r="N918" s="19"/>
      <c r="O918" s="131"/>
      <c r="P918" s="128"/>
      <c r="Q918" s="30"/>
      <c r="R918" s="39"/>
      <c r="S918" s="40"/>
      <c r="T918" s="40"/>
      <c r="U918" s="40"/>
      <c r="V918" s="40"/>
      <c r="W918" s="40"/>
      <c r="X918" s="41"/>
      <c r="Y918" s="30"/>
      <c r="Z918" s="30"/>
      <c r="AA918" s="30"/>
      <c r="AB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85"/>
      <c r="M919" s="135"/>
      <c r="N919" s="19"/>
      <c r="O919" s="131"/>
      <c r="P919" s="128"/>
      <c r="Q919" s="30"/>
      <c r="R919" s="39"/>
      <c r="S919" s="40"/>
      <c r="T919" s="40"/>
      <c r="U919" s="40"/>
      <c r="V919" s="40"/>
      <c r="W919" s="40"/>
      <c r="X919" s="41"/>
      <c r="Y919" s="30"/>
      <c r="Z919" s="30"/>
      <c r="AA919" s="30"/>
      <c r="AB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85"/>
      <c r="M920" s="135"/>
      <c r="N920" s="19"/>
      <c r="O920" s="131"/>
      <c r="P920" s="128"/>
      <c r="Q920" s="30"/>
      <c r="R920" s="39"/>
      <c r="S920" s="40"/>
      <c r="T920" s="40"/>
      <c r="U920" s="40"/>
      <c r="V920" s="40"/>
      <c r="W920" s="40"/>
      <c r="X920" s="41"/>
      <c r="Y920" s="30"/>
      <c r="Z920" s="30"/>
      <c r="AA920" s="30"/>
      <c r="AB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85"/>
      <c r="M921" s="135"/>
      <c r="N921" s="19"/>
      <c r="O921" s="131"/>
      <c r="P921" s="128"/>
      <c r="Q921" s="30"/>
      <c r="R921" s="39"/>
      <c r="S921" s="40"/>
      <c r="T921" s="40"/>
      <c r="U921" s="40"/>
      <c r="V921" s="40"/>
      <c r="W921" s="40"/>
      <c r="X921" s="41"/>
      <c r="Y921" s="30"/>
      <c r="Z921" s="30"/>
      <c r="AA921" s="30"/>
      <c r="AB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85"/>
      <c r="M922" s="135"/>
      <c r="N922" s="19"/>
      <c r="O922" s="131"/>
      <c r="P922" s="128"/>
      <c r="Q922" s="30"/>
      <c r="R922" s="39"/>
      <c r="S922" s="40"/>
      <c r="T922" s="40"/>
      <c r="U922" s="40"/>
      <c r="V922" s="40"/>
      <c r="W922" s="40"/>
      <c r="X922" s="41"/>
      <c r="Y922" s="30"/>
      <c r="Z922" s="30"/>
      <c r="AA922" s="30"/>
      <c r="AB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85"/>
      <c r="M923" s="135"/>
      <c r="N923" s="19"/>
      <c r="O923" s="131"/>
      <c r="P923" s="128"/>
      <c r="Q923" s="30"/>
      <c r="R923" s="39"/>
      <c r="S923" s="40"/>
      <c r="T923" s="40"/>
      <c r="U923" s="40"/>
      <c r="V923" s="40"/>
      <c r="W923" s="40"/>
      <c r="X923" s="41"/>
      <c r="Y923" s="30"/>
      <c r="Z923" s="30"/>
      <c r="AA923" s="30"/>
      <c r="AB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85"/>
      <c r="M924" s="135"/>
      <c r="N924" s="19"/>
      <c r="O924" s="131"/>
      <c r="P924" s="128"/>
      <c r="Q924" s="30"/>
      <c r="R924" s="39"/>
      <c r="S924" s="40"/>
      <c r="T924" s="40"/>
      <c r="U924" s="40"/>
      <c r="V924" s="40"/>
      <c r="W924" s="40"/>
      <c r="X924" s="41"/>
      <c r="Y924" s="30"/>
      <c r="Z924" s="30"/>
      <c r="AA924" s="30"/>
      <c r="AB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85"/>
      <c r="M925" s="135"/>
      <c r="N925" s="19"/>
      <c r="O925" s="131"/>
      <c r="P925" s="128"/>
      <c r="Q925" s="30"/>
      <c r="R925" s="39"/>
      <c r="S925" s="40"/>
      <c r="T925" s="40"/>
      <c r="U925" s="40"/>
      <c r="V925" s="40"/>
      <c r="W925" s="40"/>
      <c r="X925" s="41"/>
      <c r="Y925" s="30"/>
      <c r="Z925" s="30"/>
      <c r="AA925" s="30"/>
      <c r="AB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85"/>
      <c r="M926" s="135"/>
      <c r="N926" s="19"/>
      <c r="O926" s="131"/>
      <c r="P926" s="128"/>
      <c r="Q926" s="30"/>
      <c r="R926" s="39"/>
      <c r="S926" s="40"/>
      <c r="T926" s="40"/>
      <c r="U926" s="40"/>
      <c r="V926" s="40"/>
      <c r="W926" s="40"/>
      <c r="X926" s="41"/>
      <c r="Y926" s="30"/>
      <c r="Z926" s="30"/>
      <c r="AA926" s="30"/>
      <c r="AB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85"/>
      <c r="M927" s="135"/>
      <c r="N927" s="19"/>
      <c r="O927" s="131"/>
      <c r="P927" s="128"/>
      <c r="Q927" s="30"/>
      <c r="R927" s="39"/>
      <c r="S927" s="40"/>
      <c r="T927" s="40"/>
      <c r="U927" s="40"/>
      <c r="V927" s="40"/>
      <c r="W927" s="40"/>
      <c r="X927" s="41"/>
      <c r="Y927" s="30"/>
      <c r="Z927" s="30"/>
      <c r="AA927" s="30"/>
      <c r="AB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85"/>
      <c r="M928" s="135"/>
      <c r="N928" s="19"/>
      <c r="O928" s="131"/>
      <c r="P928" s="128"/>
      <c r="Q928" s="30"/>
      <c r="R928" s="39"/>
      <c r="S928" s="40"/>
      <c r="T928" s="40"/>
      <c r="U928" s="40"/>
      <c r="V928" s="40"/>
      <c r="W928" s="40"/>
      <c r="X928" s="41"/>
      <c r="Y928" s="30"/>
      <c r="Z928" s="30"/>
      <c r="AA928" s="30"/>
      <c r="AB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85"/>
      <c r="M929" s="135"/>
      <c r="N929" s="19"/>
      <c r="O929" s="131"/>
      <c r="P929" s="128"/>
      <c r="Q929" s="30"/>
      <c r="R929" s="39"/>
      <c r="S929" s="40"/>
      <c r="T929" s="40"/>
      <c r="U929" s="40"/>
      <c r="V929" s="40"/>
      <c r="W929" s="40"/>
      <c r="X929" s="41"/>
      <c r="Y929" s="30"/>
      <c r="Z929" s="30"/>
      <c r="AA929" s="30"/>
      <c r="AB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85"/>
      <c r="M930" s="135"/>
      <c r="N930" s="19"/>
      <c r="O930" s="131"/>
      <c r="P930" s="128"/>
      <c r="Q930" s="30"/>
      <c r="R930" s="39"/>
      <c r="S930" s="40"/>
      <c r="T930" s="40"/>
      <c r="U930" s="40"/>
      <c r="V930" s="40"/>
      <c r="W930" s="40"/>
      <c r="X930" s="41"/>
      <c r="Y930" s="30"/>
      <c r="Z930" s="30"/>
      <c r="AA930" s="30"/>
      <c r="AB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85"/>
      <c r="M931" s="135"/>
      <c r="N931" s="19"/>
      <c r="O931" s="131"/>
      <c r="P931" s="128"/>
      <c r="Q931" s="30"/>
      <c r="R931" s="39"/>
      <c r="S931" s="40"/>
      <c r="T931" s="40"/>
      <c r="U931" s="40"/>
      <c r="V931" s="40"/>
      <c r="W931" s="40"/>
      <c r="X931" s="41"/>
      <c r="Y931" s="30"/>
      <c r="Z931" s="30"/>
      <c r="AA931" s="30"/>
      <c r="AB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85"/>
      <c r="M932" s="135"/>
      <c r="N932" s="19"/>
      <c r="O932" s="131"/>
      <c r="P932" s="128"/>
      <c r="Q932" s="30"/>
      <c r="R932" s="39"/>
      <c r="S932" s="40"/>
      <c r="T932" s="40"/>
      <c r="U932" s="40"/>
      <c r="V932" s="40"/>
      <c r="W932" s="40"/>
      <c r="X932" s="41"/>
      <c r="Y932" s="30"/>
      <c r="Z932" s="30"/>
      <c r="AA932" s="30"/>
      <c r="AB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85"/>
      <c r="M933" s="135"/>
      <c r="N933" s="19"/>
      <c r="O933" s="131"/>
      <c r="P933" s="128"/>
      <c r="Q933" s="30"/>
      <c r="R933" s="39"/>
      <c r="S933" s="40"/>
      <c r="T933" s="40"/>
      <c r="U933" s="40"/>
      <c r="V933" s="40"/>
      <c r="W933" s="40"/>
      <c r="X933" s="41"/>
      <c r="Y933" s="30"/>
      <c r="Z933" s="30"/>
      <c r="AA933" s="30"/>
      <c r="AB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85"/>
      <c r="M934" s="135"/>
      <c r="N934" s="19"/>
      <c r="O934" s="131"/>
      <c r="P934" s="128"/>
      <c r="Q934" s="30"/>
      <c r="R934" s="39"/>
      <c r="S934" s="40"/>
      <c r="T934" s="40"/>
      <c r="U934" s="40"/>
      <c r="V934" s="40"/>
      <c r="W934" s="40"/>
      <c r="X934" s="41"/>
      <c r="Y934" s="30"/>
      <c r="Z934" s="30"/>
      <c r="AA934" s="30"/>
      <c r="AB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85"/>
      <c r="M935" s="135"/>
      <c r="N935" s="19"/>
      <c r="O935" s="131"/>
      <c r="P935" s="128"/>
      <c r="Q935" s="30"/>
      <c r="R935" s="39"/>
      <c r="S935" s="40"/>
      <c r="T935" s="40"/>
      <c r="U935" s="40"/>
      <c r="V935" s="40"/>
      <c r="W935" s="40"/>
      <c r="X935" s="41"/>
      <c r="Y935" s="30"/>
      <c r="Z935" s="30"/>
      <c r="AA935" s="30"/>
      <c r="AB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85"/>
      <c r="M936" s="135"/>
      <c r="N936" s="19"/>
      <c r="O936" s="131"/>
      <c r="P936" s="128"/>
      <c r="Q936" s="30"/>
      <c r="R936" s="39"/>
      <c r="S936" s="40"/>
      <c r="T936" s="40"/>
      <c r="U936" s="40"/>
      <c r="V936" s="40"/>
      <c r="W936" s="40"/>
      <c r="X936" s="41"/>
      <c r="Y936" s="30"/>
      <c r="Z936" s="30"/>
      <c r="AA936" s="30"/>
      <c r="AB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85"/>
      <c r="M937" s="135"/>
      <c r="N937" s="19"/>
      <c r="O937" s="131"/>
      <c r="P937" s="128"/>
      <c r="Q937" s="30"/>
      <c r="R937" s="39"/>
      <c r="S937" s="40"/>
      <c r="T937" s="40"/>
      <c r="U937" s="40"/>
      <c r="V937" s="40"/>
      <c r="W937" s="40"/>
      <c r="X937" s="41"/>
      <c r="Y937" s="30"/>
      <c r="Z937" s="30"/>
      <c r="AA937" s="30"/>
      <c r="AB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85"/>
      <c r="M938" s="135"/>
      <c r="N938" s="19"/>
      <c r="O938" s="131"/>
      <c r="P938" s="128"/>
      <c r="Q938" s="30"/>
      <c r="R938" s="39"/>
      <c r="S938" s="40"/>
      <c r="T938" s="40"/>
      <c r="U938" s="40"/>
      <c r="V938" s="40"/>
      <c r="W938" s="40"/>
      <c r="X938" s="41"/>
      <c r="Y938" s="30"/>
      <c r="Z938" s="30"/>
      <c r="AA938" s="30"/>
      <c r="AB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85"/>
      <c r="M939" s="135"/>
      <c r="N939" s="19"/>
      <c r="O939" s="131"/>
      <c r="P939" s="128"/>
      <c r="Q939" s="30"/>
      <c r="R939" s="39"/>
      <c r="S939" s="40"/>
      <c r="T939" s="40"/>
      <c r="U939" s="40"/>
      <c r="V939" s="40"/>
      <c r="W939" s="40"/>
      <c r="X939" s="41"/>
      <c r="Y939" s="30"/>
      <c r="Z939" s="30"/>
      <c r="AA939" s="30"/>
      <c r="AB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85"/>
      <c r="M940" s="135"/>
      <c r="N940" s="19"/>
      <c r="O940" s="131"/>
      <c r="P940" s="128"/>
      <c r="Q940" s="30"/>
      <c r="R940" s="39"/>
      <c r="S940" s="40"/>
      <c r="T940" s="40"/>
      <c r="U940" s="40"/>
      <c r="V940" s="40"/>
      <c r="W940" s="40"/>
      <c r="X940" s="41"/>
      <c r="Y940" s="30"/>
      <c r="Z940" s="30"/>
      <c r="AA940" s="30"/>
      <c r="AB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85"/>
      <c r="M941" s="135"/>
      <c r="N941" s="19"/>
      <c r="O941" s="131"/>
      <c r="P941" s="128"/>
      <c r="Q941" s="30"/>
      <c r="R941" s="39"/>
      <c r="S941" s="40"/>
      <c r="T941" s="40"/>
      <c r="U941" s="40"/>
      <c r="V941" s="40"/>
      <c r="W941" s="40"/>
      <c r="X941" s="41"/>
      <c r="Y941" s="30"/>
      <c r="Z941" s="30"/>
      <c r="AA941" s="30"/>
      <c r="AB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85"/>
      <c r="M942" s="135"/>
      <c r="N942" s="19"/>
      <c r="O942" s="131"/>
      <c r="P942" s="128"/>
      <c r="Q942" s="30"/>
      <c r="R942" s="39"/>
      <c r="S942" s="40"/>
      <c r="T942" s="40"/>
      <c r="U942" s="40"/>
      <c r="V942" s="40"/>
      <c r="W942" s="40"/>
      <c r="X942" s="41"/>
      <c r="Y942" s="30"/>
      <c r="Z942" s="30"/>
      <c r="AA942" s="30"/>
      <c r="AB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85"/>
      <c r="M943" s="135"/>
      <c r="N943" s="19"/>
      <c r="O943" s="131"/>
      <c r="P943" s="128"/>
      <c r="Q943" s="30"/>
      <c r="R943" s="39"/>
      <c r="S943" s="40"/>
      <c r="T943" s="40"/>
      <c r="U943" s="40"/>
      <c r="V943" s="40"/>
      <c r="W943" s="40"/>
      <c r="X943" s="41"/>
      <c r="Y943" s="30"/>
      <c r="Z943" s="30"/>
      <c r="AA943" s="30"/>
      <c r="AB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85"/>
      <c r="M944" s="135"/>
      <c r="N944" s="19"/>
      <c r="O944" s="131"/>
      <c r="P944" s="128"/>
      <c r="Q944" s="30"/>
      <c r="R944" s="39"/>
      <c r="S944" s="40"/>
      <c r="T944" s="40"/>
      <c r="U944" s="40"/>
      <c r="V944" s="40"/>
      <c r="W944" s="40"/>
      <c r="X944" s="41"/>
      <c r="Y944" s="30"/>
      <c r="Z944" s="30"/>
      <c r="AA944" s="30"/>
      <c r="AB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85"/>
      <c r="M945" s="135"/>
      <c r="N945" s="19"/>
      <c r="O945" s="131"/>
      <c r="P945" s="128"/>
      <c r="Q945" s="30"/>
      <c r="R945" s="39"/>
      <c r="S945" s="40"/>
      <c r="T945" s="40"/>
      <c r="U945" s="40"/>
      <c r="V945" s="40"/>
      <c r="W945" s="40"/>
      <c r="X945" s="41"/>
      <c r="Y945" s="30"/>
      <c r="Z945" s="30"/>
      <c r="AA945" s="30"/>
      <c r="AB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85"/>
      <c r="M946" s="135"/>
      <c r="N946" s="19"/>
      <c r="O946" s="131"/>
      <c r="P946" s="128"/>
      <c r="Q946" s="30"/>
      <c r="R946" s="39"/>
      <c r="S946" s="40"/>
      <c r="T946" s="40"/>
      <c r="U946" s="40"/>
      <c r="V946" s="40"/>
      <c r="W946" s="40"/>
      <c r="X946" s="41"/>
      <c r="Y946" s="30"/>
      <c r="Z946" s="30"/>
      <c r="AA946" s="30"/>
      <c r="AB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85"/>
      <c r="M947" s="135"/>
      <c r="N947" s="19"/>
      <c r="O947" s="131"/>
      <c r="P947" s="128"/>
      <c r="Q947" s="30"/>
      <c r="R947" s="39"/>
      <c r="S947" s="40"/>
      <c r="T947" s="40"/>
      <c r="U947" s="40"/>
      <c r="V947" s="40"/>
      <c r="W947" s="40"/>
      <c r="X947" s="41"/>
      <c r="Y947" s="30"/>
      <c r="Z947" s="30"/>
      <c r="AA947" s="30"/>
      <c r="AB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85"/>
      <c r="M948" s="135"/>
      <c r="N948" s="19"/>
      <c r="O948" s="131"/>
      <c r="P948" s="128"/>
      <c r="Q948" s="30"/>
      <c r="R948" s="39"/>
      <c r="S948" s="40"/>
      <c r="T948" s="40"/>
      <c r="U948" s="40"/>
      <c r="V948" s="40"/>
      <c r="W948" s="40"/>
      <c r="X948" s="41"/>
      <c r="Y948" s="30"/>
      <c r="Z948" s="30"/>
      <c r="AA948" s="30"/>
      <c r="AB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85"/>
      <c r="M949" s="135"/>
      <c r="N949" s="19"/>
      <c r="O949" s="131"/>
      <c r="P949" s="128"/>
      <c r="Q949" s="30"/>
      <c r="R949" s="39"/>
      <c r="S949" s="40"/>
      <c r="T949" s="40"/>
      <c r="U949" s="40"/>
      <c r="V949" s="40"/>
      <c r="W949" s="40"/>
      <c r="X949" s="41"/>
      <c r="Y949" s="30"/>
      <c r="Z949" s="30"/>
      <c r="AA949" s="30"/>
      <c r="AB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85"/>
      <c r="M950" s="135"/>
      <c r="N950" s="19"/>
      <c r="O950" s="131"/>
      <c r="P950" s="128"/>
      <c r="Q950" s="30"/>
      <c r="R950" s="39"/>
      <c r="S950" s="40"/>
      <c r="T950" s="40"/>
      <c r="U950" s="40"/>
      <c r="V950" s="40"/>
      <c r="W950" s="40"/>
      <c r="X950" s="41"/>
      <c r="Y950" s="30"/>
      <c r="Z950" s="30"/>
      <c r="AA950" s="30"/>
      <c r="AB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85"/>
      <c r="M951" s="135"/>
      <c r="N951" s="19"/>
      <c r="O951" s="131"/>
      <c r="P951" s="128"/>
      <c r="Q951" s="30"/>
      <c r="R951" s="39"/>
      <c r="S951" s="40"/>
      <c r="T951" s="40"/>
      <c r="U951" s="40"/>
      <c r="V951" s="40"/>
      <c r="W951" s="40"/>
      <c r="X951" s="41"/>
      <c r="Y951" s="30"/>
      <c r="Z951" s="30"/>
      <c r="AA951" s="30"/>
      <c r="AB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85"/>
      <c r="M952" s="135"/>
      <c r="N952" s="19"/>
      <c r="O952" s="131"/>
      <c r="P952" s="128"/>
      <c r="Q952" s="30"/>
      <c r="R952" s="39"/>
      <c r="S952" s="40"/>
      <c r="T952" s="40"/>
      <c r="U952" s="40"/>
      <c r="V952" s="40"/>
      <c r="W952" s="40"/>
      <c r="X952" s="41"/>
      <c r="Y952" s="30"/>
      <c r="Z952" s="30"/>
      <c r="AA952" s="30"/>
      <c r="AB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85"/>
      <c r="M953" s="135"/>
      <c r="N953" s="19"/>
      <c r="O953" s="131"/>
      <c r="P953" s="128"/>
      <c r="Q953" s="30"/>
      <c r="R953" s="39"/>
      <c r="S953" s="40"/>
      <c r="T953" s="40"/>
      <c r="U953" s="40"/>
      <c r="V953" s="40"/>
      <c r="W953" s="40"/>
      <c r="X953" s="41"/>
      <c r="Y953" s="30"/>
      <c r="Z953" s="30"/>
      <c r="AA953" s="30"/>
      <c r="AB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85"/>
      <c r="M954" s="135"/>
      <c r="N954" s="19"/>
      <c r="O954" s="131"/>
      <c r="P954" s="128"/>
      <c r="Q954" s="30"/>
      <c r="R954" s="39"/>
      <c r="S954" s="40"/>
      <c r="T954" s="40"/>
      <c r="U954" s="40"/>
      <c r="V954" s="40"/>
      <c r="W954" s="40"/>
      <c r="X954" s="41"/>
      <c r="Y954" s="30"/>
      <c r="Z954" s="30"/>
      <c r="AA954" s="30"/>
      <c r="AB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85"/>
      <c r="M955" s="135"/>
      <c r="N955" s="19"/>
      <c r="O955" s="131"/>
      <c r="P955" s="128"/>
      <c r="Q955" s="30"/>
      <c r="R955" s="39"/>
      <c r="S955" s="40"/>
      <c r="T955" s="40"/>
      <c r="U955" s="40"/>
      <c r="V955" s="40"/>
      <c r="W955" s="40"/>
      <c r="X955" s="41"/>
      <c r="Y955" s="30"/>
      <c r="Z955" s="30"/>
      <c r="AA955" s="30"/>
      <c r="AB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85"/>
      <c r="M956" s="135"/>
      <c r="N956" s="19"/>
      <c r="O956" s="131"/>
      <c r="P956" s="128"/>
      <c r="Q956" s="30"/>
      <c r="R956" s="39"/>
      <c r="S956" s="40"/>
      <c r="T956" s="40"/>
      <c r="U956" s="40"/>
      <c r="V956" s="40"/>
      <c r="W956" s="40"/>
      <c r="X956" s="41"/>
      <c r="Y956" s="30"/>
      <c r="Z956" s="30"/>
      <c r="AA956" s="30"/>
      <c r="AB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85"/>
      <c r="M957" s="135"/>
      <c r="N957" s="19"/>
      <c r="O957" s="131"/>
      <c r="P957" s="128"/>
      <c r="Q957" s="30"/>
      <c r="R957" s="39"/>
      <c r="S957" s="40"/>
      <c r="T957" s="40"/>
      <c r="U957" s="40"/>
      <c r="V957" s="40"/>
      <c r="W957" s="40"/>
      <c r="X957" s="41"/>
      <c r="Y957" s="30"/>
      <c r="Z957" s="30"/>
      <c r="AA957" s="30"/>
      <c r="AB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85"/>
      <c r="M958" s="135"/>
      <c r="N958" s="19"/>
      <c r="O958" s="131"/>
      <c r="P958" s="128"/>
      <c r="Q958" s="30"/>
      <c r="R958" s="39"/>
      <c r="S958" s="40"/>
      <c r="T958" s="40"/>
      <c r="U958" s="40"/>
      <c r="V958" s="40"/>
      <c r="W958" s="40"/>
      <c r="X958" s="41"/>
      <c r="Y958" s="30"/>
      <c r="Z958" s="30"/>
      <c r="AA958" s="30"/>
      <c r="AB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85"/>
      <c r="M959" s="135"/>
      <c r="N959" s="19"/>
      <c r="O959" s="131"/>
      <c r="P959" s="128"/>
      <c r="Q959" s="30"/>
      <c r="R959" s="39"/>
      <c r="S959" s="40"/>
      <c r="T959" s="40"/>
      <c r="U959" s="40"/>
      <c r="V959" s="40"/>
      <c r="W959" s="40"/>
      <c r="X959" s="41"/>
      <c r="Y959" s="30"/>
      <c r="Z959" s="30"/>
      <c r="AA959" s="30"/>
      <c r="AB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85"/>
      <c r="M960" s="135"/>
      <c r="N960" s="19"/>
      <c r="O960" s="131"/>
      <c r="P960" s="128"/>
      <c r="Q960" s="30"/>
      <c r="R960" s="39"/>
      <c r="S960" s="40"/>
      <c r="T960" s="40"/>
      <c r="U960" s="40"/>
      <c r="V960" s="40"/>
      <c r="W960" s="40"/>
      <c r="X960" s="41"/>
      <c r="Y960" s="30"/>
      <c r="Z960" s="30"/>
      <c r="AA960" s="30"/>
      <c r="AB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85"/>
      <c r="M961" s="135"/>
      <c r="N961" s="19"/>
      <c r="O961" s="131"/>
      <c r="P961" s="128"/>
      <c r="Q961" s="30"/>
      <c r="R961" s="39"/>
      <c r="S961" s="40"/>
      <c r="T961" s="40"/>
      <c r="U961" s="40"/>
      <c r="V961" s="40"/>
      <c r="W961" s="40"/>
      <c r="X961" s="41"/>
      <c r="Y961" s="30"/>
      <c r="Z961" s="30"/>
      <c r="AA961" s="30"/>
      <c r="AB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85"/>
      <c r="M962" s="135"/>
      <c r="N962" s="19"/>
      <c r="O962" s="131"/>
      <c r="P962" s="128"/>
      <c r="Q962" s="30"/>
      <c r="R962" s="39"/>
      <c r="S962" s="40"/>
      <c r="T962" s="40"/>
      <c r="U962" s="40"/>
      <c r="V962" s="40"/>
      <c r="W962" s="40"/>
      <c r="X962" s="41"/>
      <c r="Y962" s="30"/>
      <c r="Z962" s="30"/>
      <c r="AA962" s="30"/>
      <c r="AB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85"/>
      <c r="M963" s="135"/>
      <c r="N963" s="19"/>
      <c r="O963" s="131"/>
      <c r="P963" s="128"/>
      <c r="Q963" s="30"/>
      <c r="R963" s="39"/>
      <c r="S963" s="40"/>
      <c r="T963" s="40"/>
      <c r="U963" s="40"/>
      <c r="V963" s="40"/>
      <c r="W963" s="40"/>
      <c r="X963" s="41"/>
      <c r="Y963" s="30"/>
      <c r="Z963" s="30"/>
      <c r="AA963" s="30"/>
      <c r="AB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85"/>
      <c r="M964" s="135"/>
      <c r="N964" s="19"/>
      <c r="O964" s="131"/>
      <c r="P964" s="128"/>
      <c r="Q964" s="30"/>
      <c r="R964" s="39"/>
      <c r="S964" s="40"/>
      <c r="T964" s="40"/>
      <c r="U964" s="40"/>
      <c r="V964" s="40"/>
      <c r="W964" s="40"/>
      <c r="X964" s="41"/>
      <c r="Y964" s="30"/>
      <c r="Z964" s="30"/>
      <c r="AA964" s="30"/>
      <c r="AB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85"/>
      <c r="M965" s="135"/>
      <c r="N965" s="19"/>
      <c r="O965" s="131"/>
      <c r="P965" s="128"/>
      <c r="Q965" s="30"/>
      <c r="R965" s="39"/>
      <c r="S965" s="40"/>
      <c r="T965" s="40"/>
      <c r="U965" s="40"/>
      <c r="V965" s="40"/>
      <c r="W965" s="40"/>
      <c r="X965" s="41"/>
      <c r="Y965" s="30"/>
      <c r="Z965" s="30"/>
      <c r="AA965" s="30"/>
      <c r="AB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85"/>
      <c r="M966" s="135"/>
      <c r="N966" s="19"/>
      <c r="O966" s="131"/>
      <c r="P966" s="128"/>
      <c r="Q966" s="30"/>
      <c r="R966" s="39"/>
      <c r="S966" s="40"/>
      <c r="T966" s="40"/>
      <c r="U966" s="40"/>
      <c r="V966" s="40"/>
      <c r="W966" s="40"/>
      <c r="X966" s="41"/>
      <c r="Y966" s="30"/>
      <c r="Z966" s="30"/>
      <c r="AA966" s="30"/>
      <c r="AB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85"/>
      <c r="M967" s="135"/>
      <c r="N967" s="19"/>
      <c r="O967" s="131"/>
      <c r="P967" s="128"/>
      <c r="Q967" s="30"/>
      <c r="R967" s="39"/>
      <c r="S967" s="40"/>
      <c r="T967" s="40"/>
      <c r="U967" s="40"/>
      <c r="V967" s="40"/>
      <c r="W967" s="40"/>
      <c r="X967" s="41"/>
      <c r="Y967" s="30"/>
      <c r="Z967" s="30"/>
      <c r="AA967" s="30"/>
      <c r="AB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85"/>
      <c r="M968" s="135"/>
      <c r="N968" s="19"/>
      <c r="O968" s="131"/>
      <c r="P968" s="128"/>
      <c r="Q968" s="30"/>
      <c r="R968" s="39"/>
      <c r="S968" s="40"/>
      <c r="T968" s="40"/>
      <c r="U968" s="40"/>
      <c r="V968" s="40"/>
      <c r="W968" s="40"/>
      <c r="X968" s="41"/>
      <c r="Y968" s="30"/>
      <c r="Z968" s="30"/>
      <c r="AA968" s="30"/>
      <c r="AB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85"/>
      <c r="M969" s="135"/>
      <c r="N969" s="19"/>
      <c r="O969" s="131"/>
      <c r="P969" s="128"/>
      <c r="Q969" s="30"/>
      <c r="R969" s="39"/>
      <c r="S969" s="40"/>
      <c r="T969" s="40"/>
      <c r="U969" s="40"/>
      <c r="V969" s="40"/>
      <c r="W969" s="40"/>
      <c r="X969" s="41"/>
      <c r="Y969" s="30"/>
      <c r="Z969" s="30"/>
      <c r="AA969" s="30"/>
      <c r="AB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85"/>
      <c r="M970" s="135"/>
      <c r="N970" s="19"/>
      <c r="O970" s="131"/>
      <c r="P970" s="128"/>
      <c r="Q970" s="30"/>
      <c r="R970" s="39"/>
      <c r="S970" s="40"/>
      <c r="T970" s="40"/>
      <c r="U970" s="40"/>
      <c r="V970" s="40"/>
      <c r="W970" s="40"/>
      <c r="X970" s="41"/>
      <c r="Y970" s="30"/>
      <c r="Z970" s="30"/>
      <c r="AA970" s="30"/>
      <c r="AB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85"/>
      <c r="M971" s="135"/>
      <c r="N971" s="19"/>
      <c r="O971" s="131"/>
      <c r="P971" s="128"/>
      <c r="Q971" s="30"/>
      <c r="R971" s="39"/>
      <c r="S971" s="40"/>
      <c r="T971" s="40"/>
      <c r="U971" s="40"/>
      <c r="V971" s="40"/>
      <c r="W971" s="40"/>
      <c r="X971" s="41"/>
      <c r="Y971" s="30"/>
      <c r="Z971" s="30"/>
      <c r="AA971" s="30"/>
      <c r="AB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85"/>
      <c r="M972" s="135"/>
      <c r="N972" s="19"/>
      <c r="O972" s="131"/>
      <c r="P972" s="128"/>
      <c r="Q972" s="30"/>
      <c r="R972" s="39"/>
      <c r="S972" s="40"/>
      <c r="T972" s="40"/>
      <c r="U972" s="40"/>
      <c r="V972" s="40"/>
      <c r="W972" s="40"/>
      <c r="X972" s="41"/>
      <c r="Y972" s="30"/>
      <c r="Z972" s="30"/>
      <c r="AA972" s="30"/>
      <c r="AB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85"/>
      <c r="M973" s="135"/>
      <c r="N973" s="19"/>
      <c r="O973" s="131"/>
      <c r="P973" s="128"/>
      <c r="Q973" s="30"/>
      <c r="R973" s="39"/>
      <c r="S973" s="40"/>
      <c r="T973" s="40"/>
      <c r="U973" s="40"/>
      <c r="V973" s="40"/>
      <c r="W973" s="40"/>
      <c r="X973" s="41"/>
      <c r="Y973" s="30"/>
      <c r="Z973" s="30"/>
      <c r="AA973" s="30"/>
      <c r="AB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85"/>
      <c r="M974" s="135"/>
      <c r="N974" s="19"/>
      <c r="O974" s="131"/>
      <c r="P974" s="128"/>
      <c r="Q974" s="30"/>
      <c r="R974" s="39"/>
      <c r="S974" s="40"/>
      <c r="T974" s="40"/>
      <c r="U974" s="40"/>
      <c r="V974" s="40"/>
      <c r="W974" s="40"/>
      <c r="X974" s="41"/>
      <c r="Y974" s="30"/>
      <c r="Z974" s="30"/>
      <c r="AA974" s="30"/>
      <c r="AB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85"/>
      <c r="M975" s="135"/>
      <c r="N975" s="19"/>
      <c r="O975" s="131"/>
      <c r="P975" s="128"/>
      <c r="Q975" s="30"/>
      <c r="R975" s="39"/>
      <c r="S975" s="40"/>
      <c r="T975" s="40"/>
      <c r="U975" s="40"/>
      <c r="V975" s="40"/>
      <c r="W975" s="40"/>
      <c r="X975" s="41"/>
      <c r="Y975" s="30"/>
      <c r="Z975" s="30"/>
      <c r="AA975" s="30"/>
      <c r="AB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85"/>
      <c r="M976" s="135"/>
      <c r="N976" s="19"/>
      <c r="O976" s="131"/>
      <c r="P976" s="128"/>
      <c r="Q976" s="30"/>
      <c r="R976" s="39"/>
      <c r="S976" s="40"/>
      <c r="T976" s="40"/>
      <c r="U976" s="40"/>
      <c r="V976" s="40"/>
      <c r="W976" s="40"/>
      <c r="X976" s="41"/>
      <c r="Y976" s="30"/>
      <c r="Z976" s="30"/>
      <c r="AA976" s="30"/>
      <c r="AB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85"/>
      <c r="M977" s="135"/>
      <c r="N977" s="19"/>
      <c r="O977" s="131"/>
      <c r="P977" s="128"/>
      <c r="Q977" s="30"/>
      <c r="R977" s="39"/>
      <c r="S977" s="40"/>
      <c r="T977" s="40"/>
      <c r="U977" s="40"/>
      <c r="V977" s="40"/>
      <c r="W977" s="40"/>
      <c r="X977" s="41"/>
      <c r="Y977" s="30"/>
      <c r="Z977" s="30"/>
      <c r="AA977" s="30"/>
      <c r="AB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85"/>
      <c r="M978" s="135"/>
      <c r="N978" s="19"/>
      <c r="O978" s="131"/>
      <c r="P978" s="128"/>
      <c r="Q978" s="30"/>
      <c r="R978" s="39"/>
      <c r="S978" s="40"/>
      <c r="T978" s="40"/>
      <c r="U978" s="40"/>
      <c r="V978" s="40"/>
      <c r="W978" s="40"/>
      <c r="X978" s="41"/>
      <c r="Y978" s="30"/>
      <c r="Z978" s="30"/>
      <c r="AA978" s="30"/>
      <c r="AB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85"/>
      <c r="M979" s="135"/>
      <c r="N979" s="19"/>
      <c r="O979" s="131"/>
      <c r="P979" s="128"/>
      <c r="Q979" s="30"/>
      <c r="R979" s="39"/>
      <c r="S979" s="40"/>
      <c r="T979" s="40"/>
      <c r="U979" s="40"/>
      <c r="V979" s="40"/>
      <c r="W979" s="40"/>
      <c r="X979" s="41"/>
      <c r="Y979" s="30"/>
      <c r="Z979" s="30"/>
      <c r="AA979" s="30"/>
      <c r="AB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85"/>
      <c r="M980" s="135"/>
      <c r="N980" s="19"/>
      <c r="O980" s="131"/>
      <c r="P980" s="128"/>
      <c r="Q980" s="30"/>
      <c r="R980" s="39"/>
      <c r="S980" s="40"/>
      <c r="T980" s="40"/>
      <c r="U980" s="40"/>
      <c r="V980" s="40"/>
      <c r="W980" s="40"/>
      <c r="X980" s="41"/>
      <c r="Y980" s="30"/>
      <c r="Z980" s="30"/>
      <c r="AA980" s="30"/>
      <c r="AB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85"/>
      <c r="M981" s="135"/>
      <c r="N981" s="19"/>
      <c r="O981" s="131"/>
      <c r="P981" s="128"/>
      <c r="Q981" s="30"/>
      <c r="R981" s="39"/>
      <c r="S981" s="40"/>
      <c r="T981" s="40"/>
      <c r="U981" s="40"/>
      <c r="V981" s="40"/>
      <c r="W981" s="40"/>
      <c r="X981" s="41"/>
      <c r="Y981" s="30"/>
      <c r="Z981" s="30"/>
      <c r="AA981" s="30"/>
      <c r="AB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85"/>
      <c r="M982" s="135"/>
      <c r="N982" s="19"/>
      <c r="O982" s="131"/>
      <c r="P982" s="128"/>
      <c r="Q982" s="30"/>
      <c r="R982" s="39"/>
      <c r="S982" s="40"/>
      <c r="T982" s="40"/>
      <c r="U982" s="40"/>
      <c r="V982" s="40"/>
      <c r="W982" s="40"/>
      <c r="X982" s="41"/>
      <c r="Y982" s="30"/>
      <c r="Z982" s="30"/>
      <c r="AA982" s="30"/>
      <c r="AB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85"/>
      <c r="M983" s="135"/>
      <c r="N983" s="19"/>
      <c r="O983" s="131"/>
      <c r="P983" s="128"/>
      <c r="Q983" s="30"/>
      <c r="R983" s="39"/>
      <c r="S983" s="40"/>
      <c r="T983" s="40"/>
      <c r="U983" s="40"/>
      <c r="V983" s="40"/>
      <c r="W983" s="40"/>
      <c r="X983" s="41"/>
      <c r="Y983" s="30"/>
      <c r="Z983" s="30"/>
      <c r="AA983" s="30"/>
      <c r="AB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85"/>
      <c r="M984" s="135"/>
      <c r="N984" s="19"/>
      <c r="O984" s="131"/>
      <c r="P984" s="128"/>
      <c r="Q984" s="30"/>
      <c r="R984" s="39"/>
      <c r="S984" s="40"/>
      <c r="T984" s="40"/>
      <c r="U984" s="40"/>
      <c r="V984" s="40"/>
      <c r="W984" s="40"/>
      <c r="X984" s="41"/>
      <c r="Y984" s="30"/>
      <c r="Z984" s="30"/>
      <c r="AA984" s="30"/>
      <c r="AB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85"/>
      <c r="M985" s="135"/>
      <c r="N985" s="19"/>
      <c r="O985" s="131"/>
      <c r="P985" s="128"/>
      <c r="Q985" s="30"/>
      <c r="R985" s="39"/>
      <c r="S985" s="40"/>
      <c r="T985" s="40"/>
      <c r="U985" s="40"/>
      <c r="V985" s="40"/>
      <c r="W985" s="40"/>
      <c r="X985" s="41"/>
      <c r="Y985" s="30"/>
      <c r="Z985" s="30"/>
      <c r="AA985" s="30"/>
      <c r="AB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85"/>
      <c r="M986" s="135"/>
      <c r="N986" s="19"/>
      <c r="O986" s="131"/>
      <c r="P986" s="128"/>
      <c r="Q986" s="30"/>
      <c r="R986" s="39"/>
      <c r="S986" s="40"/>
      <c r="T986" s="40"/>
      <c r="U986" s="40"/>
      <c r="V986" s="40"/>
      <c r="W986" s="40"/>
      <c r="X986" s="41"/>
      <c r="Y986" s="30"/>
      <c r="Z986" s="30"/>
      <c r="AA986" s="30"/>
      <c r="AB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85"/>
      <c r="M987" s="135"/>
      <c r="N987" s="19"/>
      <c r="O987" s="131"/>
      <c r="P987" s="128"/>
      <c r="Q987" s="30"/>
      <c r="R987" s="39"/>
      <c r="S987" s="40"/>
      <c r="T987" s="40"/>
      <c r="U987" s="40"/>
      <c r="V987" s="40"/>
      <c r="W987" s="40"/>
      <c r="X987" s="41"/>
      <c r="Y987" s="30"/>
      <c r="Z987" s="30"/>
      <c r="AA987" s="30"/>
      <c r="AB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85"/>
      <c r="M988" s="135"/>
      <c r="N988" s="19"/>
      <c r="O988" s="131"/>
      <c r="P988" s="128"/>
      <c r="Q988" s="30"/>
      <c r="R988" s="39"/>
      <c r="S988" s="40"/>
      <c r="T988" s="40"/>
      <c r="U988" s="40"/>
      <c r="V988" s="40"/>
      <c r="W988" s="40"/>
      <c r="X988" s="41"/>
      <c r="Y988" s="30"/>
      <c r="Z988" s="30"/>
      <c r="AA988" s="30"/>
      <c r="AB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85"/>
      <c r="M989" s="135"/>
      <c r="N989" s="19"/>
      <c r="O989" s="131"/>
      <c r="P989" s="128"/>
      <c r="Q989" s="30"/>
      <c r="R989" s="39"/>
      <c r="S989" s="40"/>
      <c r="T989" s="40"/>
      <c r="U989" s="40"/>
      <c r="V989" s="40"/>
      <c r="W989" s="40"/>
      <c r="X989" s="41"/>
      <c r="Y989" s="30"/>
      <c r="Z989" s="30"/>
      <c r="AA989" s="30"/>
      <c r="AB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85"/>
      <c r="M990" s="135"/>
      <c r="N990" s="19"/>
      <c r="O990" s="131"/>
      <c r="P990" s="128"/>
      <c r="Q990" s="30"/>
      <c r="R990" s="39"/>
      <c r="S990" s="40"/>
      <c r="T990" s="40"/>
      <c r="U990" s="40"/>
      <c r="V990" s="40"/>
      <c r="W990" s="40"/>
      <c r="X990" s="41"/>
      <c r="Y990" s="30"/>
      <c r="Z990" s="30"/>
      <c r="AA990" s="30"/>
      <c r="AB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85"/>
      <c r="M991" s="135"/>
      <c r="N991" s="19"/>
      <c r="O991" s="131"/>
      <c r="P991" s="128"/>
      <c r="Q991" s="30"/>
      <c r="R991" s="39"/>
      <c r="S991" s="40"/>
      <c r="T991" s="40"/>
      <c r="U991" s="40"/>
      <c r="V991" s="40"/>
      <c r="W991" s="40"/>
      <c r="X991" s="41"/>
      <c r="Y991" s="30"/>
      <c r="Z991" s="30"/>
      <c r="AA991" s="30"/>
      <c r="AB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85"/>
      <c r="M992" s="135"/>
      <c r="N992" s="19"/>
      <c r="O992" s="131"/>
      <c r="P992" s="128"/>
      <c r="Q992" s="30"/>
      <c r="R992" s="39"/>
      <c r="S992" s="40"/>
      <c r="T992" s="40"/>
      <c r="U992" s="40"/>
      <c r="V992" s="40"/>
      <c r="W992" s="40"/>
      <c r="X992" s="41"/>
      <c r="Y992" s="30"/>
      <c r="Z992" s="30"/>
      <c r="AA992" s="30"/>
      <c r="AB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85"/>
      <c r="M993" s="135"/>
      <c r="N993" s="19"/>
      <c r="O993" s="131"/>
      <c r="P993" s="128"/>
      <c r="Q993" s="30"/>
      <c r="R993" s="39"/>
      <c r="S993" s="40"/>
      <c r="T993" s="40"/>
      <c r="U993" s="40"/>
      <c r="V993" s="40"/>
      <c r="W993" s="40"/>
      <c r="X993" s="41"/>
      <c r="Y993" s="30"/>
      <c r="Z993" s="30"/>
      <c r="AA993" s="30"/>
      <c r="AB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85"/>
      <c r="M994" s="135"/>
      <c r="N994" s="19"/>
      <c r="O994" s="131"/>
      <c r="P994" s="128"/>
      <c r="Q994" s="30"/>
      <c r="R994" s="39"/>
      <c r="S994" s="40"/>
      <c r="T994" s="40"/>
      <c r="U994" s="40"/>
      <c r="V994" s="40"/>
      <c r="W994" s="40"/>
      <c r="X994" s="41"/>
      <c r="Y994" s="30"/>
      <c r="Z994" s="30"/>
      <c r="AA994" s="30"/>
      <c r="AB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85"/>
      <c r="M995" s="135"/>
      <c r="N995" s="19"/>
      <c r="O995" s="131"/>
      <c r="P995" s="128"/>
      <c r="Q995" s="30"/>
      <c r="R995" s="39"/>
      <c r="S995" s="40"/>
      <c r="T995" s="40"/>
      <c r="U995" s="40"/>
      <c r="V995" s="40"/>
      <c r="W995" s="40"/>
      <c r="X995" s="41"/>
      <c r="Y995" s="30"/>
      <c r="Z995" s="30"/>
      <c r="AA995" s="30"/>
      <c r="AB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85"/>
      <c r="M996" s="135"/>
      <c r="N996" s="19"/>
      <c r="O996" s="131"/>
      <c r="P996" s="128"/>
      <c r="Q996" s="30"/>
      <c r="R996" s="39"/>
      <c r="S996" s="40"/>
      <c r="T996" s="40"/>
      <c r="U996" s="40"/>
      <c r="V996" s="40"/>
      <c r="W996" s="40"/>
      <c r="X996" s="41"/>
      <c r="Y996" s="30"/>
      <c r="Z996" s="30"/>
      <c r="AA996" s="30"/>
      <c r="AB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85"/>
      <c r="M997" s="135"/>
      <c r="N997" s="19"/>
      <c r="O997" s="131"/>
      <c r="P997" s="128"/>
      <c r="Q997" s="30"/>
      <c r="R997" s="39"/>
      <c r="S997" s="40"/>
      <c r="T997" s="40"/>
      <c r="U997" s="40"/>
      <c r="V997" s="40"/>
      <c r="W997" s="40"/>
      <c r="X997" s="41"/>
      <c r="Y997" s="30"/>
      <c r="Z997" s="30"/>
      <c r="AA997" s="30"/>
      <c r="AB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85"/>
      <c r="M998" s="135"/>
      <c r="N998" s="19"/>
      <c r="O998" s="131"/>
      <c r="P998" s="128"/>
      <c r="Q998" s="30"/>
      <c r="R998" s="39"/>
      <c r="S998" s="40"/>
      <c r="T998" s="40"/>
      <c r="U998" s="40"/>
      <c r="V998" s="40"/>
      <c r="W998" s="40"/>
      <c r="X998" s="41"/>
      <c r="Y998" s="30"/>
      <c r="Z998" s="30"/>
      <c r="AA998" s="30"/>
      <c r="AB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85"/>
      <c r="M999" s="135"/>
      <c r="N999" s="19"/>
      <c r="O999" s="131"/>
      <c r="P999" s="128"/>
      <c r="Q999" s="30"/>
      <c r="R999" s="39"/>
      <c r="S999" s="40"/>
      <c r="T999" s="40"/>
      <c r="U999" s="40"/>
      <c r="V999" s="40"/>
      <c r="W999" s="40"/>
      <c r="X999" s="41"/>
      <c r="Y999" s="30"/>
      <c r="Z999" s="30"/>
      <c r="AA999" s="30"/>
      <c r="AB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85"/>
      <c r="M1000" s="135"/>
      <c r="N1000" s="19"/>
      <c r="O1000" s="131"/>
      <c r="P1000" s="128"/>
      <c r="Q1000" s="30"/>
      <c r="R1000" s="39"/>
      <c r="S1000" s="40"/>
      <c r="T1000" s="40"/>
      <c r="U1000" s="40"/>
      <c r="V1000" s="40"/>
      <c r="W1000" s="40"/>
      <c r="X1000" s="41"/>
      <c r="Y1000" s="30"/>
      <c r="Z1000" s="30"/>
      <c r="AA1000" s="30"/>
      <c r="AB1000" s="30"/>
    </row>
  </sheetData>
  <mergeCells count="6">
    <mergeCell ref="C1:Q1"/>
    <mergeCell ref="G4:O4"/>
    <mergeCell ref="G5:G6"/>
    <mergeCell ref="H5:H6"/>
    <mergeCell ref="I5:L5"/>
    <mergeCell ref="M5:P5"/>
  </mergeCells>
  <conditionalFormatting sqref="G2:P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4" width="13.25"/>
    <col customWidth="1" min="15" max="15" width="3.38"/>
    <col customWidth="1" min="16" max="16" width="4.25"/>
    <col customWidth="1" min="17" max="26" width="6.88"/>
  </cols>
  <sheetData>
    <row r="1" ht="48.75" customHeight="1">
      <c r="A1" s="9"/>
      <c r="B1" s="2"/>
      <c r="C1" s="3" t="s">
        <v>2644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3"/>
      <c r="M2" s="14"/>
      <c r="N2" s="13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8"/>
      <c r="M3" s="19"/>
      <c r="N3" s="1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57.0" customHeight="1">
      <c r="A4" s="20"/>
      <c r="B4" s="21"/>
      <c r="C4" s="22" t="s">
        <v>2734</v>
      </c>
      <c r="D4" s="21"/>
      <c r="E4" s="20"/>
      <c r="F4" s="21"/>
      <c r="G4" s="23" t="s">
        <v>2735</v>
      </c>
      <c r="H4" s="4"/>
      <c r="I4" s="4"/>
      <c r="J4" s="4"/>
      <c r="K4" s="4"/>
      <c r="L4" s="4"/>
      <c r="M4" s="4"/>
      <c r="N4" s="4"/>
      <c r="O4" s="21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04" t="s">
        <v>2496</v>
      </c>
      <c r="J5" s="34"/>
      <c r="K5" s="35"/>
      <c r="L5" s="305" t="s">
        <v>2497</v>
      </c>
      <c r="M5" s="37"/>
      <c r="N5" s="38"/>
      <c r="O5" s="30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306" t="s">
        <v>2498</v>
      </c>
      <c r="K6" s="48" t="s">
        <v>12</v>
      </c>
      <c r="L6" s="49" t="s">
        <v>10</v>
      </c>
      <c r="M6" s="307" t="s">
        <v>2498</v>
      </c>
      <c r="N6" s="51" t="s">
        <v>12</v>
      </c>
      <c r="O6" s="30"/>
      <c r="P6" s="29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7.75" customHeight="1">
      <c r="A7" s="29"/>
      <c r="B7" s="30"/>
      <c r="C7" s="308" t="s">
        <v>1089</v>
      </c>
      <c r="D7" s="54"/>
      <c r="E7" s="29"/>
      <c r="F7" s="30"/>
      <c r="G7" s="55">
        <v>1.0</v>
      </c>
      <c r="H7" s="241">
        <v>45426.0</v>
      </c>
      <c r="I7" s="57" t="s">
        <v>2736</v>
      </c>
      <c r="J7" s="58">
        <v>20000.0</v>
      </c>
      <c r="K7" s="310">
        <v>0.5222222222222223</v>
      </c>
      <c r="L7" s="311"/>
      <c r="M7" s="62"/>
      <c r="N7" s="322"/>
      <c r="O7" s="30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45426.0</v>
      </c>
      <c r="I8" s="84"/>
      <c r="J8" s="17"/>
      <c r="K8" s="314"/>
      <c r="L8" s="323" t="s">
        <v>2504</v>
      </c>
      <c r="M8" s="90">
        <v>6300.0</v>
      </c>
      <c r="N8" s="317">
        <v>0.8166666666666667</v>
      </c>
      <c r="O8" s="30"/>
      <c r="P8" s="29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7.75" customHeight="1">
      <c r="A9" s="29"/>
      <c r="B9" s="30"/>
      <c r="C9" s="77">
        <f>SUM(J7:J110)</f>
        <v>180000</v>
      </c>
      <c r="D9" s="30"/>
      <c r="E9" s="29"/>
      <c r="F9" s="30"/>
      <c r="G9" s="66">
        <v>3.0</v>
      </c>
      <c r="H9" s="241">
        <v>45426.0</v>
      </c>
      <c r="I9" s="84"/>
      <c r="J9" s="17"/>
      <c r="K9" s="133"/>
      <c r="L9" s="323" t="s">
        <v>2504</v>
      </c>
      <c r="M9" s="90">
        <v>3939.0</v>
      </c>
      <c r="N9" s="317">
        <v>0.8798611111111111</v>
      </c>
      <c r="O9" s="30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45426.0</v>
      </c>
      <c r="I10" s="84" t="s">
        <v>2736</v>
      </c>
      <c r="J10" s="17">
        <v>20000.0</v>
      </c>
      <c r="K10" s="318">
        <v>0.9805555555555555</v>
      </c>
      <c r="L10" s="103"/>
      <c r="M10" s="103"/>
      <c r="N10" s="103"/>
      <c r="O10" s="30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7.75" customHeight="1">
      <c r="A11" s="29"/>
      <c r="B11" s="30"/>
      <c r="C11" s="79">
        <f>SUM(M7:M110)</f>
        <v>167865.83</v>
      </c>
      <c r="D11" s="30"/>
      <c r="E11" s="29"/>
      <c r="F11" s="30"/>
      <c r="G11" s="66">
        <v>5.0</v>
      </c>
      <c r="H11" s="241">
        <v>45427.0</v>
      </c>
      <c r="I11" s="84"/>
      <c r="J11" s="17"/>
      <c r="K11" s="133"/>
      <c r="L11" s="315" t="s">
        <v>2504</v>
      </c>
      <c r="M11" s="90">
        <v>8080.0</v>
      </c>
      <c r="N11" s="317">
        <v>0.3763888888888889</v>
      </c>
      <c r="O11" s="30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45427.0</v>
      </c>
      <c r="I12" s="84"/>
      <c r="J12" s="17"/>
      <c r="K12" s="133"/>
      <c r="L12" s="315" t="s">
        <v>2504</v>
      </c>
      <c r="M12" s="90">
        <v>1515.0</v>
      </c>
      <c r="N12" s="317">
        <v>0.43472222222222223</v>
      </c>
      <c r="O12" s="30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7.75" customHeight="1">
      <c r="A13" s="29"/>
      <c r="B13" s="30"/>
      <c r="C13" s="82">
        <f>C9-C11</f>
        <v>12134.17</v>
      </c>
      <c r="D13" s="30"/>
      <c r="E13" s="29"/>
      <c r="F13" s="30"/>
      <c r="G13" s="66">
        <v>7.0</v>
      </c>
      <c r="H13" s="241">
        <v>45427.0</v>
      </c>
      <c r="I13" s="84"/>
      <c r="J13" s="17"/>
      <c r="K13" s="133"/>
      <c r="L13" s="315" t="s">
        <v>2504</v>
      </c>
      <c r="M13" s="90">
        <v>1010.0</v>
      </c>
      <c r="N13" s="317">
        <v>0.44722222222222224</v>
      </c>
      <c r="O13" s="30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45427.0</v>
      </c>
      <c r="I14" s="84"/>
      <c r="J14" s="17"/>
      <c r="K14" s="133"/>
      <c r="L14" s="315" t="s">
        <v>2504</v>
      </c>
      <c r="M14" s="90">
        <v>3030.0</v>
      </c>
      <c r="N14" s="317">
        <v>0.48333333333333334</v>
      </c>
      <c r="O14" s="30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7.75" customHeight="1">
      <c r="A15" s="29"/>
      <c r="B15" s="29"/>
      <c r="C15" s="29"/>
      <c r="D15" s="29"/>
      <c r="E15" s="29"/>
      <c r="F15" s="30"/>
      <c r="G15" s="66">
        <v>9.0</v>
      </c>
      <c r="H15" s="241">
        <v>45427.0</v>
      </c>
      <c r="I15" s="154"/>
      <c r="J15" s="17"/>
      <c r="K15" s="133"/>
      <c r="L15" s="315" t="s">
        <v>2504</v>
      </c>
      <c r="M15" s="90">
        <v>3030.0</v>
      </c>
      <c r="N15" s="317">
        <v>0.6</v>
      </c>
      <c r="O15" s="30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7.75" customHeight="1">
      <c r="A16" s="29"/>
      <c r="B16" s="29"/>
      <c r="C16" s="29"/>
      <c r="D16" s="29"/>
      <c r="E16" s="29"/>
      <c r="F16" s="30"/>
      <c r="G16" s="66">
        <v>10.0</v>
      </c>
      <c r="H16" s="153">
        <v>45427.0</v>
      </c>
      <c r="I16" s="84"/>
      <c r="J16" s="17"/>
      <c r="K16" s="133"/>
      <c r="L16" s="315" t="s">
        <v>2504</v>
      </c>
      <c r="M16" s="90">
        <v>1515.0</v>
      </c>
      <c r="N16" s="315" t="s">
        <v>2737</v>
      </c>
      <c r="O16" s="30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7.75" customHeight="1">
      <c r="A17" s="29"/>
      <c r="B17" s="29"/>
      <c r="C17" s="29"/>
      <c r="D17" s="29"/>
      <c r="E17" s="29"/>
      <c r="F17" s="30"/>
      <c r="G17" s="66">
        <v>11.0</v>
      </c>
      <c r="H17" s="241">
        <v>45427.0</v>
      </c>
      <c r="I17" s="84"/>
      <c r="J17" s="17"/>
      <c r="K17" s="133"/>
      <c r="L17" s="315" t="s">
        <v>2504</v>
      </c>
      <c r="M17" s="90">
        <v>3535.0</v>
      </c>
      <c r="N17" s="315" t="s">
        <v>2738</v>
      </c>
      <c r="O17" s="30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7.75" customHeight="1">
      <c r="A18" s="29"/>
      <c r="B18" s="29"/>
      <c r="C18" s="29"/>
      <c r="D18" s="29"/>
      <c r="E18" s="29"/>
      <c r="F18" s="30"/>
      <c r="G18" s="66">
        <v>12.0</v>
      </c>
      <c r="H18" s="153">
        <v>45427.0</v>
      </c>
      <c r="I18" s="84" t="s">
        <v>2736</v>
      </c>
      <c r="J18" s="69">
        <v>40000.0</v>
      </c>
      <c r="K18" s="318">
        <v>0.6986111111111111</v>
      </c>
      <c r="L18" s="315"/>
      <c r="M18" s="19"/>
      <c r="N18" s="324"/>
      <c r="O18" s="30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7.75" customHeight="1">
      <c r="A19" s="29"/>
      <c r="B19" s="29"/>
      <c r="C19" s="29"/>
      <c r="D19" s="29"/>
      <c r="E19" s="29"/>
      <c r="F19" s="30"/>
      <c r="G19" s="66">
        <v>13.0</v>
      </c>
      <c r="H19" s="241">
        <v>45427.0</v>
      </c>
      <c r="I19" s="84"/>
      <c r="J19" s="17"/>
      <c r="K19" s="133"/>
      <c r="L19" s="315" t="s">
        <v>2504</v>
      </c>
      <c r="M19" s="90">
        <v>1010.0</v>
      </c>
      <c r="N19" s="317">
        <v>0.7180555555555556</v>
      </c>
      <c r="O19" s="3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7.75" customHeight="1">
      <c r="A20" s="29"/>
      <c r="B20" s="29"/>
      <c r="C20" s="29"/>
      <c r="D20" s="29"/>
      <c r="E20" s="29"/>
      <c r="F20" s="30"/>
      <c r="G20" s="66">
        <v>14.0</v>
      </c>
      <c r="H20" s="153">
        <v>45427.0</v>
      </c>
      <c r="I20" s="154"/>
      <c r="J20" s="17"/>
      <c r="K20" s="133"/>
      <c r="L20" s="315" t="s">
        <v>2504</v>
      </c>
      <c r="M20" s="90">
        <v>2020.0</v>
      </c>
      <c r="N20" s="317">
        <v>0.7270833333333333</v>
      </c>
      <c r="O20" s="30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7.75" customHeight="1">
      <c r="A21" s="29"/>
      <c r="B21" s="29"/>
      <c r="C21" s="29"/>
      <c r="D21" s="29"/>
      <c r="E21" s="29"/>
      <c r="F21" s="30"/>
      <c r="G21" s="66">
        <v>15.0</v>
      </c>
      <c r="H21" s="241">
        <v>45428.0</v>
      </c>
      <c r="I21" s="84"/>
      <c r="J21" s="17"/>
      <c r="K21" s="133"/>
      <c r="L21" s="315" t="s">
        <v>2504</v>
      </c>
      <c r="M21" s="90">
        <v>4040.0</v>
      </c>
      <c r="N21" s="317">
        <v>0.3854166666666667</v>
      </c>
      <c r="O21" s="30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7.75" customHeight="1">
      <c r="A22" s="29"/>
      <c r="B22" s="29"/>
      <c r="C22" s="29"/>
      <c r="D22" s="29"/>
      <c r="E22" s="29"/>
      <c r="F22" s="30"/>
      <c r="G22" s="66">
        <v>16.0</v>
      </c>
      <c r="H22" s="153">
        <v>45428.0</v>
      </c>
      <c r="I22" s="84"/>
      <c r="J22" s="17"/>
      <c r="K22" s="133"/>
      <c r="L22" s="315" t="s">
        <v>2504</v>
      </c>
      <c r="M22" s="90">
        <v>1957.33</v>
      </c>
      <c r="N22" s="317">
        <v>0.42916666666666664</v>
      </c>
      <c r="O22" s="30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7.75" customHeight="1">
      <c r="A23" s="29"/>
      <c r="B23" s="29"/>
      <c r="C23" s="29"/>
      <c r="D23" s="29"/>
      <c r="E23" s="29"/>
      <c r="F23" s="30"/>
      <c r="G23" s="66">
        <v>17.0</v>
      </c>
      <c r="H23" s="241">
        <v>45428.0</v>
      </c>
      <c r="I23" s="84"/>
      <c r="J23" s="17"/>
      <c r="K23" s="133"/>
      <c r="L23" s="315" t="s">
        <v>2504</v>
      </c>
      <c r="M23" s="90">
        <v>1010.0</v>
      </c>
      <c r="N23" s="315" t="s">
        <v>2739</v>
      </c>
      <c r="O23" s="30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7.75" customHeight="1">
      <c r="A24" s="29"/>
      <c r="B24" s="29"/>
      <c r="C24" s="29"/>
      <c r="D24" s="29"/>
      <c r="E24" s="29"/>
      <c r="F24" s="30"/>
      <c r="G24" s="66">
        <v>18.0</v>
      </c>
      <c r="H24" s="153">
        <v>45428.0</v>
      </c>
      <c r="I24" s="84"/>
      <c r="J24" s="17"/>
      <c r="K24" s="133"/>
      <c r="L24" s="315" t="s">
        <v>2504</v>
      </c>
      <c r="M24" s="90">
        <v>1515.0</v>
      </c>
      <c r="N24" s="320">
        <v>0.5458333333333333</v>
      </c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29"/>
      <c r="B25" s="29"/>
      <c r="C25" s="29"/>
      <c r="D25" s="29"/>
      <c r="E25" s="29"/>
      <c r="F25" s="30"/>
      <c r="G25" s="122">
        <v>19.0</v>
      </c>
      <c r="H25" s="241">
        <v>45428.0</v>
      </c>
      <c r="I25" s="84"/>
      <c r="J25" s="17"/>
      <c r="K25" s="133"/>
      <c r="L25" s="315" t="s">
        <v>2504</v>
      </c>
      <c r="M25" s="90">
        <v>2020.0</v>
      </c>
      <c r="N25" s="320">
        <v>0.5618055555555556</v>
      </c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29"/>
      <c r="B26" s="29"/>
      <c r="C26" s="29"/>
      <c r="D26" s="29"/>
      <c r="E26" s="29"/>
      <c r="F26" s="30"/>
      <c r="G26" s="122">
        <v>20.0</v>
      </c>
      <c r="H26" s="153">
        <v>45428.0</v>
      </c>
      <c r="I26" s="84"/>
      <c r="J26" s="17"/>
      <c r="K26" s="133"/>
      <c r="L26" s="315" t="s">
        <v>2504</v>
      </c>
      <c r="M26" s="90">
        <v>2020.0</v>
      </c>
      <c r="N26" s="316" t="s">
        <v>963</v>
      </c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7.75" customHeight="1">
      <c r="A27" s="29"/>
      <c r="B27" s="29"/>
      <c r="C27" s="29"/>
      <c r="D27" s="29"/>
      <c r="E27" s="29"/>
      <c r="F27" s="30"/>
      <c r="G27" s="122">
        <v>21.0</v>
      </c>
      <c r="H27" s="241">
        <v>45428.0</v>
      </c>
      <c r="I27" s="68"/>
      <c r="J27" s="69"/>
      <c r="K27" s="133"/>
      <c r="L27" s="315" t="s">
        <v>2504</v>
      </c>
      <c r="M27" s="90">
        <v>1010.0</v>
      </c>
      <c r="N27" s="316" t="s">
        <v>2740</v>
      </c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122">
        <v>22.0</v>
      </c>
      <c r="H28" s="153">
        <v>45429.0</v>
      </c>
      <c r="I28" s="84"/>
      <c r="J28" s="17"/>
      <c r="K28" s="133"/>
      <c r="L28" s="315" t="s">
        <v>2504</v>
      </c>
      <c r="M28" s="90">
        <v>3030.0</v>
      </c>
      <c r="N28" s="316" t="s">
        <v>2741</v>
      </c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7.75" customHeight="1">
      <c r="A29" s="29"/>
      <c r="B29" s="29"/>
      <c r="C29" s="29"/>
      <c r="D29" s="29"/>
      <c r="E29" s="29"/>
      <c r="F29" s="30"/>
      <c r="G29" s="122">
        <v>23.0</v>
      </c>
      <c r="H29" s="241">
        <v>45429.0</v>
      </c>
      <c r="I29" s="84"/>
      <c r="J29" s="17"/>
      <c r="K29" s="133"/>
      <c r="L29" s="315" t="s">
        <v>2504</v>
      </c>
      <c r="M29" s="90">
        <v>1515.0</v>
      </c>
      <c r="N29" s="316" t="s">
        <v>2742</v>
      </c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7.75" customHeight="1">
      <c r="A30" s="29"/>
      <c r="B30" s="29"/>
      <c r="C30" s="29"/>
      <c r="D30" s="29"/>
      <c r="E30" s="29"/>
      <c r="F30" s="30"/>
      <c r="G30" s="122">
        <v>24.0</v>
      </c>
      <c r="H30" s="153">
        <v>45430.0</v>
      </c>
      <c r="I30" s="84"/>
      <c r="J30" s="17"/>
      <c r="K30" s="133"/>
      <c r="L30" s="315" t="s">
        <v>2504</v>
      </c>
      <c r="M30" s="90">
        <v>1515.0</v>
      </c>
      <c r="N30" s="316" t="s">
        <v>2743</v>
      </c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7.75" customHeight="1">
      <c r="A31" s="29"/>
      <c r="B31" s="29"/>
      <c r="C31" s="29"/>
      <c r="D31" s="29"/>
      <c r="E31" s="29"/>
      <c r="F31" s="30"/>
      <c r="G31" s="122">
        <v>25.0</v>
      </c>
      <c r="H31" s="153">
        <v>45436.0</v>
      </c>
      <c r="I31" s="68"/>
      <c r="J31" s="17"/>
      <c r="K31" s="314" t="s">
        <v>2723</v>
      </c>
      <c r="L31" s="315" t="s">
        <v>2504</v>
      </c>
      <c r="M31" s="90">
        <v>8080.0</v>
      </c>
      <c r="N31" s="316" t="s">
        <v>2316</v>
      </c>
      <c r="O31" s="30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7.75" customHeight="1">
      <c r="A32" s="29"/>
      <c r="B32" s="29"/>
      <c r="C32" s="29"/>
      <c r="D32" s="29"/>
      <c r="E32" s="29"/>
      <c r="F32" s="30"/>
      <c r="G32" s="122">
        <v>26.0</v>
      </c>
      <c r="H32" s="153">
        <v>45437.0</v>
      </c>
      <c r="I32" s="84"/>
      <c r="J32" s="17"/>
      <c r="K32" s="133"/>
      <c r="L32" s="315" t="s">
        <v>2504</v>
      </c>
      <c r="M32" s="90">
        <v>581.68</v>
      </c>
      <c r="N32" s="316" t="s">
        <v>2744</v>
      </c>
      <c r="O32" s="30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7.75" customHeight="1">
      <c r="A33" s="29"/>
      <c r="B33" s="29"/>
      <c r="C33" s="29"/>
      <c r="D33" s="29"/>
      <c r="E33" s="29"/>
      <c r="F33" s="30"/>
      <c r="G33" s="122">
        <v>27.0</v>
      </c>
      <c r="H33" s="153">
        <v>45437.0</v>
      </c>
      <c r="I33" s="84"/>
      <c r="J33" s="17"/>
      <c r="K33" s="133"/>
      <c r="L33" s="315" t="s">
        <v>2504</v>
      </c>
      <c r="M33" s="90">
        <v>1010.0</v>
      </c>
      <c r="N33" s="316" t="s">
        <v>2503</v>
      </c>
      <c r="O33" s="30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75" customHeight="1">
      <c r="A34" s="29"/>
      <c r="B34" s="29"/>
      <c r="C34" s="29"/>
      <c r="D34" s="29"/>
      <c r="E34" s="29"/>
      <c r="F34" s="30"/>
      <c r="G34" s="122">
        <v>28.0</v>
      </c>
      <c r="H34" s="153">
        <v>45437.0</v>
      </c>
      <c r="I34" s="84"/>
      <c r="J34" s="17"/>
      <c r="K34" s="133"/>
      <c r="L34" s="315" t="s">
        <v>2504</v>
      </c>
      <c r="M34" s="90">
        <v>2525.0</v>
      </c>
      <c r="N34" s="316" t="s">
        <v>2745</v>
      </c>
      <c r="O34" s="30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7.75" customHeight="1">
      <c r="A35" s="29"/>
      <c r="B35" s="29"/>
      <c r="C35" s="29"/>
      <c r="D35" s="29"/>
      <c r="E35" s="29"/>
      <c r="F35" s="30"/>
      <c r="G35" s="122">
        <v>29.0</v>
      </c>
      <c r="H35" s="153">
        <v>45437.0</v>
      </c>
      <c r="I35" s="84"/>
      <c r="J35" s="17"/>
      <c r="K35" s="133"/>
      <c r="L35" s="315" t="s">
        <v>2504</v>
      </c>
      <c r="M35" s="90">
        <v>505.0</v>
      </c>
      <c r="N35" s="316" t="s">
        <v>2746</v>
      </c>
      <c r="O35" s="30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7.75" customHeight="1">
      <c r="A36" s="29"/>
      <c r="B36" s="29"/>
      <c r="C36" s="29"/>
      <c r="D36" s="29"/>
      <c r="E36" s="29"/>
      <c r="F36" s="30"/>
      <c r="G36" s="122">
        <v>30.0</v>
      </c>
      <c r="H36" s="153">
        <v>45437.0</v>
      </c>
      <c r="I36" s="84"/>
      <c r="J36" s="103"/>
      <c r="K36" s="133"/>
      <c r="L36" s="315" t="s">
        <v>2504</v>
      </c>
      <c r="M36" s="90">
        <v>2020.0</v>
      </c>
      <c r="N36" s="316" t="s">
        <v>361</v>
      </c>
      <c r="O36" s="30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7.75" customHeight="1">
      <c r="A37" s="29"/>
      <c r="B37" s="29"/>
      <c r="C37" s="29"/>
      <c r="D37" s="29"/>
      <c r="E37" s="29"/>
      <c r="F37" s="30"/>
      <c r="G37" s="122">
        <v>31.0</v>
      </c>
      <c r="H37" s="153">
        <v>45438.0</v>
      </c>
      <c r="I37" s="84"/>
      <c r="J37" s="17"/>
      <c r="K37" s="133"/>
      <c r="L37" s="315" t="s">
        <v>2504</v>
      </c>
      <c r="M37" s="90">
        <v>1010.0</v>
      </c>
      <c r="N37" s="316" t="s">
        <v>2747</v>
      </c>
      <c r="O37" s="30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7.75" customHeight="1">
      <c r="A38" s="29"/>
      <c r="B38" s="29"/>
      <c r="C38" s="29"/>
      <c r="D38" s="29"/>
      <c r="E38" s="29"/>
      <c r="F38" s="30"/>
      <c r="G38" s="122">
        <v>32.0</v>
      </c>
      <c r="H38" s="153">
        <v>45438.0</v>
      </c>
      <c r="I38" s="84"/>
      <c r="J38" s="17"/>
      <c r="K38" s="133"/>
      <c r="L38" s="315" t="s">
        <v>2504</v>
      </c>
      <c r="M38" s="90">
        <v>1515.0</v>
      </c>
      <c r="N38" s="316" t="s">
        <v>2748</v>
      </c>
      <c r="O38" s="30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7.75" customHeight="1">
      <c r="A39" s="29"/>
      <c r="B39" s="29"/>
      <c r="C39" s="29"/>
      <c r="D39" s="29"/>
      <c r="E39" s="29"/>
      <c r="F39" s="30"/>
      <c r="G39" s="122">
        <v>33.0</v>
      </c>
      <c r="H39" s="153">
        <v>45438.0</v>
      </c>
      <c r="I39" s="84"/>
      <c r="J39" s="17"/>
      <c r="K39" s="133"/>
      <c r="L39" s="315" t="s">
        <v>2504</v>
      </c>
      <c r="M39" s="90">
        <v>1010.0</v>
      </c>
      <c r="N39" s="320">
        <v>0.5701388888888889</v>
      </c>
      <c r="O39" s="30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7.75" customHeight="1">
      <c r="A40" s="29"/>
      <c r="B40" s="29"/>
      <c r="C40" s="29"/>
      <c r="D40" s="29"/>
      <c r="E40" s="29"/>
      <c r="F40" s="30"/>
      <c r="G40" s="122">
        <v>34.0</v>
      </c>
      <c r="H40" s="153">
        <v>45438.0</v>
      </c>
      <c r="I40" s="84"/>
      <c r="J40" s="17"/>
      <c r="K40" s="133"/>
      <c r="L40" s="315" t="s">
        <v>2504</v>
      </c>
      <c r="M40" s="90">
        <v>1010.0</v>
      </c>
      <c r="N40" s="316" t="s">
        <v>2749</v>
      </c>
      <c r="O40" s="30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75" customHeight="1">
      <c r="A41" s="29"/>
      <c r="B41" s="29"/>
      <c r="C41" s="29"/>
      <c r="D41" s="29"/>
      <c r="E41" s="29"/>
      <c r="F41" s="30"/>
      <c r="G41" s="122">
        <v>35.0</v>
      </c>
      <c r="H41" s="153">
        <v>45438.0</v>
      </c>
      <c r="I41" s="84"/>
      <c r="J41" s="17"/>
      <c r="K41" s="133"/>
      <c r="L41" s="315" t="s">
        <v>2504</v>
      </c>
      <c r="M41" s="90">
        <v>2525.0</v>
      </c>
      <c r="N41" s="316" t="s">
        <v>2750</v>
      </c>
      <c r="O41" s="30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7.75" customHeight="1">
      <c r="A42" s="29"/>
      <c r="B42" s="29"/>
      <c r="C42" s="29"/>
      <c r="D42" s="29"/>
      <c r="E42" s="29"/>
      <c r="F42" s="30"/>
      <c r="G42" s="122">
        <v>36.0</v>
      </c>
      <c r="H42" s="153">
        <v>45438.0</v>
      </c>
      <c r="I42" s="84"/>
      <c r="J42" s="17"/>
      <c r="K42" s="133"/>
      <c r="L42" s="315" t="s">
        <v>2504</v>
      </c>
      <c r="M42" s="90">
        <v>1010.0</v>
      </c>
      <c r="N42" s="316" t="s">
        <v>2751</v>
      </c>
      <c r="O42" s="30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75" customHeight="1">
      <c r="A43" s="29"/>
      <c r="B43" s="29"/>
      <c r="C43" s="29"/>
      <c r="D43" s="29"/>
      <c r="E43" s="29"/>
      <c r="F43" s="30"/>
      <c r="G43" s="122">
        <v>37.0</v>
      </c>
      <c r="H43" s="153">
        <v>45438.0</v>
      </c>
      <c r="I43" s="84"/>
      <c r="J43" s="17"/>
      <c r="K43" s="133"/>
      <c r="L43" s="315" t="s">
        <v>2504</v>
      </c>
      <c r="M43" s="90">
        <v>505.0</v>
      </c>
      <c r="N43" s="316" t="s">
        <v>552</v>
      </c>
      <c r="O43" s="30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7.75" customHeight="1">
      <c r="A44" s="29"/>
      <c r="B44" s="29"/>
      <c r="C44" s="29"/>
      <c r="D44" s="29"/>
      <c r="E44" s="29"/>
      <c r="F44" s="30"/>
      <c r="G44" s="122">
        <v>38.0</v>
      </c>
      <c r="H44" s="153">
        <v>45438.0</v>
      </c>
      <c r="I44" s="84" t="s">
        <v>2736</v>
      </c>
      <c r="J44" s="69">
        <v>20000.0</v>
      </c>
      <c r="K44" s="314" t="s">
        <v>2752</v>
      </c>
      <c r="L44" s="135"/>
      <c r="M44" s="19"/>
      <c r="N44" s="131"/>
      <c r="O44" s="30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7.75" customHeight="1">
      <c r="A45" s="29"/>
      <c r="B45" s="29"/>
      <c r="C45" s="29"/>
      <c r="D45" s="29"/>
      <c r="E45" s="29"/>
      <c r="F45" s="30"/>
      <c r="G45" s="122">
        <v>39.0</v>
      </c>
      <c r="H45" s="153">
        <v>45438.0</v>
      </c>
      <c r="I45" s="84"/>
      <c r="J45" s="17"/>
      <c r="K45" s="133"/>
      <c r="L45" s="315" t="s">
        <v>2504</v>
      </c>
      <c r="M45" s="90">
        <v>4040.0</v>
      </c>
      <c r="N45" s="316" t="s">
        <v>2752</v>
      </c>
      <c r="O45" s="30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7.75" customHeight="1">
      <c r="A46" s="29"/>
      <c r="B46" s="29"/>
      <c r="C46" s="29"/>
      <c r="D46" s="29"/>
      <c r="E46" s="29"/>
      <c r="F46" s="30"/>
      <c r="G46" s="122">
        <v>40.0</v>
      </c>
      <c r="H46" s="153">
        <v>45438.0</v>
      </c>
      <c r="I46" s="84"/>
      <c r="J46" s="17"/>
      <c r="K46" s="133"/>
      <c r="L46" s="315" t="s">
        <v>2504</v>
      </c>
      <c r="M46" s="90">
        <v>3535.0</v>
      </c>
      <c r="N46" s="316" t="s">
        <v>2753</v>
      </c>
      <c r="O46" s="30"/>
      <c r="P46" s="29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27.75" customHeight="1">
      <c r="A47" s="29"/>
      <c r="B47" s="29"/>
      <c r="C47" s="29"/>
      <c r="D47" s="29"/>
      <c r="E47" s="29"/>
      <c r="F47" s="30"/>
      <c r="G47" s="122">
        <v>41.0</v>
      </c>
      <c r="H47" s="153">
        <v>45438.0</v>
      </c>
      <c r="I47" s="84"/>
      <c r="J47" s="17"/>
      <c r="K47" s="133"/>
      <c r="L47" s="315" t="s">
        <v>2504</v>
      </c>
      <c r="M47" s="90">
        <v>505.0</v>
      </c>
      <c r="N47" s="320">
        <v>0.9381944444444444</v>
      </c>
      <c r="O47" s="30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7.75" customHeight="1">
      <c r="A48" s="29"/>
      <c r="B48" s="29"/>
      <c r="C48" s="29"/>
      <c r="D48" s="29"/>
      <c r="E48" s="29"/>
      <c r="F48" s="30"/>
      <c r="G48" s="122">
        <v>42.0</v>
      </c>
      <c r="H48" s="153">
        <v>45439.0</v>
      </c>
      <c r="I48" s="84"/>
      <c r="J48" s="17"/>
      <c r="K48" s="133"/>
      <c r="L48" s="315" t="s">
        <v>2504</v>
      </c>
      <c r="M48" s="90">
        <v>2020.0</v>
      </c>
      <c r="N48" s="320">
        <v>0.3625</v>
      </c>
      <c r="O48" s="30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27.75" customHeight="1">
      <c r="A49" s="29"/>
      <c r="B49" s="29"/>
      <c r="C49" s="29"/>
      <c r="D49" s="29"/>
      <c r="E49" s="29"/>
      <c r="F49" s="30"/>
      <c r="G49" s="122">
        <v>43.0</v>
      </c>
      <c r="H49" s="153">
        <v>45439.0</v>
      </c>
      <c r="I49" s="84"/>
      <c r="J49" s="17"/>
      <c r="K49" s="133"/>
      <c r="L49" s="315" t="s">
        <v>2504</v>
      </c>
      <c r="M49" s="90">
        <v>2020.0</v>
      </c>
      <c r="N49" s="316" t="s">
        <v>2754</v>
      </c>
      <c r="O49" s="30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7.75" customHeight="1">
      <c r="A50" s="29"/>
      <c r="B50" s="29"/>
      <c r="C50" s="29"/>
      <c r="D50" s="29"/>
      <c r="E50" s="29"/>
      <c r="F50" s="30"/>
      <c r="G50" s="122">
        <v>44.0</v>
      </c>
      <c r="H50" s="153">
        <v>45439.0</v>
      </c>
      <c r="I50" s="84"/>
      <c r="J50" s="17"/>
      <c r="K50" s="133"/>
      <c r="L50" s="315" t="s">
        <v>2504</v>
      </c>
      <c r="M50" s="90">
        <v>1515.0</v>
      </c>
      <c r="N50" s="316" t="s">
        <v>2755</v>
      </c>
      <c r="O50" s="30"/>
      <c r="P50" s="29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27.75" customHeight="1">
      <c r="A51" s="29"/>
      <c r="B51" s="29"/>
      <c r="C51" s="29"/>
      <c r="D51" s="29"/>
      <c r="E51" s="29"/>
      <c r="F51" s="30"/>
      <c r="G51" s="122">
        <v>45.0</v>
      </c>
      <c r="H51" s="153">
        <v>45439.0</v>
      </c>
      <c r="I51" s="84"/>
      <c r="J51" s="17"/>
      <c r="K51" s="133"/>
      <c r="L51" s="315" t="s">
        <v>2504</v>
      </c>
      <c r="M51" s="90">
        <v>1010.0</v>
      </c>
      <c r="N51" s="316" t="s">
        <v>958</v>
      </c>
      <c r="O51" s="30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7.75" customHeight="1">
      <c r="A52" s="29"/>
      <c r="B52" s="29"/>
      <c r="C52" s="29"/>
      <c r="D52" s="29"/>
      <c r="E52" s="29"/>
      <c r="F52" s="30"/>
      <c r="G52" s="122">
        <v>46.0</v>
      </c>
      <c r="H52" s="153">
        <v>45439.0</v>
      </c>
      <c r="I52" s="84"/>
      <c r="J52" s="17"/>
      <c r="K52" s="133"/>
      <c r="L52" s="315" t="s">
        <v>2504</v>
      </c>
      <c r="M52" s="90">
        <v>2525.0</v>
      </c>
      <c r="N52" s="316" t="s">
        <v>2756</v>
      </c>
      <c r="O52" s="30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7.75" customHeight="1">
      <c r="A53" s="29"/>
      <c r="B53" s="29"/>
      <c r="C53" s="29"/>
      <c r="D53" s="29"/>
      <c r="E53" s="29"/>
      <c r="F53" s="30"/>
      <c r="G53" s="122">
        <v>47.0</v>
      </c>
      <c r="H53" s="153">
        <v>45439.0</v>
      </c>
      <c r="I53" s="84"/>
      <c r="J53" s="17"/>
      <c r="K53" s="133"/>
      <c r="L53" s="315" t="s">
        <v>2504</v>
      </c>
      <c r="M53" s="90">
        <v>2525.0</v>
      </c>
      <c r="N53" s="320">
        <v>0.7597222222222222</v>
      </c>
      <c r="O53" s="30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7.75" customHeight="1">
      <c r="A54" s="29"/>
      <c r="B54" s="29"/>
      <c r="C54" s="29"/>
      <c r="D54" s="29"/>
      <c r="E54" s="29"/>
      <c r="F54" s="30"/>
      <c r="G54" s="122">
        <v>48.0</v>
      </c>
      <c r="H54" s="153">
        <v>45439.0</v>
      </c>
      <c r="I54" s="84" t="s">
        <v>2736</v>
      </c>
      <c r="J54" s="69">
        <v>30000.0</v>
      </c>
      <c r="K54" s="314" t="s">
        <v>2757</v>
      </c>
      <c r="L54" s="135"/>
      <c r="M54" s="19"/>
      <c r="N54" s="131"/>
      <c r="O54" s="30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7.75" customHeight="1">
      <c r="A55" s="29"/>
      <c r="B55" s="29"/>
      <c r="C55" s="29"/>
      <c r="D55" s="29"/>
      <c r="E55" s="29"/>
      <c r="F55" s="30"/>
      <c r="G55" s="122">
        <v>49.0</v>
      </c>
      <c r="H55" s="153">
        <v>45439.0</v>
      </c>
      <c r="I55" s="84"/>
      <c r="J55" s="17"/>
      <c r="K55" s="133"/>
      <c r="L55" s="315" t="s">
        <v>2504</v>
      </c>
      <c r="M55" s="90">
        <v>1515.0</v>
      </c>
      <c r="N55" s="316" t="s">
        <v>357</v>
      </c>
      <c r="O55" s="30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27.75" customHeight="1">
      <c r="A56" s="29"/>
      <c r="B56" s="29"/>
      <c r="C56" s="29"/>
      <c r="D56" s="29"/>
      <c r="E56" s="29"/>
      <c r="F56" s="30"/>
      <c r="G56" s="122">
        <v>50.0</v>
      </c>
      <c r="H56" s="153">
        <v>45439.0</v>
      </c>
      <c r="I56" s="84"/>
      <c r="J56" s="17"/>
      <c r="K56" s="133"/>
      <c r="L56" s="315" t="s">
        <v>2504</v>
      </c>
      <c r="M56" s="90">
        <v>1010.0</v>
      </c>
      <c r="N56" s="316" t="s">
        <v>2758</v>
      </c>
      <c r="O56" s="30"/>
      <c r="P56" s="29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27.75" customHeight="1">
      <c r="A57" s="29"/>
      <c r="B57" s="29"/>
      <c r="C57" s="29"/>
      <c r="D57" s="29"/>
      <c r="E57" s="29"/>
      <c r="F57" s="30"/>
      <c r="G57" s="122">
        <v>51.0</v>
      </c>
      <c r="H57" s="153">
        <v>45439.0</v>
      </c>
      <c r="I57" s="84"/>
      <c r="J57" s="17"/>
      <c r="K57" s="133"/>
      <c r="L57" s="315" t="s">
        <v>2504</v>
      </c>
      <c r="M57" s="90">
        <v>1515.0</v>
      </c>
      <c r="N57" s="316" t="s">
        <v>2759</v>
      </c>
      <c r="O57" s="30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7.75" customHeight="1">
      <c r="A58" s="29"/>
      <c r="B58" s="29"/>
      <c r="C58" s="29"/>
      <c r="D58" s="29"/>
      <c r="E58" s="29"/>
      <c r="F58" s="30"/>
      <c r="G58" s="122">
        <v>52.0</v>
      </c>
      <c r="H58" s="153">
        <v>45440.0</v>
      </c>
      <c r="I58" s="84"/>
      <c r="J58" s="17"/>
      <c r="K58" s="314" t="s">
        <v>2723</v>
      </c>
      <c r="L58" s="315" t="s">
        <v>2504</v>
      </c>
      <c r="M58" s="90">
        <v>5050.0</v>
      </c>
      <c r="N58" s="316" t="s">
        <v>2760</v>
      </c>
      <c r="O58" s="30"/>
      <c r="P58" s="29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7.75" customHeight="1">
      <c r="A59" s="29"/>
      <c r="B59" s="29"/>
      <c r="C59" s="29"/>
      <c r="D59" s="29"/>
      <c r="E59" s="29"/>
      <c r="F59" s="30"/>
      <c r="G59" s="122">
        <v>53.0</v>
      </c>
      <c r="H59" s="153">
        <v>45440.0</v>
      </c>
      <c r="I59" s="84"/>
      <c r="J59" s="17"/>
      <c r="K59" s="133"/>
      <c r="L59" s="315" t="s">
        <v>2504</v>
      </c>
      <c r="M59" s="90">
        <v>1515.0</v>
      </c>
      <c r="N59" s="316" t="s">
        <v>2761</v>
      </c>
      <c r="O59" s="30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7.75" customHeight="1">
      <c r="A60" s="29"/>
      <c r="B60" s="29"/>
      <c r="C60" s="29"/>
      <c r="D60" s="29"/>
      <c r="E60" s="29"/>
      <c r="F60" s="30"/>
      <c r="G60" s="122">
        <v>54.0</v>
      </c>
      <c r="H60" s="153">
        <v>45440.0</v>
      </c>
      <c r="I60" s="84"/>
      <c r="J60" s="17"/>
      <c r="K60" s="133"/>
      <c r="L60" s="315" t="s">
        <v>2504</v>
      </c>
      <c r="M60" s="90">
        <v>4040.0</v>
      </c>
      <c r="N60" s="316" t="s">
        <v>2762</v>
      </c>
      <c r="O60" s="30"/>
      <c r="P60" s="29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7.75" customHeight="1">
      <c r="A61" s="29"/>
      <c r="B61" s="29"/>
      <c r="C61" s="29"/>
      <c r="D61" s="29"/>
      <c r="E61" s="29"/>
      <c r="F61" s="30"/>
      <c r="G61" s="122">
        <v>55.0</v>
      </c>
      <c r="H61" s="153">
        <v>45440.0</v>
      </c>
      <c r="I61" s="84"/>
      <c r="J61" s="17"/>
      <c r="K61" s="133"/>
      <c r="L61" s="315" t="s">
        <v>2504</v>
      </c>
      <c r="M61" s="90">
        <v>1515.0</v>
      </c>
      <c r="N61" s="316" t="s">
        <v>2763</v>
      </c>
      <c r="O61" s="3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75" customHeight="1">
      <c r="A62" s="29"/>
      <c r="B62" s="29"/>
      <c r="C62" s="29"/>
      <c r="D62" s="29"/>
      <c r="E62" s="29"/>
      <c r="F62" s="30"/>
      <c r="G62" s="122">
        <v>56.0</v>
      </c>
      <c r="H62" s="153">
        <v>45440.0</v>
      </c>
      <c r="I62" s="84"/>
      <c r="J62" s="17"/>
      <c r="K62" s="133"/>
      <c r="L62" s="315" t="s">
        <v>2504</v>
      </c>
      <c r="M62" s="90">
        <v>2020.0</v>
      </c>
      <c r="N62" s="316" t="s">
        <v>2764</v>
      </c>
      <c r="O62" s="30"/>
      <c r="P62" s="29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7.75" customHeight="1">
      <c r="A63" s="29"/>
      <c r="B63" s="29"/>
      <c r="C63" s="29"/>
      <c r="D63" s="29"/>
      <c r="E63" s="29"/>
      <c r="F63" s="30"/>
      <c r="G63" s="122">
        <v>57.0</v>
      </c>
      <c r="H63" s="153">
        <v>45441.0</v>
      </c>
      <c r="I63" s="84"/>
      <c r="J63" s="17"/>
      <c r="K63" s="133"/>
      <c r="L63" s="315" t="s">
        <v>2504</v>
      </c>
      <c r="M63" s="90">
        <v>10100.0</v>
      </c>
      <c r="N63" s="316" t="s">
        <v>2765</v>
      </c>
      <c r="O63" s="30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7.75" customHeight="1">
      <c r="A64" s="29"/>
      <c r="B64" s="29"/>
      <c r="C64" s="29"/>
      <c r="D64" s="29"/>
      <c r="E64" s="29"/>
      <c r="F64" s="30"/>
      <c r="G64" s="122">
        <v>58.0</v>
      </c>
      <c r="H64" s="153">
        <v>45441.0</v>
      </c>
      <c r="I64" s="84" t="s">
        <v>2736</v>
      </c>
      <c r="J64" s="69">
        <v>20000.0</v>
      </c>
      <c r="K64" s="318">
        <v>0.3888888888888889</v>
      </c>
      <c r="L64" s="315"/>
      <c r="M64" s="90"/>
      <c r="N64" s="316"/>
      <c r="O64" s="30"/>
      <c r="P64" s="29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7.75" customHeight="1">
      <c r="A65" s="29"/>
      <c r="B65" s="29"/>
      <c r="C65" s="29"/>
      <c r="D65" s="29"/>
      <c r="E65" s="29"/>
      <c r="F65" s="30"/>
      <c r="G65" s="122">
        <v>59.0</v>
      </c>
      <c r="H65" s="153">
        <v>45441.0</v>
      </c>
      <c r="I65" s="84"/>
      <c r="J65" s="17"/>
      <c r="K65" s="314" t="s">
        <v>2250</v>
      </c>
      <c r="L65" s="315" t="s">
        <v>2504</v>
      </c>
      <c r="M65" s="90">
        <v>10000.0</v>
      </c>
      <c r="N65" s="316" t="s">
        <v>2766</v>
      </c>
      <c r="O65" s="30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7.75" customHeight="1">
      <c r="A66" s="29"/>
      <c r="B66" s="29"/>
      <c r="C66" s="29"/>
      <c r="D66" s="29"/>
      <c r="E66" s="29"/>
      <c r="F66" s="30"/>
      <c r="G66" s="122">
        <v>60.0</v>
      </c>
      <c r="H66" s="153">
        <v>45441.0</v>
      </c>
      <c r="I66" s="84"/>
      <c r="J66" s="17"/>
      <c r="K66" s="133"/>
      <c r="L66" s="315" t="s">
        <v>2504</v>
      </c>
      <c r="M66" s="90">
        <v>4083.16</v>
      </c>
      <c r="N66" s="320">
        <v>0.7152777777777778</v>
      </c>
      <c r="O66" s="30"/>
      <c r="P66" s="29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7.75" customHeight="1">
      <c r="A67" s="29"/>
      <c r="B67" s="29"/>
      <c r="C67" s="29"/>
      <c r="D67" s="29"/>
      <c r="E67" s="29"/>
      <c r="F67" s="30"/>
      <c r="G67" s="122">
        <v>61.0</v>
      </c>
      <c r="H67" s="153">
        <v>45441.0</v>
      </c>
      <c r="I67" s="84"/>
      <c r="J67" s="17"/>
      <c r="K67" s="133"/>
      <c r="L67" s="315" t="s">
        <v>2504</v>
      </c>
      <c r="M67" s="90">
        <v>2525.0</v>
      </c>
      <c r="N67" s="316" t="s">
        <v>2767</v>
      </c>
      <c r="O67" s="30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7.75" customHeight="1">
      <c r="A68" s="29"/>
      <c r="B68" s="29"/>
      <c r="C68" s="29"/>
      <c r="D68" s="29"/>
      <c r="E68" s="29"/>
      <c r="F68" s="30"/>
      <c r="G68" s="122">
        <v>62.0</v>
      </c>
      <c r="H68" s="153">
        <v>45442.0</v>
      </c>
      <c r="I68" s="84"/>
      <c r="J68" s="17"/>
      <c r="K68" s="133"/>
      <c r="L68" s="315" t="s">
        <v>2504</v>
      </c>
      <c r="M68" s="90">
        <v>3272.64</v>
      </c>
      <c r="N68" s="316" t="s">
        <v>320</v>
      </c>
      <c r="O68" s="30"/>
      <c r="P68" s="29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7.75" customHeight="1">
      <c r="A69" s="29"/>
      <c r="B69" s="29"/>
      <c r="C69" s="29"/>
      <c r="D69" s="29"/>
      <c r="E69" s="29"/>
      <c r="F69" s="30"/>
      <c r="G69" s="122">
        <v>63.0</v>
      </c>
      <c r="H69" s="153">
        <v>45442.0</v>
      </c>
      <c r="I69" s="84"/>
      <c r="J69" s="17"/>
      <c r="K69" s="133"/>
      <c r="L69" s="315" t="s">
        <v>2504</v>
      </c>
      <c r="M69" s="90">
        <v>505.0</v>
      </c>
      <c r="N69" s="316" t="s">
        <v>2354</v>
      </c>
      <c r="O69" s="30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7.75" customHeight="1">
      <c r="A70" s="29"/>
      <c r="B70" s="29"/>
      <c r="C70" s="29"/>
      <c r="D70" s="29"/>
      <c r="E70" s="29"/>
      <c r="F70" s="30"/>
      <c r="G70" s="122">
        <v>64.0</v>
      </c>
      <c r="H70" s="153">
        <v>45442.0</v>
      </c>
      <c r="I70" s="84"/>
      <c r="J70" s="17"/>
      <c r="K70" s="133"/>
      <c r="L70" s="315" t="s">
        <v>2504</v>
      </c>
      <c r="M70" s="90">
        <v>2020.0</v>
      </c>
      <c r="N70" s="316" t="s">
        <v>2768</v>
      </c>
      <c r="O70" s="30"/>
      <c r="P70" s="29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7.75" customHeight="1">
      <c r="A71" s="29"/>
      <c r="B71" s="29"/>
      <c r="C71" s="29"/>
      <c r="D71" s="29"/>
      <c r="E71" s="29"/>
      <c r="F71" s="30"/>
      <c r="G71" s="122">
        <v>65.0</v>
      </c>
      <c r="H71" s="153">
        <v>45442.0</v>
      </c>
      <c r="I71" s="84"/>
      <c r="J71" s="17"/>
      <c r="K71" s="133"/>
      <c r="L71" s="315" t="s">
        <v>2504</v>
      </c>
      <c r="M71" s="90">
        <v>1515.0</v>
      </c>
      <c r="N71" s="316" t="s">
        <v>2769</v>
      </c>
      <c r="O71" s="30"/>
      <c r="P71" s="29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27.75" customHeight="1">
      <c r="A72" s="29"/>
      <c r="B72" s="29"/>
      <c r="C72" s="29"/>
      <c r="D72" s="29"/>
      <c r="E72" s="29"/>
      <c r="F72" s="30"/>
      <c r="G72" s="122">
        <v>66.0</v>
      </c>
      <c r="H72" s="153">
        <v>45442.0</v>
      </c>
      <c r="I72" s="84" t="s">
        <v>2736</v>
      </c>
      <c r="J72" s="69">
        <v>30000.0</v>
      </c>
      <c r="K72" s="314" t="s">
        <v>812</v>
      </c>
      <c r="L72" s="135"/>
      <c r="M72" s="19"/>
      <c r="N72" s="131"/>
      <c r="O72" s="30"/>
      <c r="P72" s="29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27.75" customHeight="1">
      <c r="A73" s="29"/>
      <c r="B73" s="29"/>
      <c r="C73" s="29"/>
      <c r="D73" s="29"/>
      <c r="E73" s="29"/>
      <c r="F73" s="30"/>
      <c r="G73" s="122">
        <v>67.0</v>
      </c>
      <c r="H73" s="153">
        <v>45442.0</v>
      </c>
      <c r="I73" s="84"/>
      <c r="J73" s="17"/>
      <c r="K73" s="133"/>
      <c r="L73" s="315" t="s">
        <v>2504</v>
      </c>
      <c r="M73" s="90">
        <v>2492.02</v>
      </c>
      <c r="N73" s="320">
        <v>0.7395833333333334</v>
      </c>
      <c r="O73" s="30"/>
      <c r="P73" s="29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27.75" customHeight="1">
      <c r="A74" s="29"/>
      <c r="B74" s="29"/>
      <c r="C74" s="29"/>
      <c r="D74" s="29"/>
      <c r="E74" s="29"/>
      <c r="F74" s="30"/>
      <c r="G74" s="122">
        <v>68.0</v>
      </c>
      <c r="H74" s="153">
        <v>45442.0</v>
      </c>
      <c r="I74" s="84"/>
      <c r="J74" s="17"/>
      <c r="K74" s="133"/>
      <c r="L74" s="315" t="s">
        <v>2504</v>
      </c>
      <c r="M74" s="90">
        <v>2020.0</v>
      </c>
      <c r="N74" s="320">
        <v>0.8479166666666667</v>
      </c>
      <c r="O74" s="30"/>
      <c r="P74" s="29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7.75" customHeight="1">
      <c r="A75" s="29"/>
      <c r="B75" s="29"/>
      <c r="C75" s="29"/>
      <c r="D75" s="29"/>
      <c r="E75" s="29"/>
      <c r="F75" s="30"/>
      <c r="G75" s="122">
        <v>69.0</v>
      </c>
      <c r="H75" s="153">
        <v>45442.0</v>
      </c>
      <c r="I75" s="84"/>
      <c r="J75" s="17"/>
      <c r="K75" s="133"/>
      <c r="L75" s="315" t="s">
        <v>2504</v>
      </c>
      <c r="M75" s="90">
        <v>3030.0</v>
      </c>
      <c r="N75" s="320">
        <v>0.8979166666666667</v>
      </c>
      <c r="O75" s="30"/>
      <c r="P75" s="29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7.75" customHeight="1">
      <c r="A76" s="29"/>
      <c r="B76" s="29"/>
      <c r="C76" s="29"/>
      <c r="D76" s="29"/>
      <c r="E76" s="29"/>
      <c r="F76" s="30"/>
      <c r="G76" s="122">
        <v>70.0</v>
      </c>
      <c r="H76" s="153">
        <v>45443.0</v>
      </c>
      <c r="I76" s="84"/>
      <c r="J76" s="17"/>
      <c r="K76" s="133"/>
      <c r="L76" s="315" t="s">
        <v>2504</v>
      </c>
      <c r="M76" s="90">
        <v>505.0</v>
      </c>
      <c r="N76" s="320">
        <v>0.43680555555555556</v>
      </c>
      <c r="O76" s="30"/>
      <c r="P76" s="29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7.75" customHeight="1">
      <c r="A77" s="29"/>
      <c r="B77" s="29"/>
      <c r="C77" s="29"/>
      <c r="D77" s="29"/>
      <c r="E77" s="29"/>
      <c r="F77" s="30"/>
      <c r="G77" s="122">
        <v>71.0</v>
      </c>
      <c r="H77" s="153">
        <v>45443.0</v>
      </c>
      <c r="I77" s="84"/>
      <c r="J77" s="17"/>
      <c r="K77" s="314" t="s">
        <v>2250</v>
      </c>
      <c r="L77" s="315" t="s">
        <v>2504</v>
      </c>
      <c r="M77" s="90">
        <v>10000.0</v>
      </c>
      <c r="N77" s="320">
        <v>0.44513888888888886</v>
      </c>
      <c r="O77" s="30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7.75" customHeight="1">
      <c r="A78" s="29"/>
      <c r="B78" s="29"/>
      <c r="C78" s="29"/>
      <c r="D78" s="29"/>
      <c r="E78" s="29"/>
      <c r="F78" s="30"/>
      <c r="G78" s="122">
        <v>72.0</v>
      </c>
      <c r="H78" s="130"/>
      <c r="I78" s="84"/>
      <c r="J78" s="17"/>
      <c r="K78" s="133"/>
      <c r="L78" s="135"/>
      <c r="M78" s="19"/>
      <c r="N78" s="131"/>
      <c r="O78" s="30"/>
      <c r="P78" s="29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7.75" customHeight="1">
      <c r="A79" s="29"/>
      <c r="B79" s="29"/>
      <c r="C79" s="29"/>
      <c r="D79" s="29"/>
      <c r="E79" s="29"/>
      <c r="F79" s="30"/>
      <c r="G79" s="122">
        <v>73.0</v>
      </c>
      <c r="H79" s="130"/>
      <c r="I79" s="84"/>
      <c r="J79" s="17"/>
      <c r="K79" s="133"/>
      <c r="L79" s="135"/>
      <c r="M79" s="19"/>
      <c r="N79" s="131"/>
      <c r="O79" s="30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7.75" customHeight="1">
      <c r="A80" s="29"/>
      <c r="B80" s="29"/>
      <c r="C80" s="29"/>
      <c r="D80" s="29"/>
      <c r="E80" s="29"/>
      <c r="F80" s="30"/>
      <c r="G80" s="122">
        <v>74.0</v>
      </c>
      <c r="H80" s="130"/>
      <c r="I80" s="84"/>
      <c r="J80" s="17"/>
      <c r="K80" s="133"/>
      <c r="L80" s="135"/>
      <c r="M80" s="19"/>
      <c r="N80" s="131"/>
      <c r="O80" s="30"/>
      <c r="P80" s="29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7.75" customHeight="1">
      <c r="A81" s="29"/>
      <c r="B81" s="29"/>
      <c r="C81" s="29"/>
      <c r="D81" s="29"/>
      <c r="E81" s="29"/>
      <c r="F81" s="30"/>
      <c r="G81" s="122">
        <v>75.0</v>
      </c>
      <c r="H81" s="130"/>
      <c r="I81" s="84"/>
      <c r="J81" s="17"/>
      <c r="K81" s="133"/>
      <c r="L81" s="135"/>
      <c r="M81" s="19"/>
      <c r="N81" s="131"/>
      <c r="O81" s="30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7.75" customHeight="1">
      <c r="A82" s="29"/>
      <c r="B82" s="29"/>
      <c r="C82" s="29"/>
      <c r="D82" s="29"/>
      <c r="E82" s="29"/>
      <c r="F82" s="30"/>
      <c r="G82" s="122">
        <v>76.0</v>
      </c>
      <c r="H82" s="130"/>
      <c r="I82" s="84"/>
      <c r="J82" s="17"/>
      <c r="K82" s="133"/>
      <c r="L82" s="135"/>
      <c r="M82" s="19"/>
      <c r="N82" s="131"/>
      <c r="O82" s="30"/>
      <c r="P82" s="29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7.75" customHeight="1">
      <c r="A83" s="29"/>
      <c r="B83" s="29"/>
      <c r="C83" s="29"/>
      <c r="D83" s="29"/>
      <c r="E83" s="29"/>
      <c r="F83" s="30"/>
      <c r="G83" s="122">
        <v>77.0</v>
      </c>
      <c r="H83" s="130"/>
      <c r="I83" s="84"/>
      <c r="J83" s="17"/>
      <c r="K83" s="133"/>
      <c r="L83" s="135"/>
      <c r="M83" s="19"/>
      <c r="N83" s="131"/>
      <c r="O83" s="30"/>
      <c r="P83" s="29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27.75" customHeight="1">
      <c r="A84" s="29"/>
      <c r="B84" s="29"/>
      <c r="C84" s="29"/>
      <c r="D84" s="29"/>
      <c r="E84" s="29"/>
      <c r="F84" s="30"/>
      <c r="G84" s="122">
        <v>78.0</v>
      </c>
      <c r="H84" s="130"/>
      <c r="I84" s="84"/>
      <c r="J84" s="17"/>
      <c r="K84" s="133"/>
      <c r="L84" s="135"/>
      <c r="M84" s="19"/>
      <c r="N84" s="131"/>
      <c r="O84" s="30"/>
      <c r="P84" s="29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7.75" customHeight="1">
      <c r="A85" s="29"/>
      <c r="B85" s="29"/>
      <c r="C85" s="29"/>
      <c r="D85" s="29"/>
      <c r="E85" s="29"/>
      <c r="F85" s="30"/>
      <c r="G85" s="122">
        <v>79.0</v>
      </c>
      <c r="H85" s="130"/>
      <c r="I85" s="84"/>
      <c r="J85" s="17"/>
      <c r="K85" s="133"/>
      <c r="L85" s="135"/>
      <c r="M85" s="19"/>
      <c r="N85" s="131"/>
      <c r="O85" s="30"/>
      <c r="P85" s="29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27.75" customHeight="1">
      <c r="A86" s="29"/>
      <c r="B86" s="29"/>
      <c r="C86" s="29"/>
      <c r="D86" s="29"/>
      <c r="E86" s="29"/>
      <c r="F86" s="30"/>
      <c r="G86" s="122">
        <v>80.0</v>
      </c>
      <c r="H86" s="130"/>
      <c r="I86" s="84"/>
      <c r="J86" s="17"/>
      <c r="K86" s="133"/>
      <c r="L86" s="135"/>
      <c r="M86" s="19"/>
      <c r="N86" s="131"/>
      <c r="O86" s="30"/>
      <c r="P86" s="29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7.75" customHeight="1">
      <c r="A87" s="29"/>
      <c r="B87" s="29"/>
      <c r="C87" s="29"/>
      <c r="D87" s="29"/>
      <c r="E87" s="29"/>
      <c r="F87" s="30"/>
      <c r="G87" s="122">
        <v>81.0</v>
      </c>
      <c r="H87" s="130"/>
      <c r="I87" s="84"/>
      <c r="J87" s="17"/>
      <c r="K87" s="133"/>
      <c r="L87" s="135"/>
      <c r="M87" s="19"/>
      <c r="N87" s="131"/>
      <c r="O87" s="30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7.75" customHeight="1">
      <c r="A88" s="29"/>
      <c r="B88" s="29"/>
      <c r="C88" s="29"/>
      <c r="D88" s="29"/>
      <c r="E88" s="29"/>
      <c r="F88" s="30"/>
      <c r="G88" s="122">
        <v>82.0</v>
      </c>
      <c r="H88" s="130"/>
      <c r="I88" s="84"/>
      <c r="J88" s="17"/>
      <c r="K88" s="133"/>
      <c r="L88" s="135"/>
      <c r="M88" s="19"/>
      <c r="N88" s="131"/>
      <c r="O88" s="30"/>
      <c r="P88" s="29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27.75" customHeight="1">
      <c r="A89" s="29"/>
      <c r="B89" s="29"/>
      <c r="C89" s="29"/>
      <c r="D89" s="29"/>
      <c r="E89" s="29"/>
      <c r="F89" s="30"/>
      <c r="G89" s="122">
        <v>83.0</v>
      </c>
      <c r="H89" s="130"/>
      <c r="I89" s="84"/>
      <c r="J89" s="17"/>
      <c r="K89" s="133"/>
      <c r="L89" s="135"/>
      <c r="M89" s="19"/>
      <c r="N89" s="131"/>
      <c r="O89" s="30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75" customHeight="1">
      <c r="A90" s="29"/>
      <c r="B90" s="29"/>
      <c r="C90" s="29"/>
      <c r="D90" s="29"/>
      <c r="E90" s="29"/>
      <c r="F90" s="30"/>
      <c r="G90" s="122">
        <v>84.0</v>
      </c>
      <c r="H90" s="130"/>
      <c r="I90" s="84"/>
      <c r="J90" s="17"/>
      <c r="K90" s="133"/>
      <c r="L90" s="135"/>
      <c r="M90" s="19"/>
      <c r="N90" s="131"/>
      <c r="O90" s="30"/>
      <c r="P90" s="29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27.75" customHeight="1">
      <c r="A91" s="29"/>
      <c r="B91" s="29"/>
      <c r="C91" s="29"/>
      <c r="D91" s="29"/>
      <c r="E91" s="29"/>
      <c r="F91" s="30"/>
      <c r="G91" s="122">
        <v>85.0</v>
      </c>
      <c r="H91" s="130"/>
      <c r="I91" s="84"/>
      <c r="J91" s="17"/>
      <c r="K91" s="133"/>
      <c r="L91" s="135"/>
      <c r="M91" s="19"/>
      <c r="N91" s="131"/>
      <c r="O91" s="30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7.75" customHeight="1">
      <c r="A92" s="29"/>
      <c r="B92" s="29"/>
      <c r="C92" s="29"/>
      <c r="D92" s="29"/>
      <c r="E92" s="29"/>
      <c r="F92" s="30"/>
      <c r="G92" s="122">
        <v>86.0</v>
      </c>
      <c r="H92" s="130"/>
      <c r="I92" s="84"/>
      <c r="J92" s="17"/>
      <c r="K92" s="133"/>
      <c r="L92" s="135"/>
      <c r="M92" s="19"/>
      <c r="N92" s="131"/>
      <c r="O92" s="30"/>
      <c r="P92" s="29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7.75" customHeight="1">
      <c r="A93" s="29"/>
      <c r="B93" s="29"/>
      <c r="C93" s="29"/>
      <c r="D93" s="29"/>
      <c r="E93" s="29"/>
      <c r="F93" s="30"/>
      <c r="G93" s="122">
        <v>87.0</v>
      </c>
      <c r="H93" s="130"/>
      <c r="I93" s="84"/>
      <c r="J93" s="17"/>
      <c r="K93" s="133"/>
      <c r="L93" s="135"/>
      <c r="M93" s="19"/>
      <c r="N93" s="131"/>
      <c r="O93" s="30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7.75" customHeight="1">
      <c r="A94" s="29"/>
      <c r="B94" s="29"/>
      <c r="C94" s="29"/>
      <c r="D94" s="29"/>
      <c r="E94" s="29"/>
      <c r="F94" s="30"/>
      <c r="G94" s="122">
        <v>88.0</v>
      </c>
      <c r="H94" s="130"/>
      <c r="I94" s="84"/>
      <c r="J94" s="17"/>
      <c r="K94" s="133"/>
      <c r="L94" s="135"/>
      <c r="M94" s="19"/>
      <c r="N94" s="131"/>
      <c r="O94" s="30"/>
      <c r="P94" s="29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7.75" customHeight="1">
      <c r="A95" s="29"/>
      <c r="B95" s="29"/>
      <c r="C95" s="29"/>
      <c r="D95" s="29"/>
      <c r="E95" s="29"/>
      <c r="F95" s="30"/>
      <c r="G95" s="122">
        <v>89.0</v>
      </c>
      <c r="H95" s="130"/>
      <c r="I95" s="84"/>
      <c r="J95" s="17"/>
      <c r="K95" s="133"/>
      <c r="L95" s="135"/>
      <c r="M95" s="19"/>
      <c r="N95" s="131"/>
      <c r="O95" s="30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7.75" customHeight="1">
      <c r="A96" s="29"/>
      <c r="B96" s="29"/>
      <c r="C96" s="29"/>
      <c r="D96" s="29"/>
      <c r="E96" s="29"/>
      <c r="F96" s="30"/>
      <c r="G96" s="122">
        <v>90.0</v>
      </c>
      <c r="H96" s="130"/>
      <c r="I96" s="84"/>
      <c r="J96" s="17"/>
      <c r="K96" s="133"/>
      <c r="L96" s="135"/>
      <c r="M96" s="19"/>
      <c r="N96" s="131"/>
      <c r="O96" s="30"/>
      <c r="P96" s="29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7.75" customHeight="1">
      <c r="A97" s="29"/>
      <c r="B97" s="29"/>
      <c r="C97" s="29"/>
      <c r="D97" s="29"/>
      <c r="E97" s="29"/>
      <c r="F97" s="30"/>
      <c r="G97" s="122">
        <v>91.0</v>
      </c>
      <c r="H97" s="130"/>
      <c r="I97" s="84"/>
      <c r="J97" s="17"/>
      <c r="K97" s="133"/>
      <c r="L97" s="135"/>
      <c r="M97" s="19"/>
      <c r="N97" s="131"/>
      <c r="O97" s="30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7.75" customHeight="1">
      <c r="A98" s="29"/>
      <c r="B98" s="29"/>
      <c r="C98" s="29"/>
      <c r="D98" s="29"/>
      <c r="E98" s="29"/>
      <c r="F98" s="30"/>
      <c r="G98" s="122">
        <v>92.0</v>
      </c>
      <c r="H98" s="130"/>
      <c r="I98" s="84"/>
      <c r="J98" s="17"/>
      <c r="K98" s="133"/>
      <c r="L98" s="135"/>
      <c r="M98" s="19"/>
      <c r="N98" s="131"/>
      <c r="O98" s="30"/>
      <c r="P98" s="29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7.75" customHeight="1">
      <c r="A99" s="29"/>
      <c r="B99" s="29"/>
      <c r="C99" s="29"/>
      <c r="D99" s="29"/>
      <c r="E99" s="29"/>
      <c r="F99" s="30"/>
      <c r="G99" s="122">
        <v>93.0</v>
      </c>
      <c r="H99" s="130"/>
      <c r="I99" s="84"/>
      <c r="J99" s="17"/>
      <c r="K99" s="133"/>
      <c r="L99" s="135"/>
      <c r="M99" s="19"/>
      <c r="N99" s="131"/>
      <c r="O99" s="30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7.75" customHeight="1">
      <c r="A100" s="29"/>
      <c r="B100" s="29"/>
      <c r="C100" s="29"/>
      <c r="D100" s="29"/>
      <c r="E100" s="29"/>
      <c r="F100" s="30"/>
      <c r="G100" s="122">
        <v>94.0</v>
      </c>
      <c r="H100" s="130"/>
      <c r="I100" s="84"/>
      <c r="J100" s="17"/>
      <c r="K100" s="133"/>
      <c r="L100" s="135"/>
      <c r="M100" s="19"/>
      <c r="N100" s="131"/>
      <c r="O100" s="30"/>
      <c r="P100" s="29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7.75" customHeight="1">
      <c r="A101" s="29"/>
      <c r="B101" s="29"/>
      <c r="C101" s="29"/>
      <c r="D101" s="29"/>
      <c r="E101" s="29"/>
      <c r="F101" s="30"/>
      <c r="G101" s="122">
        <v>95.0</v>
      </c>
      <c r="H101" s="130"/>
      <c r="I101" s="84"/>
      <c r="J101" s="17"/>
      <c r="K101" s="133"/>
      <c r="L101" s="135"/>
      <c r="M101" s="19"/>
      <c r="N101" s="131"/>
      <c r="O101" s="30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7.75" customHeight="1">
      <c r="A102" s="29"/>
      <c r="B102" s="29"/>
      <c r="C102" s="29"/>
      <c r="D102" s="29"/>
      <c r="E102" s="29"/>
      <c r="F102" s="30"/>
      <c r="G102" s="122">
        <v>96.0</v>
      </c>
      <c r="H102" s="130"/>
      <c r="I102" s="84"/>
      <c r="J102" s="17"/>
      <c r="K102" s="133"/>
      <c r="L102" s="135"/>
      <c r="M102" s="19"/>
      <c r="N102" s="131"/>
      <c r="O102" s="30"/>
      <c r="P102" s="29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7.75" customHeight="1">
      <c r="A103" s="29"/>
      <c r="B103" s="29"/>
      <c r="C103" s="29"/>
      <c r="D103" s="29"/>
      <c r="E103" s="29"/>
      <c r="F103" s="30"/>
      <c r="G103" s="122">
        <v>97.0</v>
      </c>
      <c r="H103" s="130"/>
      <c r="I103" s="84"/>
      <c r="J103" s="17"/>
      <c r="K103" s="133"/>
      <c r="L103" s="135"/>
      <c r="M103" s="19"/>
      <c r="N103" s="131"/>
      <c r="O103" s="30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7.75" customHeight="1">
      <c r="A104" s="29"/>
      <c r="B104" s="29"/>
      <c r="C104" s="29"/>
      <c r="D104" s="29"/>
      <c r="E104" s="29"/>
      <c r="F104" s="30"/>
      <c r="G104" s="122">
        <v>98.0</v>
      </c>
      <c r="H104" s="130"/>
      <c r="I104" s="84"/>
      <c r="J104" s="17"/>
      <c r="K104" s="133"/>
      <c r="L104" s="135"/>
      <c r="M104" s="19"/>
      <c r="N104" s="131"/>
      <c r="O104" s="30"/>
      <c r="P104" s="29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7.75" customHeight="1">
      <c r="A105" s="29"/>
      <c r="B105" s="29"/>
      <c r="C105" s="29"/>
      <c r="D105" s="29"/>
      <c r="E105" s="29"/>
      <c r="F105" s="30"/>
      <c r="G105" s="122">
        <v>99.0</v>
      </c>
      <c r="H105" s="130"/>
      <c r="I105" s="84"/>
      <c r="J105" s="17"/>
      <c r="K105" s="133"/>
      <c r="L105" s="135"/>
      <c r="M105" s="19"/>
      <c r="N105" s="131"/>
      <c r="O105" s="30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7.75" customHeight="1">
      <c r="A106" s="29"/>
      <c r="B106" s="29"/>
      <c r="C106" s="29"/>
      <c r="D106" s="29"/>
      <c r="E106" s="29"/>
      <c r="F106" s="30"/>
      <c r="G106" s="122">
        <v>100.0</v>
      </c>
      <c r="H106" s="130"/>
      <c r="I106" s="84"/>
      <c r="J106" s="17"/>
      <c r="K106" s="133"/>
      <c r="L106" s="135"/>
      <c r="M106" s="19"/>
      <c r="N106" s="131"/>
      <c r="O106" s="30"/>
      <c r="P106" s="29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7.75" customHeight="1">
      <c r="A107" s="29"/>
      <c r="B107" s="29"/>
      <c r="C107" s="29"/>
      <c r="D107" s="29"/>
      <c r="E107" s="29"/>
      <c r="F107" s="30"/>
      <c r="G107" s="66"/>
      <c r="H107" s="130"/>
      <c r="I107" s="84"/>
      <c r="J107" s="17"/>
      <c r="K107" s="133"/>
      <c r="L107" s="135"/>
      <c r="M107" s="19"/>
      <c r="N107" s="131"/>
      <c r="O107" s="30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7.75" customHeight="1">
      <c r="A108" s="29"/>
      <c r="B108" s="29"/>
      <c r="C108" s="29"/>
      <c r="D108" s="29"/>
      <c r="E108" s="29"/>
      <c r="F108" s="30"/>
      <c r="G108" s="66"/>
      <c r="H108" s="130"/>
      <c r="I108" s="84"/>
      <c r="J108" s="17"/>
      <c r="K108" s="133"/>
      <c r="L108" s="135"/>
      <c r="M108" s="19"/>
      <c r="N108" s="131"/>
      <c r="O108" s="30"/>
      <c r="P108" s="29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7.75" customHeight="1">
      <c r="A109" s="29"/>
      <c r="B109" s="29"/>
      <c r="C109" s="29"/>
      <c r="D109" s="29"/>
      <c r="E109" s="29"/>
      <c r="F109" s="30"/>
      <c r="G109" s="66"/>
      <c r="H109" s="130"/>
      <c r="I109" s="84"/>
      <c r="J109" s="17"/>
      <c r="K109" s="133"/>
      <c r="L109" s="135"/>
      <c r="M109" s="19"/>
      <c r="N109" s="131"/>
      <c r="O109" s="30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7.75" customHeight="1">
      <c r="A110" s="29"/>
      <c r="B110" s="29"/>
      <c r="C110" s="29"/>
      <c r="D110" s="29"/>
      <c r="E110" s="29"/>
      <c r="F110" s="30"/>
      <c r="G110" s="66"/>
      <c r="H110" s="130"/>
      <c r="I110" s="84"/>
      <c r="J110" s="17"/>
      <c r="K110" s="133"/>
      <c r="L110" s="135"/>
      <c r="M110" s="19"/>
      <c r="N110" s="131"/>
      <c r="O110" s="30"/>
      <c r="P110" s="29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7.75" customHeight="1">
      <c r="A111" s="29"/>
      <c r="B111" s="29"/>
      <c r="C111" s="29"/>
      <c r="D111" s="29"/>
      <c r="E111" s="29"/>
      <c r="F111" s="30"/>
      <c r="G111" s="66"/>
      <c r="H111" s="130"/>
      <c r="I111" s="84"/>
      <c r="J111" s="17"/>
      <c r="K111" s="133"/>
      <c r="L111" s="135"/>
      <c r="M111" s="19"/>
      <c r="N111" s="131"/>
      <c r="O111" s="30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7.75" customHeight="1">
      <c r="A112" s="29"/>
      <c r="B112" s="29"/>
      <c r="C112" s="29"/>
      <c r="D112" s="29"/>
      <c r="E112" s="29"/>
      <c r="F112" s="30"/>
      <c r="G112" s="66"/>
      <c r="H112" s="130"/>
      <c r="I112" s="84"/>
      <c r="J112" s="17"/>
      <c r="K112" s="133"/>
      <c r="L112" s="135"/>
      <c r="M112" s="19"/>
      <c r="N112" s="131"/>
      <c r="O112" s="30"/>
      <c r="P112" s="29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7.75" customHeight="1">
      <c r="A113" s="29"/>
      <c r="B113" s="29"/>
      <c r="C113" s="29"/>
      <c r="D113" s="29"/>
      <c r="E113" s="29"/>
      <c r="F113" s="30"/>
      <c r="G113" s="66"/>
      <c r="H113" s="130"/>
      <c r="I113" s="84"/>
      <c r="J113" s="17"/>
      <c r="K113" s="133"/>
      <c r="L113" s="135"/>
      <c r="M113" s="19"/>
      <c r="N113" s="131"/>
      <c r="O113" s="30"/>
      <c r="P113" s="29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27.75" customHeight="1">
      <c r="A114" s="29"/>
      <c r="B114" s="29"/>
      <c r="C114" s="29"/>
      <c r="D114" s="29"/>
      <c r="E114" s="29"/>
      <c r="F114" s="30"/>
      <c r="G114" s="66"/>
      <c r="H114" s="130"/>
      <c r="I114" s="84"/>
      <c r="J114" s="17"/>
      <c r="K114" s="133"/>
      <c r="L114" s="135"/>
      <c r="M114" s="19"/>
      <c r="N114" s="131"/>
      <c r="O114" s="30"/>
      <c r="P114" s="29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7.75" customHeight="1">
      <c r="A115" s="29"/>
      <c r="B115" s="29"/>
      <c r="C115" s="29"/>
      <c r="D115" s="29"/>
      <c r="E115" s="29"/>
      <c r="F115" s="30"/>
      <c r="G115" s="66"/>
      <c r="H115" s="130"/>
      <c r="I115" s="84"/>
      <c r="J115" s="17"/>
      <c r="K115" s="133"/>
      <c r="L115" s="135"/>
      <c r="M115" s="19"/>
      <c r="N115" s="131"/>
      <c r="O115" s="30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7.75" customHeight="1">
      <c r="A116" s="29"/>
      <c r="B116" s="29"/>
      <c r="C116" s="29"/>
      <c r="D116" s="29"/>
      <c r="E116" s="29"/>
      <c r="F116" s="30"/>
      <c r="G116" s="66"/>
      <c r="H116" s="130"/>
      <c r="I116" s="84"/>
      <c r="J116" s="17"/>
      <c r="K116" s="133"/>
      <c r="L116" s="135"/>
      <c r="M116" s="19"/>
      <c r="N116" s="131"/>
      <c r="O116" s="30"/>
      <c r="P116" s="29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7.75" customHeight="1">
      <c r="A117" s="29"/>
      <c r="B117" s="29"/>
      <c r="C117" s="29"/>
      <c r="D117" s="29"/>
      <c r="E117" s="29"/>
      <c r="F117" s="30"/>
      <c r="G117" s="66"/>
      <c r="H117" s="130"/>
      <c r="I117" s="84"/>
      <c r="J117" s="17"/>
      <c r="K117" s="133"/>
      <c r="L117" s="135"/>
      <c r="M117" s="19"/>
      <c r="N117" s="131"/>
      <c r="O117" s="30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75" customHeight="1">
      <c r="A118" s="29"/>
      <c r="B118" s="29"/>
      <c r="C118" s="29"/>
      <c r="D118" s="29"/>
      <c r="E118" s="29"/>
      <c r="F118" s="30"/>
      <c r="G118" s="66"/>
      <c r="H118" s="130"/>
      <c r="I118" s="84"/>
      <c r="J118" s="17"/>
      <c r="K118" s="133"/>
      <c r="L118" s="135"/>
      <c r="M118" s="19"/>
      <c r="N118" s="131"/>
      <c r="O118" s="30"/>
      <c r="P118" s="29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7.75" customHeight="1">
      <c r="A119" s="29"/>
      <c r="B119" s="29"/>
      <c r="C119" s="29"/>
      <c r="D119" s="29"/>
      <c r="E119" s="29"/>
      <c r="F119" s="30"/>
      <c r="G119" s="66"/>
      <c r="H119" s="130"/>
      <c r="I119" s="84"/>
      <c r="J119" s="17"/>
      <c r="K119" s="133"/>
      <c r="L119" s="135"/>
      <c r="M119" s="19"/>
      <c r="N119" s="131"/>
      <c r="O119" s="30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7.75" customHeight="1">
      <c r="A120" s="29"/>
      <c r="B120" s="29"/>
      <c r="C120" s="29"/>
      <c r="D120" s="29"/>
      <c r="E120" s="29"/>
      <c r="F120" s="30"/>
      <c r="G120" s="66"/>
      <c r="H120" s="130"/>
      <c r="I120" s="84"/>
      <c r="J120" s="17"/>
      <c r="K120" s="133"/>
      <c r="L120" s="135"/>
      <c r="M120" s="19"/>
      <c r="N120" s="131"/>
      <c r="O120" s="30"/>
      <c r="P120" s="29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7.75" customHeight="1">
      <c r="A121" s="29"/>
      <c r="B121" s="29"/>
      <c r="C121" s="29"/>
      <c r="D121" s="29"/>
      <c r="E121" s="29"/>
      <c r="F121" s="30"/>
      <c r="G121" s="66"/>
      <c r="H121" s="130"/>
      <c r="I121" s="84"/>
      <c r="J121" s="17"/>
      <c r="K121" s="133"/>
      <c r="L121" s="135"/>
      <c r="M121" s="19"/>
      <c r="N121" s="131"/>
      <c r="O121" s="30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7.75" customHeight="1">
      <c r="A122" s="29"/>
      <c r="B122" s="29"/>
      <c r="C122" s="29"/>
      <c r="D122" s="29"/>
      <c r="E122" s="29"/>
      <c r="F122" s="30"/>
      <c r="G122" s="66"/>
      <c r="H122" s="130"/>
      <c r="I122" s="84"/>
      <c r="J122" s="17"/>
      <c r="K122" s="133"/>
      <c r="L122" s="135"/>
      <c r="M122" s="19"/>
      <c r="N122" s="131"/>
      <c r="O122" s="30"/>
      <c r="P122" s="29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7.75" customHeight="1">
      <c r="A123" s="29"/>
      <c r="B123" s="29"/>
      <c r="C123" s="29"/>
      <c r="D123" s="29"/>
      <c r="E123" s="29"/>
      <c r="F123" s="30"/>
      <c r="G123" s="66"/>
      <c r="H123" s="130"/>
      <c r="I123" s="84"/>
      <c r="J123" s="17"/>
      <c r="K123" s="133"/>
      <c r="L123" s="135"/>
      <c r="M123" s="19"/>
      <c r="N123" s="131"/>
      <c r="O123" s="30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7.75" customHeight="1">
      <c r="A124" s="29"/>
      <c r="B124" s="29"/>
      <c r="C124" s="29"/>
      <c r="D124" s="29"/>
      <c r="E124" s="29"/>
      <c r="F124" s="30"/>
      <c r="G124" s="66"/>
      <c r="H124" s="130"/>
      <c r="I124" s="84"/>
      <c r="J124" s="17"/>
      <c r="K124" s="133"/>
      <c r="L124" s="135"/>
      <c r="M124" s="19"/>
      <c r="N124" s="131"/>
      <c r="O124" s="30"/>
      <c r="P124" s="29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75" customHeight="1">
      <c r="A125" s="29"/>
      <c r="B125" s="29"/>
      <c r="C125" s="29"/>
      <c r="D125" s="29"/>
      <c r="E125" s="29"/>
      <c r="F125" s="30"/>
      <c r="G125" s="66"/>
      <c r="H125" s="130"/>
      <c r="I125" s="84"/>
      <c r="J125" s="17"/>
      <c r="K125" s="133"/>
      <c r="L125" s="135"/>
      <c r="M125" s="19"/>
      <c r="N125" s="131"/>
      <c r="O125" s="30"/>
      <c r="P125" s="29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7.75" customHeight="1">
      <c r="A126" s="29"/>
      <c r="B126" s="29"/>
      <c r="C126" s="29"/>
      <c r="D126" s="29"/>
      <c r="E126" s="29"/>
      <c r="F126" s="30"/>
      <c r="G126" s="66"/>
      <c r="H126" s="130"/>
      <c r="I126" s="84"/>
      <c r="J126" s="17"/>
      <c r="K126" s="133"/>
      <c r="L126" s="135"/>
      <c r="M126" s="19"/>
      <c r="N126" s="131"/>
      <c r="O126" s="30"/>
      <c r="P126" s="29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7.75" customHeight="1">
      <c r="A127" s="29"/>
      <c r="B127" s="29"/>
      <c r="C127" s="29"/>
      <c r="D127" s="29"/>
      <c r="E127" s="29"/>
      <c r="F127" s="30"/>
      <c r="G127" s="66"/>
      <c r="H127" s="130"/>
      <c r="I127" s="84"/>
      <c r="J127" s="17"/>
      <c r="K127" s="133"/>
      <c r="L127" s="135"/>
      <c r="M127" s="19"/>
      <c r="N127" s="131"/>
      <c r="O127" s="30"/>
      <c r="P127" s="29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7.75" customHeight="1">
      <c r="A128" s="29"/>
      <c r="B128" s="29"/>
      <c r="C128" s="29"/>
      <c r="D128" s="29"/>
      <c r="E128" s="29"/>
      <c r="F128" s="30"/>
      <c r="G128" s="66"/>
      <c r="H128" s="130"/>
      <c r="I128" s="84"/>
      <c r="J128" s="17"/>
      <c r="K128" s="133"/>
      <c r="L128" s="135"/>
      <c r="M128" s="19"/>
      <c r="N128" s="131"/>
      <c r="O128" s="30"/>
      <c r="P128" s="29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7.75" customHeight="1">
      <c r="A129" s="29"/>
      <c r="B129" s="29"/>
      <c r="C129" s="29"/>
      <c r="D129" s="29"/>
      <c r="E129" s="29"/>
      <c r="F129" s="30"/>
      <c r="G129" s="66"/>
      <c r="H129" s="130"/>
      <c r="I129" s="84"/>
      <c r="J129" s="17"/>
      <c r="K129" s="133"/>
      <c r="L129" s="135"/>
      <c r="M129" s="19"/>
      <c r="N129" s="131"/>
      <c r="O129" s="30"/>
      <c r="P129" s="29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7.75" customHeight="1">
      <c r="A130" s="29"/>
      <c r="B130" s="29"/>
      <c r="C130" s="29"/>
      <c r="D130" s="29"/>
      <c r="E130" s="29"/>
      <c r="F130" s="30"/>
      <c r="G130" s="66"/>
      <c r="H130" s="130"/>
      <c r="I130" s="84"/>
      <c r="J130" s="17"/>
      <c r="K130" s="133"/>
      <c r="L130" s="135"/>
      <c r="M130" s="19"/>
      <c r="N130" s="131"/>
      <c r="O130" s="30"/>
      <c r="P130" s="29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7.75" customHeight="1">
      <c r="A131" s="29"/>
      <c r="B131" s="29"/>
      <c r="C131" s="29"/>
      <c r="D131" s="29"/>
      <c r="E131" s="29"/>
      <c r="F131" s="30"/>
      <c r="G131" s="66"/>
      <c r="H131" s="130"/>
      <c r="I131" s="84"/>
      <c r="J131" s="17"/>
      <c r="K131" s="133"/>
      <c r="L131" s="135"/>
      <c r="M131" s="19"/>
      <c r="N131" s="131"/>
      <c r="O131" s="30"/>
      <c r="P131" s="29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75" customHeight="1">
      <c r="A132" s="29"/>
      <c r="B132" s="29"/>
      <c r="C132" s="29"/>
      <c r="D132" s="29"/>
      <c r="E132" s="29"/>
      <c r="F132" s="30"/>
      <c r="G132" s="66"/>
      <c r="H132" s="130"/>
      <c r="I132" s="84"/>
      <c r="J132" s="17"/>
      <c r="K132" s="133"/>
      <c r="L132" s="135"/>
      <c r="M132" s="19"/>
      <c r="N132" s="131"/>
      <c r="O132" s="30"/>
      <c r="P132" s="29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7.75" customHeight="1">
      <c r="A133" s="29"/>
      <c r="B133" s="29"/>
      <c r="C133" s="29"/>
      <c r="D133" s="29"/>
      <c r="E133" s="29"/>
      <c r="F133" s="30"/>
      <c r="G133" s="66"/>
      <c r="H133" s="130"/>
      <c r="I133" s="84"/>
      <c r="J133" s="17"/>
      <c r="K133" s="133"/>
      <c r="L133" s="135"/>
      <c r="M133" s="19"/>
      <c r="N133" s="131"/>
      <c r="O133" s="30"/>
      <c r="P133" s="29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7.75" customHeight="1">
      <c r="A134" s="29"/>
      <c r="B134" s="29"/>
      <c r="C134" s="29"/>
      <c r="D134" s="29"/>
      <c r="E134" s="29"/>
      <c r="F134" s="30"/>
      <c r="G134" s="66"/>
      <c r="H134" s="130"/>
      <c r="I134" s="84"/>
      <c r="J134" s="17"/>
      <c r="K134" s="133"/>
      <c r="L134" s="135"/>
      <c r="M134" s="19"/>
      <c r="N134" s="131"/>
      <c r="O134" s="30"/>
      <c r="P134" s="29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7.75" customHeight="1">
      <c r="A135" s="29"/>
      <c r="B135" s="29"/>
      <c r="C135" s="29"/>
      <c r="D135" s="29"/>
      <c r="E135" s="29"/>
      <c r="F135" s="30"/>
      <c r="G135" s="66"/>
      <c r="H135" s="130"/>
      <c r="I135" s="84"/>
      <c r="J135" s="17"/>
      <c r="K135" s="133"/>
      <c r="L135" s="135"/>
      <c r="M135" s="19"/>
      <c r="N135" s="131"/>
      <c r="O135" s="30"/>
      <c r="P135" s="29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7.75" customHeight="1">
      <c r="A136" s="29"/>
      <c r="B136" s="29"/>
      <c r="C136" s="29"/>
      <c r="D136" s="29"/>
      <c r="E136" s="29"/>
      <c r="F136" s="30"/>
      <c r="G136" s="66"/>
      <c r="H136" s="130"/>
      <c r="I136" s="84"/>
      <c r="J136" s="17"/>
      <c r="K136" s="133"/>
      <c r="L136" s="135"/>
      <c r="M136" s="19"/>
      <c r="N136" s="131"/>
      <c r="O136" s="30"/>
      <c r="P136" s="29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7.75" customHeight="1">
      <c r="A137" s="29"/>
      <c r="B137" s="29"/>
      <c r="C137" s="29"/>
      <c r="D137" s="29"/>
      <c r="E137" s="29"/>
      <c r="F137" s="30"/>
      <c r="G137" s="66"/>
      <c r="H137" s="130"/>
      <c r="I137" s="84"/>
      <c r="J137" s="17"/>
      <c r="K137" s="133"/>
      <c r="L137" s="135"/>
      <c r="M137" s="19"/>
      <c r="N137" s="131"/>
      <c r="O137" s="30"/>
      <c r="P137" s="29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7.75" customHeight="1">
      <c r="A138" s="29"/>
      <c r="B138" s="29"/>
      <c r="C138" s="29"/>
      <c r="D138" s="29"/>
      <c r="E138" s="29"/>
      <c r="F138" s="30"/>
      <c r="G138" s="66"/>
      <c r="H138" s="130"/>
      <c r="I138" s="84"/>
      <c r="J138" s="17"/>
      <c r="K138" s="133"/>
      <c r="L138" s="135"/>
      <c r="M138" s="19"/>
      <c r="N138" s="131"/>
      <c r="O138" s="30"/>
      <c r="P138" s="29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7.75" customHeight="1">
      <c r="A139" s="29"/>
      <c r="B139" s="29"/>
      <c r="C139" s="29"/>
      <c r="D139" s="29"/>
      <c r="E139" s="29"/>
      <c r="F139" s="30"/>
      <c r="G139" s="66"/>
      <c r="H139" s="130"/>
      <c r="I139" s="84"/>
      <c r="J139" s="17"/>
      <c r="K139" s="133"/>
      <c r="L139" s="135"/>
      <c r="M139" s="19"/>
      <c r="N139" s="131"/>
      <c r="O139" s="30"/>
      <c r="P139" s="29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7.75" customHeight="1">
      <c r="A140" s="29"/>
      <c r="B140" s="29"/>
      <c r="C140" s="29"/>
      <c r="D140" s="29"/>
      <c r="E140" s="29"/>
      <c r="F140" s="30"/>
      <c r="G140" s="66"/>
      <c r="H140" s="130"/>
      <c r="I140" s="84"/>
      <c r="J140" s="17"/>
      <c r="K140" s="133"/>
      <c r="L140" s="135"/>
      <c r="M140" s="19"/>
      <c r="N140" s="131"/>
      <c r="O140" s="30"/>
      <c r="P140" s="29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7.75" customHeight="1">
      <c r="A141" s="29"/>
      <c r="B141" s="29"/>
      <c r="C141" s="29"/>
      <c r="D141" s="29"/>
      <c r="E141" s="29"/>
      <c r="F141" s="30"/>
      <c r="G141" s="66"/>
      <c r="H141" s="130"/>
      <c r="I141" s="84"/>
      <c r="J141" s="17"/>
      <c r="K141" s="133"/>
      <c r="L141" s="135"/>
      <c r="M141" s="19"/>
      <c r="N141" s="131"/>
      <c r="O141" s="30"/>
      <c r="P141" s="29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7.75" customHeight="1">
      <c r="A142" s="29"/>
      <c r="B142" s="29"/>
      <c r="C142" s="29"/>
      <c r="D142" s="29"/>
      <c r="E142" s="29"/>
      <c r="F142" s="30"/>
      <c r="G142" s="66"/>
      <c r="H142" s="130"/>
      <c r="I142" s="84"/>
      <c r="J142" s="17"/>
      <c r="K142" s="133"/>
      <c r="L142" s="135"/>
      <c r="M142" s="19"/>
      <c r="N142" s="131"/>
      <c r="O142" s="30"/>
      <c r="P142" s="29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7.75" customHeight="1">
      <c r="A143" s="29"/>
      <c r="B143" s="29"/>
      <c r="C143" s="29"/>
      <c r="D143" s="29"/>
      <c r="E143" s="29"/>
      <c r="F143" s="30"/>
      <c r="G143" s="66"/>
      <c r="H143" s="130"/>
      <c r="I143" s="84"/>
      <c r="J143" s="17"/>
      <c r="K143" s="133"/>
      <c r="L143" s="135"/>
      <c r="M143" s="19"/>
      <c r="N143" s="131"/>
      <c r="O143" s="30"/>
      <c r="P143" s="29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7.75" customHeight="1">
      <c r="A144" s="29"/>
      <c r="B144" s="29"/>
      <c r="C144" s="29"/>
      <c r="D144" s="29"/>
      <c r="E144" s="29"/>
      <c r="F144" s="30"/>
      <c r="G144" s="66"/>
      <c r="H144" s="130"/>
      <c r="I144" s="84"/>
      <c r="J144" s="17"/>
      <c r="K144" s="133"/>
      <c r="L144" s="135"/>
      <c r="M144" s="19"/>
      <c r="N144" s="131"/>
      <c r="O144" s="30"/>
      <c r="P144" s="29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7.75" customHeight="1">
      <c r="A145" s="29"/>
      <c r="B145" s="29"/>
      <c r="C145" s="29"/>
      <c r="D145" s="29"/>
      <c r="E145" s="29"/>
      <c r="F145" s="30"/>
      <c r="G145" s="66"/>
      <c r="H145" s="130"/>
      <c r="I145" s="84"/>
      <c r="J145" s="17"/>
      <c r="K145" s="133"/>
      <c r="L145" s="135"/>
      <c r="M145" s="19"/>
      <c r="N145" s="131"/>
      <c r="O145" s="30"/>
      <c r="P145" s="29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75" customHeight="1">
      <c r="A146" s="29"/>
      <c r="B146" s="29"/>
      <c r="C146" s="29"/>
      <c r="D146" s="29"/>
      <c r="E146" s="29"/>
      <c r="F146" s="30"/>
      <c r="G146" s="66"/>
      <c r="H146" s="130"/>
      <c r="I146" s="84"/>
      <c r="J146" s="17"/>
      <c r="K146" s="133"/>
      <c r="L146" s="135"/>
      <c r="M146" s="19"/>
      <c r="N146" s="131"/>
      <c r="O146" s="30"/>
      <c r="P146" s="29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7.75" customHeight="1">
      <c r="A147" s="29"/>
      <c r="B147" s="29"/>
      <c r="C147" s="29"/>
      <c r="D147" s="29"/>
      <c r="E147" s="29"/>
      <c r="F147" s="30"/>
      <c r="G147" s="66"/>
      <c r="H147" s="130"/>
      <c r="I147" s="84"/>
      <c r="J147" s="17"/>
      <c r="K147" s="133"/>
      <c r="L147" s="135"/>
      <c r="M147" s="19"/>
      <c r="N147" s="131"/>
      <c r="O147" s="30"/>
      <c r="P147" s="29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7.75" customHeight="1">
      <c r="A148" s="29"/>
      <c r="B148" s="29"/>
      <c r="C148" s="29"/>
      <c r="D148" s="29"/>
      <c r="E148" s="29"/>
      <c r="F148" s="30"/>
      <c r="G148" s="66"/>
      <c r="H148" s="130"/>
      <c r="I148" s="84"/>
      <c r="J148" s="17"/>
      <c r="K148" s="133"/>
      <c r="L148" s="135"/>
      <c r="M148" s="19"/>
      <c r="N148" s="131"/>
      <c r="O148" s="30"/>
      <c r="P148" s="29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7.75" customHeight="1">
      <c r="A149" s="29"/>
      <c r="B149" s="29"/>
      <c r="C149" s="29"/>
      <c r="D149" s="29"/>
      <c r="E149" s="29"/>
      <c r="F149" s="30"/>
      <c r="G149" s="66"/>
      <c r="H149" s="130"/>
      <c r="I149" s="84"/>
      <c r="J149" s="17"/>
      <c r="K149" s="133"/>
      <c r="L149" s="135"/>
      <c r="M149" s="19"/>
      <c r="N149" s="131"/>
      <c r="O149" s="30"/>
      <c r="P149" s="29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7.75" customHeight="1">
      <c r="A150" s="29"/>
      <c r="B150" s="29"/>
      <c r="C150" s="29"/>
      <c r="D150" s="29"/>
      <c r="E150" s="29"/>
      <c r="F150" s="30"/>
      <c r="G150" s="66"/>
      <c r="H150" s="130"/>
      <c r="I150" s="84"/>
      <c r="J150" s="17"/>
      <c r="K150" s="133"/>
      <c r="L150" s="135"/>
      <c r="M150" s="19"/>
      <c r="N150" s="131"/>
      <c r="O150" s="30"/>
      <c r="P150" s="29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7.75" customHeight="1">
      <c r="A151" s="29"/>
      <c r="B151" s="29"/>
      <c r="C151" s="29"/>
      <c r="D151" s="29"/>
      <c r="E151" s="29"/>
      <c r="F151" s="30"/>
      <c r="G151" s="66"/>
      <c r="H151" s="130"/>
      <c r="I151" s="84"/>
      <c r="J151" s="17"/>
      <c r="K151" s="133"/>
      <c r="L151" s="135"/>
      <c r="M151" s="19"/>
      <c r="N151" s="131"/>
      <c r="O151" s="30"/>
      <c r="P151" s="29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7.75" customHeight="1">
      <c r="A152" s="29"/>
      <c r="B152" s="29"/>
      <c r="C152" s="29"/>
      <c r="D152" s="29"/>
      <c r="E152" s="29"/>
      <c r="F152" s="30"/>
      <c r="G152" s="66"/>
      <c r="H152" s="130"/>
      <c r="I152" s="84"/>
      <c r="J152" s="17"/>
      <c r="K152" s="133"/>
      <c r="L152" s="135"/>
      <c r="M152" s="19"/>
      <c r="N152" s="131"/>
      <c r="O152" s="30"/>
      <c r="P152" s="29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75" customHeight="1">
      <c r="A153" s="29"/>
      <c r="B153" s="29"/>
      <c r="C153" s="29"/>
      <c r="D153" s="29"/>
      <c r="E153" s="29"/>
      <c r="F153" s="30"/>
      <c r="G153" s="66"/>
      <c r="H153" s="130"/>
      <c r="I153" s="84"/>
      <c r="J153" s="17"/>
      <c r="K153" s="133"/>
      <c r="L153" s="135"/>
      <c r="M153" s="19"/>
      <c r="N153" s="131"/>
      <c r="O153" s="30"/>
      <c r="P153" s="29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7.75" customHeight="1">
      <c r="A154" s="29"/>
      <c r="B154" s="29"/>
      <c r="C154" s="29"/>
      <c r="D154" s="29"/>
      <c r="E154" s="29"/>
      <c r="F154" s="30"/>
      <c r="G154" s="66"/>
      <c r="H154" s="130"/>
      <c r="I154" s="84"/>
      <c r="J154" s="17"/>
      <c r="K154" s="133"/>
      <c r="L154" s="135"/>
      <c r="M154" s="19"/>
      <c r="N154" s="131"/>
      <c r="O154" s="30"/>
      <c r="P154" s="29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7.75" customHeight="1">
      <c r="A155" s="29"/>
      <c r="B155" s="29"/>
      <c r="C155" s="29"/>
      <c r="D155" s="29"/>
      <c r="E155" s="29"/>
      <c r="F155" s="30"/>
      <c r="G155" s="66"/>
      <c r="H155" s="130"/>
      <c r="I155" s="84"/>
      <c r="J155" s="17"/>
      <c r="K155" s="133"/>
      <c r="L155" s="135"/>
      <c r="M155" s="19"/>
      <c r="N155" s="131"/>
      <c r="O155" s="30"/>
      <c r="P155" s="29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7.75" customHeight="1">
      <c r="A156" s="29"/>
      <c r="B156" s="29"/>
      <c r="C156" s="29"/>
      <c r="D156" s="29"/>
      <c r="E156" s="29"/>
      <c r="F156" s="30"/>
      <c r="G156" s="66"/>
      <c r="H156" s="130"/>
      <c r="I156" s="84"/>
      <c r="J156" s="17"/>
      <c r="K156" s="133"/>
      <c r="L156" s="135"/>
      <c r="M156" s="19"/>
      <c r="N156" s="131"/>
      <c r="O156" s="30"/>
      <c r="P156" s="29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7.75" customHeight="1">
      <c r="A157" s="29"/>
      <c r="B157" s="29"/>
      <c r="C157" s="29"/>
      <c r="D157" s="29"/>
      <c r="E157" s="29"/>
      <c r="F157" s="30"/>
      <c r="G157" s="66"/>
      <c r="H157" s="130"/>
      <c r="I157" s="84"/>
      <c r="J157" s="17"/>
      <c r="K157" s="133"/>
      <c r="L157" s="135"/>
      <c r="M157" s="19"/>
      <c r="N157" s="131"/>
      <c r="O157" s="30"/>
      <c r="P157" s="29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7.75" customHeight="1">
      <c r="A158" s="29"/>
      <c r="B158" s="29"/>
      <c r="C158" s="29"/>
      <c r="D158" s="29"/>
      <c r="E158" s="29"/>
      <c r="F158" s="30"/>
      <c r="G158" s="66"/>
      <c r="H158" s="130"/>
      <c r="I158" s="84"/>
      <c r="J158" s="17"/>
      <c r="K158" s="133"/>
      <c r="L158" s="135"/>
      <c r="M158" s="19"/>
      <c r="N158" s="131"/>
      <c r="O158" s="30"/>
      <c r="P158" s="29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7.75" customHeight="1">
      <c r="A159" s="29"/>
      <c r="B159" s="29"/>
      <c r="C159" s="29"/>
      <c r="D159" s="29"/>
      <c r="E159" s="29"/>
      <c r="F159" s="30"/>
      <c r="G159" s="66"/>
      <c r="H159" s="130"/>
      <c r="I159" s="84"/>
      <c r="J159" s="17"/>
      <c r="K159" s="133"/>
      <c r="L159" s="135"/>
      <c r="M159" s="19"/>
      <c r="N159" s="131"/>
      <c r="O159" s="30"/>
      <c r="P159" s="29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7.75" customHeight="1">
      <c r="A160" s="29"/>
      <c r="B160" s="29"/>
      <c r="C160" s="29"/>
      <c r="D160" s="29"/>
      <c r="E160" s="29"/>
      <c r="F160" s="30"/>
      <c r="G160" s="66"/>
      <c r="H160" s="130"/>
      <c r="I160" s="84"/>
      <c r="J160" s="17"/>
      <c r="K160" s="133"/>
      <c r="L160" s="135"/>
      <c r="M160" s="19"/>
      <c r="N160" s="131"/>
      <c r="O160" s="30"/>
      <c r="P160" s="29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7.75" customHeight="1">
      <c r="A161" s="29"/>
      <c r="B161" s="29"/>
      <c r="C161" s="29"/>
      <c r="D161" s="29"/>
      <c r="E161" s="29"/>
      <c r="F161" s="30"/>
      <c r="G161" s="66"/>
      <c r="H161" s="130"/>
      <c r="I161" s="84"/>
      <c r="J161" s="17"/>
      <c r="K161" s="133"/>
      <c r="L161" s="135"/>
      <c r="M161" s="19"/>
      <c r="N161" s="131"/>
      <c r="O161" s="30"/>
      <c r="P161" s="29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7.75" customHeight="1">
      <c r="A162" s="29"/>
      <c r="B162" s="29"/>
      <c r="C162" s="29"/>
      <c r="D162" s="29"/>
      <c r="E162" s="29"/>
      <c r="F162" s="30"/>
      <c r="G162" s="66"/>
      <c r="H162" s="130"/>
      <c r="I162" s="84"/>
      <c r="J162" s="17"/>
      <c r="K162" s="133"/>
      <c r="L162" s="135"/>
      <c r="M162" s="19"/>
      <c r="N162" s="131"/>
      <c r="O162" s="30"/>
      <c r="P162" s="29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7.75" customHeight="1">
      <c r="A163" s="29"/>
      <c r="B163" s="29"/>
      <c r="C163" s="29"/>
      <c r="D163" s="29"/>
      <c r="E163" s="29"/>
      <c r="F163" s="30"/>
      <c r="G163" s="66"/>
      <c r="H163" s="130"/>
      <c r="I163" s="84"/>
      <c r="J163" s="17"/>
      <c r="K163" s="133"/>
      <c r="L163" s="135"/>
      <c r="M163" s="19"/>
      <c r="N163" s="131"/>
      <c r="O163" s="30"/>
      <c r="P163" s="29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7.75" customHeight="1">
      <c r="A164" s="29"/>
      <c r="B164" s="29"/>
      <c r="C164" s="29"/>
      <c r="D164" s="29"/>
      <c r="E164" s="29"/>
      <c r="F164" s="30"/>
      <c r="G164" s="66"/>
      <c r="H164" s="130"/>
      <c r="I164" s="84"/>
      <c r="J164" s="17"/>
      <c r="K164" s="133"/>
      <c r="L164" s="135"/>
      <c r="M164" s="19"/>
      <c r="N164" s="131"/>
      <c r="O164" s="30"/>
      <c r="P164" s="29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7.75" customHeight="1">
      <c r="A165" s="29"/>
      <c r="B165" s="29"/>
      <c r="C165" s="29"/>
      <c r="D165" s="29"/>
      <c r="E165" s="29"/>
      <c r="F165" s="30"/>
      <c r="G165" s="66"/>
      <c r="H165" s="130"/>
      <c r="I165" s="84"/>
      <c r="J165" s="17"/>
      <c r="K165" s="133"/>
      <c r="L165" s="135"/>
      <c r="M165" s="19"/>
      <c r="N165" s="131"/>
      <c r="O165" s="30"/>
      <c r="P165" s="29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7.75" customHeight="1">
      <c r="A166" s="29"/>
      <c r="B166" s="29"/>
      <c r="C166" s="29"/>
      <c r="D166" s="29"/>
      <c r="E166" s="29"/>
      <c r="F166" s="30"/>
      <c r="G166" s="66"/>
      <c r="H166" s="130"/>
      <c r="I166" s="84"/>
      <c r="J166" s="17"/>
      <c r="K166" s="133"/>
      <c r="L166" s="135"/>
      <c r="M166" s="19"/>
      <c r="N166" s="131"/>
      <c r="O166" s="30"/>
      <c r="P166" s="29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75" customHeight="1">
      <c r="A167" s="29"/>
      <c r="B167" s="29"/>
      <c r="C167" s="29"/>
      <c r="D167" s="29"/>
      <c r="E167" s="29"/>
      <c r="F167" s="30"/>
      <c r="G167" s="66"/>
      <c r="H167" s="130"/>
      <c r="I167" s="84"/>
      <c r="J167" s="17"/>
      <c r="K167" s="133"/>
      <c r="L167" s="135"/>
      <c r="M167" s="19"/>
      <c r="N167" s="131"/>
      <c r="O167" s="30"/>
      <c r="P167" s="29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7.75" customHeight="1">
      <c r="A168" s="29"/>
      <c r="B168" s="29"/>
      <c r="C168" s="29"/>
      <c r="D168" s="29"/>
      <c r="E168" s="29"/>
      <c r="F168" s="30"/>
      <c r="G168" s="66"/>
      <c r="H168" s="130"/>
      <c r="I168" s="84"/>
      <c r="J168" s="17"/>
      <c r="K168" s="133"/>
      <c r="L168" s="135"/>
      <c r="M168" s="19"/>
      <c r="N168" s="131"/>
      <c r="O168" s="30"/>
      <c r="P168" s="29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7.75" customHeight="1">
      <c r="A169" s="29"/>
      <c r="B169" s="29"/>
      <c r="C169" s="29"/>
      <c r="D169" s="29"/>
      <c r="E169" s="29"/>
      <c r="F169" s="30"/>
      <c r="G169" s="66"/>
      <c r="H169" s="130"/>
      <c r="I169" s="84"/>
      <c r="J169" s="17"/>
      <c r="K169" s="133"/>
      <c r="L169" s="135"/>
      <c r="M169" s="19"/>
      <c r="N169" s="131"/>
      <c r="O169" s="30"/>
      <c r="P169" s="29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7.75" customHeight="1">
      <c r="A170" s="29"/>
      <c r="B170" s="29"/>
      <c r="C170" s="29"/>
      <c r="D170" s="29"/>
      <c r="E170" s="29"/>
      <c r="F170" s="30"/>
      <c r="G170" s="66"/>
      <c r="H170" s="130"/>
      <c r="I170" s="84"/>
      <c r="J170" s="17"/>
      <c r="K170" s="133"/>
      <c r="L170" s="135"/>
      <c r="M170" s="19"/>
      <c r="N170" s="131"/>
      <c r="O170" s="30"/>
      <c r="P170" s="29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7.75" customHeight="1">
      <c r="A171" s="29"/>
      <c r="B171" s="29"/>
      <c r="C171" s="29"/>
      <c r="D171" s="29"/>
      <c r="E171" s="29"/>
      <c r="F171" s="30"/>
      <c r="G171" s="66"/>
      <c r="H171" s="130"/>
      <c r="I171" s="84"/>
      <c r="J171" s="17"/>
      <c r="K171" s="133"/>
      <c r="L171" s="135"/>
      <c r="M171" s="19"/>
      <c r="N171" s="131"/>
      <c r="O171" s="30"/>
      <c r="P171" s="29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7.75" customHeight="1">
      <c r="A172" s="29"/>
      <c r="B172" s="29"/>
      <c r="C172" s="29"/>
      <c r="D172" s="29"/>
      <c r="E172" s="29"/>
      <c r="F172" s="30"/>
      <c r="G172" s="66"/>
      <c r="H172" s="130"/>
      <c r="I172" s="84"/>
      <c r="J172" s="17"/>
      <c r="K172" s="133"/>
      <c r="L172" s="135"/>
      <c r="M172" s="19"/>
      <c r="N172" s="131"/>
      <c r="O172" s="30"/>
      <c r="P172" s="29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7.75" customHeight="1">
      <c r="A173" s="29"/>
      <c r="B173" s="29"/>
      <c r="C173" s="29"/>
      <c r="D173" s="29"/>
      <c r="E173" s="29"/>
      <c r="F173" s="30"/>
      <c r="G173" s="66"/>
      <c r="H173" s="130"/>
      <c r="I173" s="84"/>
      <c r="J173" s="17"/>
      <c r="K173" s="133"/>
      <c r="L173" s="135"/>
      <c r="M173" s="19"/>
      <c r="N173" s="131"/>
      <c r="O173" s="30"/>
      <c r="P173" s="29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75" customHeight="1">
      <c r="A174" s="29"/>
      <c r="B174" s="29"/>
      <c r="C174" s="29"/>
      <c r="D174" s="29"/>
      <c r="E174" s="29"/>
      <c r="F174" s="30"/>
      <c r="G174" s="66"/>
      <c r="H174" s="130"/>
      <c r="I174" s="84"/>
      <c r="J174" s="17"/>
      <c r="K174" s="133"/>
      <c r="L174" s="135"/>
      <c r="M174" s="19"/>
      <c r="N174" s="131"/>
      <c r="O174" s="30"/>
      <c r="P174" s="29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7.75" customHeight="1">
      <c r="A175" s="29"/>
      <c r="B175" s="29"/>
      <c r="C175" s="29"/>
      <c r="D175" s="29"/>
      <c r="E175" s="29"/>
      <c r="F175" s="30"/>
      <c r="G175" s="66"/>
      <c r="H175" s="130"/>
      <c r="I175" s="84"/>
      <c r="J175" s="17"/>
      <c r="K175" s="133"/>
      <c r="L175" s="135"/>
      <c r="M175" s="19"/>
      <c r="N175" s="131"/>
      <c r="O175" s="30"/>
      <c r="P175" s="29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7.75" customHeight="1">
      <c r="A176" s="29"/>
      <c r="B176" s="29"/>
      <c r="C176" s="29"/>
      <c r="D176" s="29"/>
      <c r="E176" s="29"/>
      <c r="F176" s="30"/>
      <c r="G176" s="66"/>
      <c r="H176" s="130"/>
      <c r="I176" s="84"/>
      <c r="J176" s="17"/>
      <c r="K176" s="133"/>
      <c r="L176" s="135"/>
      <c r="M176" s="19"/>
      <c r="N176" s="131"/>
      <c r="O176" s="30"/>
      <c r="P176" s="29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7.75" customHeight="1">
      <c r="A177" s="29"/>
      <c r="B177" s="29"/>
      <c r="C177" s="29"/>
      <c r="D177" s="29"/>
      <c r="E177" s="29"/>
      <c r="F177" s="30"/>
      <c r="G177" s="66"/>
      <c r="H177" s="130"/>
      <c r="I177" s="84"/>
      <c r="J177" s="17"/>
      <c r="K177" s="133"/>
      <c r="L177" s="135"/>
      <c r="M177" s="19"/>
      <c r="N177" s="131"/>
      <c r="O177" s="30"/>
      <c r="P177" s="29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7.75" customHeight="1">
      <c r="A178" s="29"/>
      <c r="B178" s="29"/>
      <c r="C178" s="29"/>
      <c r="D178" s="29"/>
      <c r="E178" s="29"/>
      <c r="F178" s="30"/>
      <c r="G178" s="66"/>
      <c r="H178" s="130"/>
      <c r="I178" s="84"/>
      <c r="J178" s="17"/>
      <c r="K178" s="133"/>
      <c r="L178" s="135"/>
      <c r="M178" s="19"/>
      <c r="N178" s="131"/>
      <c r="O178" s="30"/>
      <c r="P178" s="29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7.75" customHeight="1">
      <c r="A179" s="29"/>
      <c r="B179" s="29"/>
      <c r="C179" s="29"/>
      <c r="D179" s="29"/>
      <c r="E179" s="29"/>
      <c r="F179" s="30"/>
      <c r="G179" s="66"/>
      <c r="H179" s="130"/>
      <c r="I179" s="84"/>
      <c r="J179" s="17"/>
      <c r="K179" s="133"/>
      <c r="L179" s="135"/>
      <c r="M179" s="19"/>
      <c r="N179" s="131"/>
      <c r="O179" s="30"/>
      <c r="P179" s="29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7.75" customHeight="1">
      <c r="A180" s="29"/>
      <c r="B180" s="29"/>
      <c r="C180" s="29"/>
      <c r="D180" s="29"/>
      <c r="E180" s="29"/>
      <c r="F180" s="30"/>
      <c r="G180" s="66"/>
      <c r="H180" s="130"/>
      <c r="I180" s="84"/>
      <c r="J180" s="17"/>
      <c r="K180" s="133"/>
      <c r="L180" s="135"/>
      <c r="M180" s="19"/>
      <c r="N180" s="131"/>
      <c r="O180" s="30"/>
      <c r="P180" s="29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75" customHeight="1">
      <c r="A181" s="29"/>
      <c r="B181" s="29"/>
      <c r="C181" s="29"/>
      <c r="D181" s="29"/>
      <c r="E181" s="29"/>
      <c r="F181" s="30"/>
      <c r="G181" s="66"/>
      <c r="H181" s="130"/>
      <c r="I181" s="84"/>
      <c r="J181" s="17"/>
      <c r="K181" s="133"/>
      <c r="L181" s="135"/>
      <c r="M181" s="19"/>
      <c r="N181" s="131"/>
      <c r="O181" s="30"/>
      <c r="P181" s="29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7.75" customHeight="1">
      <c r="A182" s="29"/>
      <c r="B182" s="29"/>
      <c r="C182" s="29"/>
      <c r="D182" s="29"/>
      <c r="E182" s="29"/>
      <c r="F182" s="30"/>
      <c r="G182" s="66"/>
      <c r="H182" s="130"/>
      <c r="I182" s="84"/>
      <c r="J182" s="17"/>
      <c r="K182" s="133"/>
      <c r="L182" s="135"/>
      <c r="M182" s="19"/>
      <c r="N182" s="131"/>
      <c r="O182" s="30"/>
      <c r="P182" s="29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7.75" customHeight="1">
      <c r="A183" s="29"/>
      <c r="B183" s="29"/>
      <c r="C183" s="29"/>
      <c r="D183" s="29"/>
      <c r="E183" s="29"/>
      <c r="F183" s="30"/>
      <c r="G183" s="66"/>
      <c r="H183" s="130"/>
      <c r="I183" s="84"/>
      <c r="J183" s="17"/>
      <c r="K183" s="133"/>
      <c r="L183" s="135"/>
      <c r="M183" s="19"/>
      <c r="N183" s="131"/>
      <c r="O183" s="30"/>
      <c r="P183" s="29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7.75" customHeight="1">
      <c r="A184" s="29"/>
      <c r="B184" s="29"/>
      <c r="C184" s="29"/>
      <c r="D184" s="29"/>
      <c r="E184" s="29"/>
      <c r="F184" s="30"/>
      <c r="G184" s="66"/>
      <c r="H184" s="130"/>
      <c r="I184" s="84"/>
      <c r="J184" s="17"/>
      <c r="K184" s="133"/>
      <c r="L184" s="135"/>
      <c r="M184" s="19"/>
      <c r="N184" s="131"/>
      <c r="O184" s="30"/>
      <c r="P184" s="29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7.75" customHeight="1">
      <c r="A185" s="29"/>
      <c r="B185" s="29"/>
      <c r="C185" s="29"/>
      <c r="D185" s="29"/>
      <c r="E185" s="29"/>
      <c r="F185" s="30"/>
      <c r="G185" s="66"/>
      <c r="H185" s="130"/>
      <c r="I185" s="84"/>
      <c r="J185" s="17"/>
      <c r="K185" s="133"/>
      <c r="L185" s="135"/>
      <c r="M185" s="19"/>
      <c r="N185" s="131"/>
      <c r="O185" s="30"/>
      <c r="P185" s="29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7.75" customHeight="1">
      <c r="A186" s="29"/>
      <c r="B186" s="29"/>
      <c r="C186" s="29"/>
      <c r="D186" s="29"/>
      <c r="E186" s="29"/>
      <c r="F186" s="30"/>
      <c r="G186" s="66"/>
      <c r="H186" s="130"/>
      <c r="I186" s="84"/>
      <c r="J186" s="17"/>
      <c r="K186" s="133"/>
      <c r="L186" s="135"/>
      <c r="M186" s="19"/>
      <c r="N186" s="131"/>
      <c r="O186" s="30"/>
      <c r="P186" s="29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7.75" customHeight="1">
      <c r="A187" s="29"/>
      <c r="B187" s="29"/>
      <c r="C187" s="29"/>
      <c r="D187" s="29"/>
      <c r="E187" s="29"/>
      <c r="F187" s="30"/>
      <c r="G187" s="66"/>
      <c r="H187" s="130"/>
      <c r="I187" s="84"/>
      <c r="J187" s="17"/>
      <c r="K187" s="133"/>
      <c r="L187" s="135"/>
      <c r="M187" s="19"/>
      <c r="N187" s="131"/>
      <c r="O187" s="30"/>
      <c r="P187" s="29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75" customHeight="1">
      <c r="A188" s="29"/>
      <c r="B188" s="29"/>
      <c r="C188" s="29"/>
      <c r="D188" s="29"/>
      <c r="E188" s="29"/>
      <c r="F188" s="30"/>
      <c r="G188" s="66"/>
      <c r="H188" s="130"/>
      <c r="I188" s="84"/>
      <c r="J188" s="17"/>
      <c r="K188" s="133"/>
      <c r="L188" s="135"/>
      <c r="M188" s="19"/>
      <c r="N188" s="131"/>
      <c r="O188" s="30"/>
      <c r="P188" s="29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7.75" customHeight="1">
      <c r="A189" s="29"/>
      <c r="B189" s="29"/>
      <c r="C189" s="29"/>
      <c r="D189" s="29"/>
      <c r="E189" s="29"/>
      <c r="F189" s="30"/>
      <c r="G189" s="66"/>
      <c r="H189" s="130"/>
      <c r="I189" s="84"/>
      <c r="J189" s="17"/>
      <c r="K189" s="133"/>
      <c r="L189" s="135"/>
      <c r="M189" s="19"/>
      <c r="N189" s="131"/>
      <c r="O189" s="30"/>
      <c r="P189" s="29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7.75" customHeight="1">
      <c r="A190" s="29"/>
      <c r="B190" s="29"/>
      <c r="C190" s="29"/>
      <c r="D190" s="29"/>
      <c r="E190" s="29"/>
      <c r="F190" s="30"/>
      <c r="G190" s="66"/>
      <c r="H190" s="130"/>
      <c r="I190" s="84"/>
      <c r="J190" s="17"/>
      <c r="K190" s="133"/>
      <c r="L190" s="135"/>
      <c r="M190" s="19"/>
      <c r="N190" s="131"/>
      <c r="O190" s="30"/>
      <c r="P190" s="29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7.75" customHeight="1">
      <c r="A191" s="29"/>
      <c r="B191" s="29"/>
      <c r="C191" s="29"/>
      <c r="D191" s="29"/>
      <c r="E191" s="29"/>
      <c r="F191" s="30"/>
      <c r="G191" s="66"/>
      <c r="H191" s="130"/>
      <c r="I191" s="84"/>
      <c r="J191" s="17"/>
      <c r="K191" s="133"/>
      <c r="L191" s="135"/>
      <c r="M191" s="19"/>
      <c r="N191" s="131"/>
      <c r="O191" s="30"/>
      <c r="P191" s="29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7.75" customHeight="1">
      <c r="A192" s="29"/>
      <c r="B192" s="29"/>
      <c r="C192" s="29"/>
      <c r="D192" s="29"/>
      <c r="E192" s="29"/>
      <c r="F192" s="30"/>
      <c r="G192" s="66"/>
      <c r="H192" s="130"/>
      <c r="I192" s="84"/>
      <c r="J192" s="17"/>
      <c r="K192" s="133"/>
      <c r="L192" s="135"/>
      <c r="M192" s="19"/>
      <c r="N192" s="131"/>
      <c r="O192" s="30"/>
      <c r="P192" s="29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7.75" customHeight="1">
      <c r="A193" s="29"/>
      <c r="B193" s="29"/>
      <c r="C193" s="29"/>
      <c r="D193" s="29"/>
      <c r="E193" s="29"/>
      <c r="F193" s="30"/>
      <c r="G193" s="66"/>
      <c r="H193" s="130"/>
      <c r="I193" s="84"/>
      <c r="J193" s="17"/>
      <c r="K193" s="133"/>
      <c r="L193" s="135"/>
      <c r="M193" s="19"/>
      <c r="N193" s="131"/>
      <c r="O193" s="30"/>
      <c r="P193" s="29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7.75" customHeight="1">
      <c r="A194" s="29"/>
      <c r="B194" s="29"/>
      <c r="C194" s="29"/>
      <c r="D194" s="29"/>
      <c r="E194" s="29"/>
      <c r="F194" s="30"/>
      <c r="G194" s="66"/>
      <c r="H194" s="130"/>
      <c r="I194" s="84"/>
      <c r="J194" s="17"/>
      <c r="K194" s="133"/>
      <c r="L194" s="135"/>
      <c r="M194" s="19"/>
      <c r="N194" s="131"/>
      <c r="O194" s="30"/>
      <c r="P194" s="29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7.75" customHeight="1">
      <c r="A195" s="29"/>
      <c r="B195" s="29"/>
      <c r="C195" s="29"/>
      <c r="D195" s="29"/>
      <c r="E195" s="29"/>
      <c r="F195" s="30"/>
      <c r="G195" s="66"/>
      <c r="H195" s="130"/>
      <c r="I195" s="84"/>
      <c r="J195" s="17"/>
      <c r="K195" s="133"/>
      <c r="L195" s="135"/>
      <c r="M195" s="19"/>
      <c r="N195" s="131"/>
      <c r="O195" s="30"/>
      <c r="P195" s="29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7.75" customHeight="1">
      <c r="A196" s="29"/>
      <c r="B196" s="29"/>
      <c r="C196" s="29"/>
      <c r="D196" s="29"/>
      <c r="E196" s="29"/>
      <c r="F196" s="30"/>
      <c r="G196" s="66"/>
      <c r="H196" s="130"/>
      <c r="I196" s="84"/>
      <c r="J196" s="17"/>
      <c r="K196" s="133"/>
      <c r="L196" s="135"/>
      <c r="M196" s="19"/>
      <c r="N196" s="131"/>
      <c r="O196" s="30"/>
      <c r="P196" s="29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7.75" customHeight="1">
      <c r="A197" s="29"/>
      <c r="B197" s="29"/>
      <c r="C197" s="29"/>
      <c r="D197" s="29"/>
      <c r="E197" s="29"/>
      <c r="F197" s="30"/>
      <c r="G197" s="66"/>
      <c r="H197" s="130"/>
      <c r="I197" s="84"/>
      <c r="J197" s="17"/>
      <c r="K197" s="133"/>
      <c r="L197" s="135"/>
      <c r="M197" s="19"/>
      <c r="N197" s="131"/>
      <c r="O197" s="30"/>
      <c r="P197" s="29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7.75" customHeight="1">
      <c r="A198" s="29"/>
      <c r="B198" s="29"/>
      <c r="C198" s="29"/>
      <c r="D198" s="29"/>
      <c r="E198" s="29"/>
      <c r="F198" s="30"/>
      <c r="G198" s="66"/>
      <c r="H198" s="130"/>
      <c r="I198" s="84"/>
      <c r="J198" s="17"/>
      <c r="K198" s="133"/>
      <c r="L198" s="135"/>
      <c r="M198" s="19"/>
      <c r="N198" s="131"/>
      <c r="O198" s="30"/>
      <c r="P198" s="29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7.75" customHeight="1">
      <c r="A199" s="29"/>
      <c r="B199" s="29"/>
      <c r="C199" s="29"/>
      <c r="D199" s="29"/>
      <c r="E199" s="29"/>
      <c r="F199" s="30"/>
      <c r="G199" s="66"/>
      <c r="H199" s="130"/>
      <c r="I199" s="84"/>
      <c r="J199" s="17"/>
      <c r="K199" s="133"/>
      <c r="L199" s="135"/>
      <c r="M199" s="19"/>
      <c r="N199" s="131"/>
      <c r="O199" s="30"/>
      <c r="P199" s="29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7.75" customHeight="1">
      <c r="A200" s="29"/>
      <c r="B200" s="29"/>
      <c r="C200" s="29"/>
      <c r="D200" s="29"/>
      <c r="E200" s="29"/>
      <c r="F200" s="30"/>
      <c r="G200" s="66"/>
      <c r="H200" s="130"/>
      <c r="I200" s="84"/>
      <c r="J200" s="17"/>
      <c r="K200" s="133"/>
      <c r="L200" s="135"/>
      <c r="M200" s="19"/>
      <c r="N200" s="131"/>
      <c r="O200" s="30"/>
      <c r="P200" s="29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7.75" customHeight="1">
      <c r="A201" s="29"/>
      <c r="B201" s="29"/>
      <c r="C201" s="29"/>
      <c r="D201" s="29"/>
      <c r="E201" s="29"/>
      <c r="F201" s="30"/>
      <c r="G201" s="66"/>
      <c r="H201" s="130"/>
      <c r="I201" s="84"/>
      <c r="J201" s="17"/>
      <c r="K201" s="133"/>
      <c r="L201" s="135"/>
      <c r="M201" s="19"/>
      <c r="N201" s="131"/>
      <c r="O201" s="30"/>
      <c r="P201" s="29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75" customHeight="1">
      <c r="A202" s="29"/>
      <c r="B202" s="29"/>
      <c r="C202" s="29"/>
      <c r="D202" s="29"/>
      <c r="E202" s="29"/>
      <c r="F202" s="30"/>
      <c r="G202" s="66"/>
      <c r="H202" s="130"/>
      <c r="I202" s="84"/>
      <c r="J202" s="17"/>
      <c r="K202" s="133"/>
      <c r="L202" s="135"/>
      <c r="M202" s="19"/>
      <c r="N202" s="131"/>
      <c r="O202" s="30"/>
      <c r="P202" s="29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7.75" customHeight="1">
      <c r="A203" s="29"/>
      <c r="B203" s="29"/>
      <c r="C203" s="29"/>
      <c r="D203" s="29"/>
      <c r="E203" s="29"/>
      <c r="F203" s="30"/>
      <c r="G203" s="66"/>
      <c r="H203" s="130"/>
      <c r="I203" s="84"/>
      <c r="J203" s="17"/>
      <c r="K203" s="133"/>
      <c r="L203" s="135"/>
      <c r="M203" s="19"/>
      <c r="N203" s="131"/>
      <c r="O203" s="30"/>
      <c r="P203" s="29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7.75" customHeight="1">
      <c r="A204" s="29"/>
      <c r="B204" s="29"/>
      <c r="C204" s="29"/>
      <c r="D204" s="29"/>
      <c r="E204" s="29"/>
      <c r="F204" s="30"/>
      <c r="G204" s="66"/>
      <c r="H204" s="130"/>
      <c r="I204" s="84"/>
      <c r="J204" s="17"/>
      <c r="K204" s="133"/>
      <c r="L204" s="135"/>
      <c r="M204" s="19"/>
      <c r="N204" s="131"/>
      <c r="O204" s="30"/>
      <c r="P204" s="29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7.75" customHeight="1">
      <c r="A205" s="29"/>
      <c r="B205" s="29"/>
      <c r="C205" s="29"/>
      <c r="D205" s="29"/>
      <c r="E205" s="29"/>
      <c r="F205" s="30"/>
      <c r="G205" s="66"/>
      <c r="H205" s="130"/>
      <c r="I205" s="84"/>
      <c r="J205" s="17"/>
      <c r="K205" s="133"/>
      <c r="L205" s="135"/>
      <c r="M205" s="19"/>
      <c r="N205" s="131"/>
      <c r="O205" s="30"/>
      <c r="P205" s="29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7.75" customHeight="1">
      <c r="A206" s="29"/>
      <c r="B206" s="29"/>
      <c r="C206" s="29"/>
      <c r="D206" s="29"/>
      <c r="E206" s="29"/>
      <c r="F206" s="30"/>
      <c r="G206" s="66"/>
      <c r="H206" s="130"/>
      <c r="I206" s="84"/>
      <c r="J206" s="17"/>
      <c r="K206" s="133"/>
      <c r="L206" s="135"/>
      <c r="M206" s="19"/>
      <c r="N206" s="131"/>
      <c r="O206" s="30"/>
      <c r="P206" s="29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7.75" customHeight="1">
      <c r="A207" s="29"/>
      <c r="B207" s="29"/>
      <c r="C207" s="29"/>
      <c r="D207" s="29"/>
      <c r="E207" s="29"/>
      <c r="F207" s="30"/>
      <c r="G207" s="66"/>
      <c r="H207" s="130"/>
      <c r="I207" s="84"/>
      <c r="J207" s="17"/>
      <c r="K207" s="133"/>
      <c r="L207" s="135"/>
      <c r="M207" s="19"/>
      <c r="N207" s="131"/>
      <c r="O207" s="30"/>
      <c r="P207" s="29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7.75" customHeight="1">
      <c r="A208" s="29"/>
      <c r="B208" s="29"/>
      <c r="C208" s="29"/>
      <c r="D208" s="29"/>
      <c r="E208" s="29"/>
      <c r="F208" s="30"/>
      <c r="G208" s="66"/>
      <c r="H208" s="130"/>
      <c r="I208" s="84"/>
      <c r="J208" s="17"/>
      <c r="K208" s="133"/>
      <c r="L208" s="135"/>
      <c r="M208" s="19"/>
      <c r="N208" s="131"/>
      <c r="O208" s="30"/>
      <c r="P208" s="29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75" customHeight="1">
      <c r="A209" s="29"/>
      <c r="B209" s="29"/>
      <c r="C209" s="29"/>
      <c r="D209" s="29"/>
      <c r="E209" s="29"/>
      <c r="F209" s="30"/>
      <c r="G209" s="66"/>
      <c r="H209" s="130"/>
      <c r="I209" s="84"/>
      <c r="J209" s="17"/>
      <c r="K209" s="133"/>
      <c r="L209" s="135"/>
      <c r="M209" s="19"/>
      <c r="N209" s="131"/>
      <c r="O209" s="30"/>
      <c r="P209" s="29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7.75" customHeight="1">
      <c r="A210" s="29"/>
      <c r="B210" s="29"/>
      <c r="C210" s="29"/>
      <c r="D210" s="29"/>
      <c r="E210" s="29"/>
      <c r="F210" s="30"/>
      <c r="G210" s="66"/>
      <c r="H210" s="130"/>
      <c r="I210" s="84"/>
      <c r="J210" s="17"/>
      <c r="K210" s="133"/>
      <c r="L210" s="135"/>
      <c r="M210" s="19"/>
      <c r="N210" s="131"/>
      <c r="O210" s="30"/>
      <c r="P210" s="29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7.75" customHeight="1">
      <c r="A211" s="29"/>
      <c r="B211" s="29"/>
      <c r="C211" s="29"/>
      <c r="D211" s="29"/>
      <c r="E211" s="29"/>
      <c r="F211" s="30"/>
      <c r="G211" s="66"/>
      <c r="H211" s="130"/>
      <c r="I211" s="84"/>
      <c r="J211" s="17"/>
      <c r="K211" s="133"/>
      <c r="L211" s="135"/>
      <c r="M211" s="19"/>
      <c r="N211" s="131"/>
      <c r="O211" s="30"/>
      <c r="P211" s="29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7.75" customHeight="1">
      <c r="A212" s="29"/>
      <c r="B212" s="29"/>
      <c r="C212" s="29"/>
      <c r="D212" s="29"/>
      <c r="E212" s="29"/>
      <c r="F212" s="30"/>
      <c r="G212" s="66"/>
      <c r="H212" s="130"/>
      <c r="I212" s="84"/>
      <c r="J212" s="17"/>
      <c r="K212" s="133"/>
      <c r="L212" s="135"/>
      <c r="M212" s="19"/>
      <c r="N212" s="131"/>
      <c r="O212" s="30"/>
      <c r="P212" s="29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7.75" customHeight="1">
      <c r="A213" s="29"/>
      <c r="B213" s="29"/>
      <c r="C213" s="29"/>
      <c r="D213" s="29"/>
      <c r="E213" s="29"/>
      <c r="F213" s="30"/>
      <c r="G213" s="66"/>
      <c r="H213" s="130"/>
      <c r="I213" s="84"/>
      <c r="J213" s="17"/>
      <c r="K213" s="133"/>
      <c r="L213" s="135"/>
      <c r="M213" s="19"/>
      <c r="N213" s="131"/>
      <c r="O213" s="30"/>
      <c r="P213" s="29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7.75" customHeight="1">
      <c r="A214" s="29"/>
      <c r="B214" s="29"/>
      <c r="C214" s="29"/>
      <c r="D214" s="29"/>
      <c r="E214" s="29"/>
      <c r="F214" s="30"/>
      <c r="G214" s="66"/>
      <c r="H214" s="130"/>
      <c r="I214" s="84"/>
      <c r="J214" s="17"/>
      <c r="K214" s="133"/>
      <c r="L214" s="135"/>
      <c r="M214" s="19"/>
      <c r="N214" s="131"/>
      <c r="O214" s="30"/>
      <c r="P214" s="29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7.75" customHeight="1">
      <c r="A215" s="29"/>
      <c r="B215" s="29"/>
      <c r="C215" s="29"/>
      <c r="D215" s="29"/>
      <c r="E215" s="29"/>
      <c r="F215" s="30"/>
      <c r="G215" s="66"/>
      <c r="H215" s="130"/>
      <c r="I215" s="84"/>
      <c r="J215" s="17"/>
      <c r="K215" s="133"/>
      <c r="L215" s="135"/>
      <c r="M215" s="19"/>
      <c r="N215" s="131"/>
      <c r="O215" s="30"/>
      <c r="P215" s="29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7.75" customHeight="1">
      <c r="A216" s="29"/>
      <c r="B216" s="29"/>
      <c r="C216" s="29"/>
      <c r="D216" s="29"/>
      <c r="E216" s="29"/>
      <c r="F216" s="30"/>
      <c r="G216" s="66"/>
      <c r="H216" s="130"/>
      <c r="I216" s="84"/>
      <c r="J216" s="17"/>
      <c r="K216" s="133"/>
      <c r="L216" s="135"/>
      <c r="M216" s="19"/>
      <c r="N216" s="131"/>
      <c r="O216" s="30"/>
      <c r="P216" s="29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7.75" customHeight="1">
      <c r="A217" s="29"/>
      <c r="B217" s="29"/>
      <c r="C217" s="29"/>
      <c r="D217" s="29"/>
      <c r="E217" s="29"/>
      <c r="F217" s="30"/>
      <c r="G217" s="66"/>
      <c r="H217" s="130"/>
      <c r="I217" s="84"/>
      <c r="J217" s="17"/>
      <c r="K217" s="133"/>
      <c r="L217" s="135"/>
      <c r="M217" s="19"/>
      <c r="N217" s="131"/>
      <c r="O217" s="30"/>
      <c r="P217" s="29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7.75" customHeight="1">
      <c r="A218" s="29"/>
      <c r="B218" s="29"/>
      <c r="C218" s="29"/>
      <c r="D218" s="29"/>
      <c r="E218" s="29"/>
      <c r="F218" s="30"/>
      <c r="G218" s="66"/>
      <c r="H218" s="130"/>
      <c r="I218" s="84"/>
      <c r="J218" s="17"/>
      <c r="K218" s="133"/>
      <c r="L218" s="135"/>
      <c r="M218" s="19"/>
      <c r="N218" s="131"/>
      <c r="O218" s="30"/>
      <c r="P218" s="29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7.75" customHeight="1">
      <c r="A219" s="29"/>
      <c r="B219" s="29"/>
      <c r="C219" s="29"/>
      <c r="D219" s="29"/>
      <c r="E219" s="29"/>
      <c r="F219" s="30"/>
      <c r="G219" s="66"/>
      <c r="H219" s="130"/>
      <c r="I219" s="84"/>
      <c r="J219" s="17"/>
      <c r="K219" s="133"/>
      <c r="L219" s="135"/>
      <c r="M219" s="19"/>
      <c r="N219" s="131"/>
      <c r="O219" s="30"/>
      <c r="P219" s="29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7.75" customHeight="1">
      <c r="A220" s="29"/>
      <c r="B220" s="29"/>
      <c r="C220" s="29"/>
      <c r="D220" s="29"/>
      <c r="E220" s="29"/>
      <c r="F220" s="30"/>
      <c r="G220" s="66"/>
      <c r="H220" s="130"/>
      <c r="I220" s="84"/>
      <c r="J220" s="17"/>
      <c r="K220" s="133"/>
      <c r="L220" s="135"/>
      <c r="M220" s="19"/>
      <c r="N220" s="131"/>
      <c r="O220" s="30"/>
      <c r="P220" s="29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7.75" customHeight="1">
      <c r="A221" s="29"/>
      <c r="B221" s="29"/>
      <c r="C221" s="29"/>
      <c r="D221" s="29"/>
      <c r="E221" s="29"/>
      <c r="F221" s="30"/>
      <c r="G221" s="66"/>
      <c r="H221" s="130"/>
      <c r="I221" s="84"/>
      <c r="J221" s="17"/>
      <c r="K221" s="133"/>
      <c r="L221" s="135"/>
      <c r="M221" s="19"/>
      <c r="N221" s="131"/>
      <c r="O221" s="30"/>
      <c r="P221" s="29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7.75" customHeight="1">
      <c r="A222" s="29"/>
      <c r="B222" s="29"/>
      <c r="C222" s="29"/>
      <c r="D222" s="29"/>
      <c r="E222" s="29"/>
      <c r="F222" s="30"/>
      <c r="G222" s="66"/>
      <c r="H222" s="130"/>
      <c r="I222" s="84"/>
      <c r="J222" s="17"/>
      <c r="K222" s="133"/>
      <c r="L222" s="135"/>
      <c r="M222" s="19"/>
      <c r="N222" s="131"/>
      <c r="O222" s="30"/>
      <c r="P222" s="29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7.75" customHeight="1">
      <c r="A223" s="29"/>
      <c r="B223" s="29"/>
      <c r="C223" s="29"/>
      <c r="D223" s="29"/>
      <c r="E223" s="29"/>
      <c r="F223" s="30"/>
      <c r="G223" s="66"/>
      <c r="H223" s="130"/>
      <c r="I223" s="84"/>
      <c r="J223" s="17"/>
      <c r="K223" s="133"/>
      <c r="L223" s="135"/>
      <c r="M223" s="19"/>
      <c r="N223" s="131"/>
      <c r="O223" s="30"/>
      <c r="P223" s="29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7.75" customHeight="1">
      <c r="A224" s="29"/>
      <c r="B224" s="29"/>
      <c r="C224" s="29"/>
      <c r="D224" s="29"/>
      <c r="E224" s="29"/>
      <c r="F224" s="30"/>
      <c r="G224" s="66"/>
      <c r="H224" s="130"/>
      <c r="I224" s="84"/>
      <c r="J224" s="17"/>
      <c r="K224" s="133"/>
      <c r="L224" s="135"/>
      <c r="M224" s="19"/>
      <c r="N224" s="131"/>
      <c r="O224" s="30"/>
      <c r="P224" s="29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7.75" customHeight="1">
      <c r="A225" s="29"/>
      <c r="B225" s="29"/>
      <c r="C225" s="29"/>
      <c r="D225" s="29"/>
      <c r="E225" s="29"/>
      <c r="F225" s="30"/>
      <c r="G225" s="66"/>
      <c r="H225" s="130"/>
      <c r="I225" s="84"/>
      <c r="J225" s="17"/>
      <c r="K225" s="133"/>
      <c r="L225" s="135"/>
      <c r="M225" s="19"/>
      <c r="N225" s="131"/>
      <c r="O225" s="30"/>
      <c r="P225" s="29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7.75" customHeight="1">
      <c r="A226" s="29"/>
      <c r="B226" s="29"/>
      <c r="C226" s="29"/>
      <c r="D226" s="29"/>
      <c r="E226" s="29"/>
      <c r="F226" s="30"/>
      <c r="G226" s="66"/>
      <c r="H226" s="130"/>
      <c r="I226" s="84"/>
      <c r="J226" s="17"/>
      <c r="K226" s="133"/>
      <c r="L226" s="135"/>
      <c r="M226" s="19"/>
      <c r="N226" s="131"/>
      <c r="O226" s="30"/>
      <c r="P226" s="29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7.75" customHeight="1">
      <c r="A227" s="29"/>
      <c r="B227" s="29"/>
      <c r="C227" s="29"/>
      <c r="D227" s="29"/>
      <c r="E227" s="29"/>
      <c r="F227" s="30"/>
      <c r="G227" s="66"/>
      <c r="H227" s="130"/>
      <c r="I227" s="84"/>
      <c r="J227" s="17"/>
      <c r="K227" s="133"/>
      <c r="L227" s="135"/>
      <c r="M227" s="19"/>
      <c r="N227" s="131"/>
      <c r="O227" s="30"/>
      <c r="P227" s="29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7.75" customHeight="1">
      <c r="A228" s="29"/>
      <c r="B228" s="29"/>
      <c r="C228" s="29"/>
      <c r="D228" s="29"/>
      <c r="E228" s="29"/>
      <c r="F228" s="30"/>
      <c r="G228" s="66"/>
      <c r="H228" s="130"/>
      <c r="I228" s="84"/>
      <c r="J228" s="17"/>
      <c r="K228" s="133"/>
      <c r="L228" s="135"/>
      <c r="M228" s="19"/>
      <c r="N228" s="131"/>
      <c r="O228" s="30"/>
      <c r="P228" s="29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7.75" customHeight="1">
      <c r="A229" s="29"/>
      <c r="B229" s="29"/>
      <c r="C229" s="29"/>
      <c r="D229" s="29"/>
      <c r="E229" s="29"/>
      <c r="F229" s="30"/>
      <c r="G229" s="66"/>
      <c r="H229" s="130"/>
      <c r="I229" s="84"/>
      <c r="J229" s="17"/>
      <c r="K229" s="133"/>
      <c r="L229" s="135"/>
      <c r="M229" s="19"/>
      <c r="N229" s="131"/>
      <c r="O229" s="30"/>
      <c r="P229" s="29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75" customHeight="1">
      <c r="A230" s="29"/>
      <c r="B230" s="29"/>
      <c r="C230" s="29"/>
      <c r="D230" s="29"/>
      <c r="E230" s="29"/>
      <c r="F230" s="30"/>
      <c r="G230" s="66"/>
      <c r="H230" s="130"/>
      <c r="I230" s="84"/>
      <c r="J230" s="17"/>
      <c r="K230" s="133"/>
      <c r="L230" s="135"/>
      <c r="M230" s="19"/>
      <c r="N230" s="131"/>
      <c r="O230" s="30"/>
      <c r="P230" s="29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7.75" customHeight="1">
      <c r="A231" s="29"/>
      <c r="B231" s="29"/>
      <c r="C231" s="29"/>
      <c r="D231" s="29"/>
      <c r="E231" s="29"/>
      <c r="F231" s="30"/>
      <c r="G231" s="66"/>
      <c r="H231" s="130"/>
      <c r="I231" s="84"/>
      <c r="J231" s="17"/>
      <c r="K231" s="133"/>
      <c r="L231" s="135"/>
      <c r="M231" s="19"/>
      <c r="N231" s="131"/>
      <c r="O231" s="30"/>
      <c r="P231" s="29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7.75" customHeight="1">
      <c r="A232" s="29"/>
      <c r="B232" s="29"/>
      <c r="C232" s="29"/>
      <c r="D232" s="29"/>
      <c r="E232" s="29"/>
      <c r="F232" s="30"/>
      <c r="G232" s="66"/>
      <c r="H232" s="130"/>
      <c r="I232" s="84"/>
      <c r="J232" s="17"/>
      <c r="K232" s="133"/>
      <c r="L232" s="135"/>
      <c r="M232" s="19"/>
      <c r="N232" s="131"/>
      <c r="O232" s="30"/>
      <c r="P232" s="29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7.75" customHeight="1">
      <c r="A233" s="29"/>
      <c r="B233" s="29"/>
      <c r="C233" s="29"/>
      <c r="D233" s="29"/>
      <c r="E233" s="29"/>
      <c r="F233" s="30"/>
      <c r="G233" s="66"/>
      <c r="H233" s="130"/>
      <c r="I233" s="84"/>
      <c r="J233" s="17"/>
      <c r="K233" s="133"/>
      <c r="L233" s="135"/>
      <c r="M233" s="19"/>
      <c r="N233" s="131"/>
      <c r="O233" s="30"/>
      <c r="P233" s="29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7.75" customHeight="1">
      <c r="A234" s="29"/>
      <c r="B234" s="29"/>
      <c r="C234" s="29"/>
      <c r="D234" s="29"/>
      <c r="E234" s="29"/>
      <c r="F234" s="30"/>
      <c r="G234" s="66"/>
      <c r="H234" s="130"/>
      <c r="I234" s="84"/>
      <c r="J234" s="17"/>
      <c r="K234" s="133"/>
      <c r="L234" s="135"/>
      <c r="M234" s="19"/>
      <c r="N234" s="131"/>
      <c r="O234" s="30"/>
      <c r="P234" s="29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7.75" customHeight="1">
      <c r="A235" s="29"/>
      <c r="B235" s="29"/>
      <c r="C235" s="29"/>
      <c r="D235" s="29"/>
      <c r="E235" s="29"/>
      <c r="F235" s="30"/>
      <c r="G235" s="66"/>
      <c r="H235" s="130"/>
      <c r="I235" s="84"/>
      <c r="J235" s="17"/>
      <c r="K235" s="133"/>
      <c r="L235" s="135"/>
      <c r="M235" s="19"/>
      <c r="N235" s="131"/>
      <c r="O235" s="30"/>
      <c r="P235" s="29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7.75" customHeight="1">
      <c r="A236" s="29"/>
      <c r="B236" s="29"/>
      <c r="C236" s="29"/>
      <c r="D236" s="29"/>
      <c r="E236" s="29"/>
      <c r="F236" s="30"/>
      <c r="G236" s="66"/>
      <c r="H236" s="130"/>
      <c r="I236" s="84"/>
      <c r="J236" s="17"/>
      <c r="K236" s="133"/>
      <c r="L236" s="135"/>
      <c r="M236" s="19"/>
      <c r="N236" s="131"/>
      <c r="O236" s="30"/>
      <c r="P236" s="29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75" customHeight="1">
      <c r="A237" s="29"/>
      <c r="B237" s="29"/>
      <c r="C237" s="29"/>
      <c r="D237" s="29"/>
      <c r="E237" s="29"/>
      <c r="F237" s="30"/>
      <c r="G237" s="66"/>
      <c r="H237" s="130"/>
      <c r="I237" s="84"/>
      <c r="J237" s="17"/>
      <c r="K237" s="133"/>
      <c r="L237" s="135"/>
      <c r="M237" s="19"/>
      <c r="N237" s="131"/>
      <c r="O237" s="30"/>
      <c r="P237" s="29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7.75" customHeight="1">
      <c r="A238" s="29"/>
      <c r="B238" s="29"/>
      <c r="C238" s="29"/>
      <c r="D238" s="29"/>
      <c r="E238" s="29"/>
      <c r="F238" s="30"/>
      <c r="G238" s="66"/>
      <c r="H238" s="130"/>
      <c r="I238" s="84"/>
      <c r="J238" s="17"/>
      <c r="K238" s="133"/>
      <c r="L238" s="135"/>
      <c r="M238" s="19"/>
      <c r="N238" s="131"/>
      <c r="O238" s="30"/>
      <c r="P238" s="29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7.75" customHeight="1">
      <c r="A239" s="29"/>
      <c r="B239" s="29"/>
      <c r="C239" s="29"/>
      <c r="D239" s="29"/>
      <c r="E239" s="29"/>
      <c r="F239" s="30"/>
      <c r="G239" s="66"/>
      <c r="H239" s="130"/>
      <c r="I239" s="84"/>
      <c r="J239" s="17"/>
      <c r="K239" s="133"/>
      <c r="L239" s="135"/>
      <c r="M239" s="19"/>
      <c r="N239" s="131"/>
      <c r="O239" s="30"/>
      <c r="P239" s="29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7.75" customHeight="1">
      <c r="A240" s="29"/>
      <c r="B240" s="29"/>
      <c r="C240" s="29"/>
      <c r="D240" s="29"/>
      <c r="E240" s="29"/>
      <c r="F240" s="30"/>
      <c r="G240" s="66"/>
      <c r="H240" s="130"/>
      <c r="I240" s="84"/>
      <c r="J240" s="17"/>
      <c r="K240" s="133"/>
      <c r="L240" s="135"/>
      <c r="M240" s="19"/>
      <c r="N240" s="131"/>
      <c r="O240" s="30"/>
      <c r="P240" s="29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7.75" customHeight="1">
      <c r="A241" s="29"/>
      <c r="B241" s="29"/>
      <c r="C241" s="29"/>
      <c r="D241" s="29"/>
      <c r="E241" s="29"/>
      <c r="F241" s="30"/>
      <c r="G241" s="66"/>
      <c r="H241" s="130"/>
      <c r="I241" s="84"/>
      <c r="J241" s="17"/>
      <c r="K241" s="133"/>
      <c r="L241" s="135"/>
      <c r="M241" s="19"/>
      <c r="N241" s="131"/>
      <c r="O241" s="30"/>
      <c r="P241" s="29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133"/>
      <c r="L242" s="135"/>
      <c r="M242" s="19"/>
      <c r="N242" s="131"/>
      <c r="O242" s="30"/>
      <c r="P242" s="29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133"/>
      <c r="L243" s="135"/>
      <c r="M243" s="19"/>
      <c r="N243" s="131"/>
      <c r="O243" s="30"/>
      <c r="P243" s="29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133"/>
      <c r="L244" s="135"/>
      <c r="M244" s="19"/>
      <c r="N244" s="131"/>
      <c r="O244" s="30"/>
      <c r="P244" s="29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133"/>
      <c r="L245" s="135"/>
      <c r="M245" s="19"/>
      <c r="N245" s="131"/>
      <c r="O245" s="30"/>
      <c r="P245" s="29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133"/>
      <c r="L246" s="135"/>
      <c r="M246" s="19"/>
      <c r="N246" s="131"/>
      <c r="O246" s="30"/>
      <c r="P246" s="29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133"/>
      <c r="L247" s="135"/>
      <c r="M247" s="19"/>
      <c r="N247" s="131"/>
      <c r="O247" s="30"/>
      <c r="P247" s="29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133"/>
      <c r="L248" s="135"/>
      <c r="M248" s="19"/>
      <c r="N248" s="131"/>
      <c r="O248" s="30"/>
      <c r="P248" s="29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133"/>
      <c r="L249" s="135"/>
      <c r="M249" s="19"/>
      <c r="N249" s="131"/>
      <c r="O249" s="30"/>
      <c r="P249" s="29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133"/>
      <c r="L250" s="135"/>
      <c r="M250" s="19"/>
      <c r="N250" s="131"/>
      <c r="O250" s="30"/>
      <c r="P250" s="29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133"/>
      <c r="L251" s="135"/>
      <c r="M251" s="19"/>
      <c r="N251" s="131"/>
      <c r="O251" s="30"/>
      <c r="P251" s="29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133"/>
      <c r="L252" s="135"/>
      <c r="M252" s="19"/>
      <c r="N252" s="131"/>
      <c r="O252" s="30"/>
      <c r="P252" s="29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133"/>
      <c r="L253" s="135"/>
      <c r="M253" s="19"/>
      <c r="N253" s="131"/>
      <c r="O253" s="30"/>
      <c r="P253" s="29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133"/>
      <c r="L254" s="135"/>
      <c r="M254" s="19"/>
      <c r="N254" s="131"/>
      <c r="O254" s="30"/>
      <c r="P254" s="29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133"/>
      <c r="L255" s="135"/>
      <c r="M255" s="19"/>
      <c r="N255" s="131"/>
      <c r="O255" s="30"/>
      <c r="P255" s="29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133"/>
      <c r="L256" s="135"/>
      <c r="M256" s="19"/>
      <c r="N256" s="131"/>
      <c r="O256" s="30"/>
      <c r="P256" s="29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133"/>
      <c r="L257" s="135"/>
      <c r="M257" s="19"/>
      <c r="N257" s="131"/>
      <c r="O257" s="30"/>
      <c r="P257" s="29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133"/>
      <c r="L258" s="135"/>
      <c r="M258" s="19"/>
      <c r="N258" s="131"/>
      <c r="O258" s="30"/>
      <c r="P258" s="29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133"/>
      <c r="L259" s="135"/>
      <c r="M259" s="19"/>
      <c r="N259" s="131"/>
      <c r="O259" s="30"/>
      <c r="P259" s="29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133"/>
      <c r="L260" s="135"/>
      <c r="M260" s="19"/>
      <c r="N260" s="131"/>
      <c r="O260" s="30"/>
      <c r="P260" s="29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133"/>
      <c r="L261" s="135"/>
      <c r="M261" s="19"/>
      <c r="N261" s="131"/>
      <c r="O261" s="30"/>
      <c r="P261" s="29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133"/>
      <c r="L262" s="135"/>
      <c r="M262" s="19"/>
      <c r="N262" s="131"/>
      <c r="O262" s="30"/>
      <c r="P262" s="29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133"/>
      <c r="L263" s="135"/>
      <c r="M263" s="19"/>
      <c r="N263" s="131"/>
      <c r="O263" s="30"/>
      <c r="P263" s="2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133"/>
      <c r="L264" s="135"/>
      <c r="M264" s="19"/>
      <c r="N264" s="131"/>
      <c r="O264" s="30"/>
      <c r="P264" s="29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133"/>
      <c r="L265" s="135"/>
      <c r="M265" s="19"/>
      <c r="N265" s="131"/>
      <c r="O265" s="30"/>
      <c r="P265" s="29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133"/>
      <c r="L266" s="135"/>
      <c r="M266" s="19"/>
      <c r="N266" s="131"/>
      <c r="O266" s="30"/>
      <c r="P266" s="29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133"/>
      <c r="L267" s="135"/>
      <c r="M267" s="19"/>
      <c r="N267" s="131"/>
      <c r="O267" s="30"/>
      <c r="P267" s="29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133"/>
      <c r="L268" s="135"/>
      <c r="M268" s="19"/>
      <c r="N268" s="131"/>
      <c r="O268" s="30"/>
      <c r="P268" s="29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133"/>
      <c r="L269" s="135"/>
      <c r="M269" s="19"/>
      <c r="N269" s="131"/>
      <c r="O269" s="30"/>
      <c r="P269" s="29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133"/>
      <c r="L270" s="135"/>
      <c r="M270" s="19"/>
      <c r="N270" s="131"/>
      <c r="O270" s="30"/>
      <c r="P270" s="29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133"/>
      <c r="L271" s="135"/>
      <c r="M271" s="19"/>
      <c r="N271" s="131"/>
      <c r="O271" s="30"/>
      <c r="P271" s="29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133"/>
      <c r="L272" s="135"/>
      <c r="M272" s="19"/>
      <c r="N272" s="131"/>
      <c r="O272" s="30"/>
      <c r="P272" s="29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133"/>
      <c r="L273" s="135"/>
      <c r="M273" s="19"/>
      <c r="N273" s="131"/>
      <c r="O273" s="30"/>
      <c r="P273" s="29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133"/>
      <c r="L274" s="135"/>
      <c r="M274" s="19"/>
      <c r="N274" s="131"/>
      <c r="O274" s="30"/>
      <c r="P274" s="29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133"/>
      <c r="L275" s="135"/>
      <c r="M275" s="19"/>
      <c r="N275" s="131"/>
      <c r="O275" s="30"/>
      <c r="P275" s="29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133"/>
      <c r="L276" s="135"/>
      <c r="M276" s="19"/>
      <c r="N276" s="131"/>
      <c r="O276" s="30"/>
      <c r="P276" s="29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133"/>
      <c r="L277" s="135"/>
      <c r="M277" s="19"/>
      <c r="N277" s="131"/>
      <c r="O277" s="30"/>
      <c r="P277" s="29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133"/>
      <c r="L278" s="135"/>
      <c r="M278" s="19"/>
      <c r="N278" s="131"/>
      <c r="O278" s="30"/>
      <c r="P278" s="29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133"/>
      <c r="L279" s="135"/>
      <c r="M279" s="19"/>
      <c r="N279" s="131"/>
      <c r="O279" s="30"/>
      <c r="P279" s="29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133"/>
      <c r="L280" s="135"/>
      <c r="M280" s="19"/>
      <c r="N280" s="131"/>
      <c r="O280" s="30"/>
      <c r="P280" s="29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133"/>
      <c r="L281" s="135"/>
      <c r="M281" s="19"/>
      <c r="N281" s="131"/>
      <c r="O281" s="30"/>
      <c r="P281" s="29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133"/>
      <c r="L282" s="135"/>
      <c r="M282" s="19"/>
      <c r="N282" s="131"/>
      <c r="O282" s="30"/>
      <c r="P282" s="29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133"/>
      <c r="L283" s="135"/>
      <c r="M283" s="19"/>
      <c r="N283" s="131"/>
      <c r="O283" s="30"/>
      <c r="P283" s="29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133"/>
      <c r="L284" s="135"/>
      <c r="M284" s="19"/>
      <c r="N284" s="131"/>
      <c r="O284" s="30"/>
      <c r="P284" s="29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133"/>
      <c r="L285" s="135"/>
      <c r="M285" s="19"/>
      <c r="N285" s="131"/>
      <c r="O285" s="30"/>
      <c r="P285" s="29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133"/>
      <c r="L286" s="135"/>
      <c r="M286" s="19"/>
      <c r="N286" s="131"/>
      <c r="O286" s="30"/>
      <c r="P286" s="29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133"/>
      <c r="L287" s="135"/>
      <c r="M287" s="19"/>
      <c r="N287" s="131"/>
      <c r="O287" s="30"/>
      <c r="P287" s="29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133"/>
      <c r="L288" s="135"/>
      <c r="M288" s="19"/>
      <c r="N288" s="131"/>
      <c r="O288" s="30"/>
      <c r="P288" s="29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133"/>
      <c r="L289" s="135"/>
      <c r="M289" s="19"/>
      <c r="N289" s="131"/>
      <c r="O289" s="30"/>
      <c r="P289" s="29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133"/>
      <c r="L290" s="135"/>
      <c r="M290" s="19"/>
      <c r="N290" s="131"/>
      <c r="O290" s="30"/>
      <c r="P290" s="29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133"/>
      <c r="L291" s="135"/>
      <c r="M291" s="19"/>
      <c r="N291" s="131"/>
      <c r="O291" s="30"/>
      <c r="P291" s="29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133"/>
      <c r="L292" s="135"/>
      <c r="M292" s="19"/>
      <c r="N292" s="131"/>
      <c r="O292" s="30"/>
      <c r="P292" s="29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133"/>
      <c r="L293" s="135"/>
      <c r="M293" s="19"/>
      <c r="N293" s="131"/>
      <c r="O293" s="30"/>
      <c r="P293" s="29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133"/>
      <c r="L294" s="135"/>
      <c r="M294" s="19"/>
      <c r="N294" s="131"/>
      <c r="O294" s="30"/>
      <c r="P294" s="29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133"/>
      <c r="L295" s="135"/>
      <c r="M295" s="19"/>
      <c r="N295" s="131"/>
      <c r="O295" s="30"/>
      <c r="P295" s="29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133"/>
      <c r="L296" s="135"/>
      <c r="M296" s="19"/>
      <c r="N296" s="131"/>
      <c r="O296" s="30"/>
      <c r="P296" s="29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133"/>
      <c r="L297" s="135"/>
      <c r="M297" s="19"/>
      <c r="N297" s="131"/>
      <c r="O297" s="30"/>
      <c r="P297" s="29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133"/>
      <c r="L298" s="135"/>
      <c r="M298" s="19"/>
      <c r="N298" s="131"/>
      <c r="O298" s="30"/>
      <c r="P298" s="29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133"/>
      <c r="L299" s="135"/>
      <c r="M299" s="19"/>
      <c r="N299" s="131"/>
      <c r="O299" s="30"/>
      <c r="P299" s="29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133"/>
      <c r="L300" s="135"/>
      <c r="M300" s="19"/>
      <c r="N300" s="131"/>
      <c r="O300" s="30"/>
      <c r="P300" s="29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133"/>
      <c r="L301" s="135"/>
      <c r="M301" s="19"/>
      <c r="N301" s="131"/>
      <c r="O301" s="30"/>
      <c r="P301" s="29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133"/>
      <c r="L302" s="135"/>
      <c r="M302" s="19"/>
      <c r="N302" s="131"/>
      <c r="O302" s="30"/>
      <c r="P302" s="29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133"/>
      <c r="L303" s="135"/>
      <c r="M303" s="19"/>
      <c r="N303" s="131"/>
      <c r="O303" s="30"/>
      <c r="P303" s="29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133"/>
      <c r="L304" s="135"/>
      <c r="M304" s="19"/>
      <c r="N304" s="131"/>
      <c r="O304" s="30"/>
      <c r="P304" s="29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133"/>
      <c r="L305" s="135"/>
      <c r="M305" s="19"/>
      <c r="N305" s="131"/>
      <c r="O305" s="30"/>
      <c r="P305" s="29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133"/>
      <c r="L306" s="135"/>
      <c r="M306" s="19"/>
      <c r="N306" s="131"/>
      <c r="O306" s="30"/>
      <c r="P306" s="29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133"/>
      <c r="L307" s="135"/>
      <c r="M307" s="19"/>
      <c r="N307" s="131"/>
      <c r="O307" s="30"/>
      <c r="P307" s="29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133"/>
      <c r="L308" s="135"/>
      <c r="M308" s="19"/>
      <c r="N308" s="131"/>
      <c r="O308" s="30"/>
      <c r="P308" s="29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133"/>
      <c r="L309" s="135"/>
      <c r="M309" s="19"/>
      <c r="N309" s="131"/>
      <c r="O309" s="30"/>
      <c r="P309" s="29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133"/>
      <c r="L310" s="135"/>
      <c r="M310" s="19"/>
      <c r="N310" s="131"/>
      <c r="O310" s="30"/>
      <c r="P310" s="29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133"/>
      <c r="L311" s="135"/>
      <c r="M311" s="19"/>
      <c r="N311" s="131"/>
      <c r="O311" s="30"/>
      <c r="P311" s="29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133"/>
      <c r="L312" s="135"/>
      <c r="M312" s="19"/>
      <c r="N312" s="131"/>
      <c r="O312" s="30"/>
      <c r="P312" s="29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133"/>
      <c r="L313" s="135"/>
      <c r="M313" s="19"/>
      <c r="N313" s="131"/>
      <c r="O313" s="30"/>
      <c r="P313" s="29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133"/>
      <c r="L314" s="135"/>
      <c r="M314" s="19"/>
      <c r="N314" s="131"/>
      <c r="O314" s="30"/>
      <c r="P314" s="29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133"/>
      <c r="L315" s="135"/>
      <c r="M315" s="19"/>
      <c r="N315" s="131"/>
      <c r="O315" s="30"/>
      <c r="P315" s="29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133"/>
      <c r="L316" s="135"/>
      <c r="M316" s="19"/>
      <c r="N316" s="131"/>
      <c r="O316" s="30"/>
      <c r="P316" s="29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133"/>
      <c r="L317" s="135"/>
      <c r="M317" s="19"/>
      <c r="N317" s="131"/>
      <c r="O317" s="30"/>
      <c r="P317" s="29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133"/>
      <c r="L318" s="135"/>
      <c r="M318" s="19"/>
      <c r="N318" s="131"/>
      <c r="O318" s="30"/>
      <c r="P318" s="29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133"/>
      <c r="L319" s="135"/>
      <c r="M319" s="19"/>
      <c r="N319" s="131"/>
      <c r="O319" s="30"/>
      <c r="P319" s="29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133"/>
      <c r="L320" s="135"/>
      <c r="M320" s="19"/>
      <c r="N320" s="131"/>
      <c r="O320" s="30"/>
      <c r="P320" s="29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133"/>
      <c r="L321" s="135"/>
      <c r="M321" s="19"/>
      <c r="N321" s="131"/>
      <c r="O321" s="30"/>
      <c r="P321" s="29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133"/>
      <c r="L322" s="135"/>
      <c r="M322" s="19"/>
      <c r="N322" s="131"/>
      <c r="O322" s="30"/>
      <c r="P322" s="29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133"/>
      <c r="L323" s="135"/>
      <c r="M323" s="19"/>
      <c r="N323" s="131"/>
      <c r="O323" s="30"/>
      <c r="P323" s="29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133"/>
      <c r="L324" s="135"/>
      <c r="M324" s="19"/>
      <c r="N324" s="131"/>
      <c r="O324" s="30"/>
      <c r="P324" s="29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133"/>
      <c r="L325" s="135"/>
      <c r="M325" s="19"/>
      <c r="N325" s="131"/>
      <c r="O325" s="30"/>
      <c r="P325" s="29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133"/>
      <c r="L326" s="135"/>
      <c r="M326" s="19"/>
      <c r="N326" s="131"/>
      <c r="O326" s="30"/>
      <c r="P326" s="29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133"/>
      <c r="L327" s="135"/>
      <c r="M327" s="19"/>
      <c r="N327" s="131"/>
      <c r="O327" s="30"/>
      <c r="P327" s="29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133"/>
      <c r="L328" s="135"/>
      <c r="M328" s="19"/>
      <c r="N328" s="131"/>
      <c r="O328" s="30"/>
      <c r="P328" s="29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133"/>
      <c r="L329" s="135"/>
      <c r="M329" s="19"/>
      <c r="N329" s="131"/>
      <c r="O329" s="30"/>
      <c r="P329" s="29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133"/>
      <c r="L330" s="135"/>
      <c r="M330" s="19"/>
      <c r="N330" s="131"/>
      <c r="O330" s="30"/>
      <c r="P330" s="29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133"/>
      <c r="L331" s="135"/>
      <c r="M331" s="19"/>
      <c r="N331" s="131"/>
      <c r="O331" s="30"/>
      <c r="P331" s="29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133"/>
      <c r="L332" s="135"/>
      <c r="M332" s="19"/>
      <c r="N332" s="131"/>
      <c r="O332" s="30"/>
      <c r="P332" s="29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133"/>
      <c r="L333" s="135"/>
      <c r="M333" s="19"/>
      <c r="N333" s="131"/>
      <c r="O333" s="30"/>
      <c r="P333" s="29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133"/>
      <c r="L334" s="135"/>
      <c r="M334" s="19"/>
      <c r="N334" s="131"/>
      <c r="O334" s="30"/>
      <c r="P334" s="29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133"/>
      <c r="L335" s="135"/>
      <c r="M335" s="19"/>
      <c r="N335" s="131"/>
      <c r="O335" s="30"/>
      <c r="P335" s="29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133"/>
      <c r="L336" s="135"/>
      <c r="M336" s="19"/>
      <c r="N336" s="131"/>
      <c r="O336" s="30"/>
      <c r="P336" s="29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133"/>
      <c r="L337" s="135"/>
      <c r="M337" s="19"/>
      <c r="N337" s="131"/>
      <c r="O337" s="30"/>
      <c r="P337" s="29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133"/>
      <c r="L338" s="135"/>
      <c r="M338" s="19"/>
      <c r="N338" s="131"/>
      <c r="O338" s="30"/>
      <c r="P338" s="29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133"/>
      <c r="L339" s="135"/>
      <c r="M339" s="19"/>
      <c r="N339" s="131"/>
      <c r="O339" s="30"/>
      <c r="P339" s="29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133"/>
      <c r="L340" s="135"/>
      <c r="M340" s="19"/>
      <c r="N340" s="131"/>
      <c r="O340" s="30"/>
      <c r="P340" s="29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133"/>
      <c r="L341" s="135"/>
      <c r="M341" s="19"/>
      <c r="N341" s="131"/>
      <c r="O341" s="30"/>
      <c r="P341" s="29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133"/>
      <c r="L342" s="135"/>
      <c r="M342" s="19"/>
      <c r="N342" s="131"/>
      <c r="O342" s="30"/>
      <c r="P342" s="29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133"/>
      <c r="L343" s="135"/>
      <c r="M343" s="19"/>
      <c r="N343" s="131"/>
      <c r="O343" s="30"/>
      <c r="P343" s="29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133"/>
      <c r="L344" s="135"/>
      <c r="M344" s="19"/>
      <c r="N344" s="131"/>
      <c r="O344" s="30"/>
      <c r="P344" s="29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133"/>
      <c r="L345" s="135"/>
      <c r="M345" s="19"/>
      <c r="N345" s="131"/>
      <c r="O345" s="30"/>
      <c r="P345" s="29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133"/>
      <c r="L346" s="135"/>
      <c r="M346" s="19"/>
      <c r="N346" s="131"/>
      <c r="O346" s="30"/>
      <c r="P346" s="29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133"/>
      <c r="L347" s="135"/>
      <c r="M347" s="19"/>
      <c r="N347" s="131"/>
      <c r="O347" s="30"/>
      <c r="P347" s="29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133"/>
      <c r="L348" s="135"/>
      <c r="M348" s="19"/>
      <c r="N348" s="131"/>
      <c r="O348" s="30"/>
      <c r="P348" s="29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133"/>
      <c r="L349" s="135"/>
      <c r="M349" s="19"/>
      <c r="N349" s="131"/>
      <c r="O349" s="30"/>
      <c r="P349" s="29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133"/>
      <c r="L350" s="135"/>
      <c r="M350" s="19"/>
      <c r="N350" s="131"/>
      <c r="O350" s="30"/>
      <c r="P350" s="29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133"/>
      <c r="L351" s="135"/>
      <c r="M351" s="19"/>
      <c r="N351" s="131"/>
      <c r="O351" s="30"/>
      <c r="P351" s="29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133"/>
      <c r="L352" s="135"/>
      <c r="M352" s="19"/>
      <c r="N352" s="131"/>
      <c r="O352" s="30"/>
      <c r="P352" s="29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133"/>
      <c r="L353" s="135"/>
      <c r="M353" s="19"/>
      <c r="N353" s="131"/>
      <c r="O353" s="30"/>
      <c r="P353" s="29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133"/>
      <c r="L354" s="135"/>
      <c r="M354" s="19"/>
      <c r="N354" s="131"/>
      <c r="O354" s="30"/>
      <c r="P354" s="29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133"/>
      <c r="L355" s="135"/>
      <c r="M355" s="19"/>
      <c r="N355" s="131"/>
      <c r="O355" s="30"/>
      <c r="P355" s="29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133"/>
      <c r="L356" s="135"/>
      <c r="M356" s="19"/>
      <c r="N356" s="131"/>
      <c r="O356" s="30"/>
      <c r="P356" s="29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133"/>
      <c r="L357" s="135"/>
      <c r="M357" s="19"/>
      <c r="N357" s="131"/>
      <c r="O357" s="30"/>
      <c r="P357" s="29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133"/>
      <c r="L358" s="135"/>
      <c r="M358" s="19"/>
      <c r="N358" s="131"/>
      <c r="O358" s="30"/>
      <c r="P358" s="29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133"/>
      <c r="L359" s="135"/>
      <c r="M359" s="19"/>
      <c r="N359" s="131"/>
      <c r="O359" s="30"/>
      <c r="P359" s="29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133"/>
      <c r="L360" s="135"/>
      <c r="M360" s="19"/>
      <c r="N360" s="131"/>
      <c r="O360" s="30"/>
      <c r="P360" s="29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133"/>
      <c r="L361" s="135"/>
      <c r="M361" s="19"/>
      <c r="N361" s="131"/>
      <c r="O361" s="30"/>
      <c r="P361" s="29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133"/>
      <c r="L362" s="135"/>
      <c r="M362" s="19"/>
      <c r="N362" s="131"/>
      <c r="O362" s="30"/>
      <c r="P362" s="29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133"/>
      <c r="L363" s="135"/>
      <c r="M363" s="19"/>
      <c r="N363" s="131"/>
      <c r="O363" s="30"/>
      <c r="P363" s="29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133"/>
      <c r="L364" s="135"/>
      <c r="M364" s="19"/>
      <c r="N364" s="131"/>
      <c r="O364" s="30"/>
      <c r="P364" s="29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133"/>
      <c r="L365" s="135"/>
      <c r="M365" s="19"/>
      <c r="N365" s="131"/>
      <c r="O365" s="30"/>
      <c r="P365" s="29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133"/>
      <c r="L366" s="135"/>
      <c r="M366" s="19"/>
      <c r="N366" s="131"/>
      <c r="O366" s="30"/>
      <c r="P366" s="29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133"/>
      <c r="L367" s="135"/>
      <c r="M367" s="19"/>
      <c r="N367" s="131"/>
      <c r="O367" s="30"/>
      <c r="P367" s="29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133"/>
      <c r="L368" s="135"/>
      <c r="M368" s="19"/>
      <c r="N368" s="131"/>
      <c r="O368" s="30"/>
      <c r="P368" s="29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133"/>
      <c r="L369" s="135"/>
      <c r="M369" s="19"/>
      <c r="N369" s="131"/>
      <c r="O369" s="30"/>
      <c r="P369" s="29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133"/>
      <c r="L370" s="135"/>
      <c r="M370" s="19"/>
      <c r="N370" s="131"/>
      <c r="O370" s="30"/>
      <c r="P370" s="29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133"/>
      <c r="L371" s="135"/>
      <c r="M371" s="19"/>
      <c r="N371" s="131"/>
      <c r="O371" s="30"/>
      <c r="P371" s="29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133"/>
      <c r="L372" s="135"/>
      <c r="M372" s="19"/>
      <c r="N372" s="131"/>
      <c r="O372" s="30"/>
      <c r="P372" s="29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133"/>
      <c r="L373" s="135"/>
      <c r="M373" s="19"/>
      <c r="N373" s="131"/>
      <c r="O373" s="30"/>
      <c r="P373" s="29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133"/>
      <c r="L374" s="135"/>
      <c r="M374" s="19"/>
      <c r="N374" s="131"/>
      <c r="O374" s="30"/>
      <c r="P374" s="29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133"/>
      <c r="L375" s="135"/>
      <c r="M375" s="19"/>
      <c r="N375" s="131"/>
      <c r="O375" s="30"/>
      <c r="P375" s="29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133"/>
      <c r="L376" s="135"/>
      <c r="M376" s="19"/>
      <c r="N376" s="131"/>
      <c r="O376" s="30"/>
      <c r="P376" s="29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133"/>
      <c r="L377" s="135"/>
      <c r="M377" s="19"/>
      <c r="N377" s="131"/>
      <c r="O377" s="30"/>
      <c r="P377" s="29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133"/>
      <c r="L378" s="135"/>
      <c r="M378" s="19"/>
      <c r="N378" s="131"/>
      <c r="O378" s="30"/>
      <c r="P378" s="29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133"/>
      <c r="L379" s="135"/>
      <c r="M379" s="19"/>
      <c r="N379" s="131"/>
      <c r="O379" s="30"/>
      <c r="P379" s="29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133"/>
      <c r="L380" s="135"/>
      <c r="M380" s="19"/>
      <c r="N380" s="131"/>
      <c r="O380" s="30"/>
      <c r="P380" s="29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133"/>
      <c r="L381" s="135"/>
      <c r="M381" s="19"/>
      <c r="N381" s="131"/>
      <c r="O381" s="30"/>
      <c r="P381" s="29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133"/>
      <c r="L382" s="135"/>
      <c r="M382" s="19"/>
      <c r="N382" s="131"/>
      <c r="O382" s="30"/>
      <c r="P382" s="29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133"/>
      <c r="L383" s="135"/>
      <c r="M383" s="19"/>
      <c r="N383" s="131"/>
      <c r="O383" s="30"/>
      <c r="P383" s="29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133"/>
      <c r="L384" s="135"/>
      <c r="M384" s="19"/>
      <c r="N384" s="131"/>
      <c r="O384" s="30"/>
      <c r="P384" s="29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133"/>
      <c r="L385" s="135"/>
      <c r="M385" s="19"/>
      <c r="N385" s="131"/>
      <c r="O385" s="30"/>
      <c r="P385" s="29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133"/>
      <c r="L386" s="135"/>
      <c r="M386" s="19"/>
      <c r="N386" s="131"/>
      <c r="O386" s="30"/>
      <c r="P386" s="29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133"/>
      <c r="L387" s="135"/>
      <c r="M387" s="19"/>
      <c r="N387" s="131"/>
      <c r="O387" s="30"/>
      <c r="P387" s="29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133"/>
      <c r="L388" s="135"/>
      <c r="M388" s="19"/>
      <c r="N388" s="131"/>
      <c r="O388" s="30"/>
      <c r="P388" s="29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133"/>
      <c r="L389" s="135"/>
      <c r="M389" s="19"/>
      <c r="N389" s="131"/>
      <c r="O389" s="30"/>
      <c r="P389" s="29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133"/>
      <c r="L390" s="135"/>
      <c r="M390" s="19"/>
      <c r="N390" s="131"/>
      <c r="O390" s="30"/>
      <c r="P390" s="29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133"/>
      <c r="L391" s="135"/>
      <c r="M391" s="19"/>
      <c r="N391" s="131"/>
      <c r="O391" s="30"/>
      <c r="P391" s="29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133"/>
      <c r="L392" s="135"/>
      <c r="M392" s="19"/>
      <c r="N392" s="131"/>
      <c r="O392" s="30"/>
      <c r="P392" s="29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133"/>
      <c r="L393" s="135"/>
      <c r="M393" s="19"/>
      <c r="N393" s="131"/>
      <c r="O393" s="30"/>
      <c r="P393" s="29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133"/>
      <c r="L394" s="135"/>
      <c r="M394" s="19"/>
      <c r="N394" s="131"/>
      <c r="O394" s="30"/>
      <c r="P394" s="29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133"/>
      <c r="L395" s="135"/>
      <c r="M395" s="19"/>
      <c r="N395" s="131"/>
      <c r="O395" s="30"/>
      <c r="P395" s="29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133"/>
      <c r="L396" s="135"/>
      <c r="M396" s="19"/>
      <c r="N396" s="131"/>
      <c r="O396" s="30"/>
      <c r="P396" s="29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133"/>
      <c r="L397" s="135"/>
      <c r="M397" s="19"/>
      <c r="N397" s="131"/>
      <c r="O397" s="30"/>
      <c r="P397" s="29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133"/>
      <c r="L398" s="135"/>
      <c r="M398" s="19"/>
      <c r="N398" s="131"/>
      <c r="O398" s="30"/>
      <c r="P398" s="29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133"/>
      <c r="L399" s="135"/>
      <c r="M399" s="19"/>
      <c r="N399" s="131"/>
      <c r="O399" s="30"/>
      <c r="P399" s="29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133"/>
      <c r="L400" s="135"/>
      <c r="M400" s="19"/>
      <c r="N400" s="131"/>
      <c r="O400" s="30"/>
      <c r="P400" s="29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133"/>
      <c r="L401" s="135"/>
      <c r="M401" s="19"/>
      <c r="N401" s="131"/>
      <c r="O401" s="30"/>
      <c r="P401" s="29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133"/>
      <c r="L402" s="135"/>
      <c r="M402" s="19"/>
      <c r="N402" s="131"/>
      <c r="O402" s="30"/>
      <c r="P402" s="29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133"/>
      <c r="L403" s="135"/>
      <c r="M403" s="19"/>
      <c r="N403" s="131"/>
      <c r="O403" s="30"/>
      <c r="P403" s="29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133"/>
      <c r="L404" s="135"/>
      <c r="M404" s="19"/>
      <c r="N404" s="131"/>
      <c r="O404" s="30"/>
      <c r="P404" s="29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133"/>
      <c r="L405" s="135"/>
      <c r="M405" s="19"/>
      <c r="N405" s="131"/>
      <c r="O405" s="30"/>
      <c r="P405" s="29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133"/>
      <c r="L406" s="135"/>
      <c r="M406" s="19"/>
      <c r="N406" s="131"/>
      <c r="O406" s="30"/>
      <c r="P406" s="29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133"/>
      <c r="L407" s="135"/>
      <c r="M407" s="19"/>
      <c r="N407" s="131"/>
      <c r="O407" s="30"/>
      <c r="P407" s="29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133"/>
      <c r="L408" s="135"/>
      <c r="M408" s="19"/>
      <c r="N408" s="131"/>
      <c r="O408" s="30"/>
      <c r="P408" s="29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133"/>
      <c r="L409" s="135"/>
      <c r="M409" s="19"/>
      <c r="N409" s="131"/>
      <c r="O409" s="30"/>
      <c r="P409" s="29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133"/>
      <c r="L410" s="135"/>
      <c r="M410" s="19"/>
      <c r="N410" s="131"/>
      <c r="O410" s="30"/>
      <c r="P410" s="29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133"/>
      <c r="L411" s="135"/>
      <c r="M411" s="19"/>
      <c r="N411" s="131"/>
      <c r="O411" s="30"/>
      <c r="P411" s="29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133"/>
      <c r="L412" s="135"/>
      <c r="M412" s="19"/>
      <c r="N412" s="131"/>
      <c r="O412" s="30"/>
      <c r="P412" s="29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133"/>
      <c r="L413" s="135"/>
      <c r="M413" s="19"/>
      <c r="N413" s="131"/>
      <c r="O413" s="30"/>
      <c r="P413" s="29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133"/>
      <c r="L414" s="135"/>
      <c r="M414" s="19"/>
      <c r="N414" s="131"/>
      <c r="O414" s="30"/>
      <c r="P414" s="29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133"/>
      <c r="L415" s="135"/>
      <c r="M415" s="19"/>
      <c r="N415" s="131"/>
      <c r="O415" s="30"/>
      <c r="P415" s="29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133"/>
      <c r="L416" s="135"/>
      <c r="M416" s="19"/>
      <c r="N416" s="131"/>
      <c r="O416" s="30"/>
      <c r="P416" s="29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133"/>
      <c r="L417" s="135"/>
      <c r="M417" s="19"/>
      <c r="N417" s="131"/>
      <c r="O417" s="30"/>
      <c r="P417" s="29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5"/>
      <c r="M418" s="19"/>
      <c r="N418" s="131"/>
      <c r="O418" s="30"/>
      <c r="P418" s="29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135"/>
      <c r="M419" s="19"/>
      <c r="N419" s="131"/>
      <c r="O419" s="30"/>
      <c r="P419" s="29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135"/>
      <c r="M420" s="19"/>
      <c r="N420" s="131"/>
      <c r="O420" s="30"/>
      <c r="P420" s="29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135"/>
      <c r="M421" s="19"/>
      <c r="N421" s="131"/>
      <c r="O421" s="30"/>
      <c r="P421" s="29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135"/>
      <c r="M422" s="19"/>
      <c r="N422" s="131"/>
      <c r="O422" s="30"/>
      <c r="P422" s="29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135"/>
      <c r="M423" s="19"/>
      <c r="N423" s="131"/>
      <c r="O423" s="30"/>
      <c r="P423" s="29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135"/>
      <c r="M424" s="19"/>
      <c r="N424" s="131"/>
      <c r="O424" s="30"/>
      <c r="P424" s="29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135"/>
      <c r="M425" s="19"/>
      <c r="N425" s="131"/>
      <c r="O425" s="30"/>
      <c r="P425" s="29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135"/>
      <c r="M426" s="19"/>
      <c r="N426" s="131"/>
      <c r="O426" s="30"/>
      <c r="P426" s="29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135"/>
      <c r="M427" s="19"/>
      <c r="N427" s="131"/>
      <c r="O427" s="30"/>
      <c r="P427" s="29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135"/>
      <c r="M428" s="19"/>
      <c r="N428" s="131"/>
      <c r="O428" s="30"/>
      <c r="P428" s="29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135"/>
      <c r="M429" s="19"/>
      <c r="N429" s="131"/>
      <c r="O429" s="30"/>
      <c r="P429" s="29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135"/>
      <c r="M430" s="19"/>
      <c r="N430" s="131"/>
      <c r="O430" s="30"/>
      <c r="P430" s="29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135"/>
      <c r="M431" s="19"/>
      <c r="N431" s="131"/>
      <c r="O431" s="30"/>
      <c r="P431" s="29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135"/>
      <c r="M432" s="19"/>
      <c r="N432" s="131"/>
      <c r="O432" s="30"/>
      <c r="P432" s="29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135"/>
      <c r="M433" s="19"/>
      <c r="N433" s="131"/>
      <c r="O433" s="30"/>
      <c r="P433" s="29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135"/>
      <c r="M434" s="19"/>
      <c r="N434" s="131"/>
      <c r="O434" s="30"/>
      <c r="P434" s="29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135"/>
      <c r="M435" s="19"/>
      <c r="N435" s="131"/>
      <c r="O435" s="30"/>
      <c r="P435" s="29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135"/>
      <c r="M436" s="19"/>
      <c r="N436" s="131"/>
      <c r="O436" s="30"/>
      <c r="P436" s="29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135"/>
      <c r="M437" s="19"/>
      <c r="N437" s="131"/>
      <c r="O437" s="30"/>
      <c r="P437" s="29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135"/>
      <c r="M438" s="19"/>
      <c r="N438" s="131"/>
      <c r="O438" s="30"/>
      <c r="P438" s="29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135"/>
      <c r="M439" s="19"/>
      <c r="N439" s="131"/>
      <c r="O439" s="30"/>
      <c r="P439" s="29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135"/>
      <c r="M440" s="19"/>
      <c r="N440" s="131"/>
      <c r="O440" s="30"/>
      <c r="P440" s="29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135"/>
      <c r="M441" s="19"/>
      <c r="N441" s="131"/>
      <c r="O441" s="30"/>
      <c r="P441" s="29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135"/>
      <c r="M442" s="19"/>
      <c r="N442" s="131"/>
      <c r="O442" s="30"/>
      <c r="P442" s="29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135"/>
      <c r="M443" s="19"/>
      <c r="N443" s="131"/>
      <c r="O443" s="30"/>
      <c r="P443" s="29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135"/>
      <c r="M444" s="19"/>
      <c r="N444" s="131"/>
      <c r="O444" s="30"/>
      <c r="P444" s="29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135"/>
      <c r="M445" s="19"/>
      <c r="N445" s="131"/>
      <c r="O445" s="30"/>
      <c r="P445" s="29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135"/>
      <c r="M446" s="19"/>
      <c r="N446" s="131"/>
      <c r="O446" s="30"/>
      <c r="P446" s="29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135"/>
      <c r="M447" s="19"/>
      <c r="N447" s="131"/>
      <c r="O447" s="30"/>
      <c r="P447" s="29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135"/>
      <c r="M448" s="19"/>
      <c r="N448" s="131"/>
      <c r="O448" s="30"/>
      <c r="P448" s="29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135"/>
      <c r="M449" s="19"/>
      <c r="N449" s="131"/>
      <c r="O449" s="30"/>
      <c r="P449" s="29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135"/>
      <c r="M450" s="19"/>
      <c r="N450" s="131"/>
      <c r="O450" s="30"/>
      <c r="P450" s="29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135"/>
      <c r="M451" s="19"/>
      <c r="N451" s="131"/>
      <c r="O451" s="30"/>
      <c r="P451" s="29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135"/>
      <c r="M452" s="19"/>
      <c r="N452" s="131"/>
      <c r="O452" s="30"/>
      <c r="P452" s="29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135"/>
      <c r="M453" s="19"/>
      <c r="N453" s="131"/>
      <c r="O453" s="30"/>
      <c r="P453" s="29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135"/>
      <c r="M454" s="19"/>
      <c r="N454" s="131"/>
      <c r="O454" s="30"/>
      <c r="P454" s="29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135"/>
      <c r="M455" s="19"/>
      <c r="N455" s="131"/>
      <c r="O455" s="30"/>
      <c r="P455" s="29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135"/>
      <c r="M456" s="19"/>
      <c r="N456" s="131"/>
      <c r="O456" s="30"/>
      <c r="P456" s="29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135"/>
      <c r="M457" s="19"/>
      <c r="N457" s="131"/>
      <c r="O457" s="30"/>
      <c r="P457" s="29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135"/>
      <c r="M458" s="19"/>
      <c r="N458" s="131"/>
      <c r="O458" s="30"/>
      <c r="P458" s="29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135"/>
      <c r="M459" s="19"/>
      <c r="N459" s="131"/>
      <c r="O459" s="30"/>
      <c r="P459" s="29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135"/>
      <c r="M460" s="19"/>
      <c r="N460" s="131"/>
      <c r="O460" s="30"/>
      <c r="P460" s="29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135"/>
      <c r="M461" s="19"/>
      <c r="N461" s="131"/>
      <c r="O461" s="30"/>
      <c r="P461" s="29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135"/>
      <c r="M462" s="19"/>
      <c r="N462" s="131"/>
      <c r="O462" s="30"/>
      <c r="P462" s="29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135"/>
      <c r="M463" s="19"/>
      <c r="N463" s="131"/>
      <c r="O463" s="30"/>
      <c r="P463" s="29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135"/>
      <c r="M464" s="19"/>
      <c r="N464" s="131"/>
      <c r="O464" s="30"/>
      <c r="P464" s="29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135"/>
      <c r="M465" s="19"/>
      <c r="N465" s="131"/>
      <c r="O465" s="30"/>
      <c r="P465" s="29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135"/>
      <c r="M466" s="19"/>
      <c r="N466" s="131"/>
      <c r="O466" s="30"/>
      <c r="P466" s="29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135"/>
      <c r="M467" s="19"/>
      <c r="N467" s="131"/>
      <c r="O467" s="30"/>
      <c r="P467" s="29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135"/>
      <c r="M468" s="19"/>
      <c r="N468" s="131"/>
      <c r="O468" s="30"/>
      <c r="P468" s="29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135"/>
      <c r="M469" s="19"/>
      <c r="N469" s="131"/>
      <c r="O469" s="30"/>
      <c r="P469" s="29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135"/>
      <c r="M470" s="19"/>
      <c r="N470" s="131"/>
      <c r="O470" s="30"/>
      <c r="P470" s="29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135"/>
      <c r="M471" s="19"/>
      <c r="N471" s="131"/>
      <c r="O471" s="30"/>
      <c r="P471" s="29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135"/>
      <c r="M472" s="19"/>
      <c r="N472" s="131"/>
      <c r="O472" s="30"/>
      <c r="P472" s="29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135"/>
      <c r="M473" s="19"/>
      <c r="N473" s="131"/>
      <c r="O473" s="30"/>
      <c r="P473" s="29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135"/>
      <c r="M474" s="19"/>
      <c r="N474" s="131"/>
      <c r="O474" s="30"/>
      <c r="P474" s="29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135"/>
      <c r="M475" s="19"/>
      <c r="N475" s="131"/>
      <c r="O475" s="30"/>
      <c r="P475" s="29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135"/>
      <c r="M476" s="19"/>
      <c r="N476" s="131"/>
      <c r="O476" s="30"/>
      <c r="P476" s="29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135"/>
      <c r="M477" s="19"/>
      <c r="N477" s="131"/>
      <c r="O477" s="30"/>
      <c r="P477" s="29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135"/>
      <c r="M478" s="19"/>
      <c r="N478" s="131"/>
      <c r="O478" s="30"/>
      <c r="P478" s="29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135"/>
      <c r="M479" s="19"/>
      <c r="N479" s="131"/>
      <c r="O479" s="30"/>
      <c r="P479" s="29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135"/>
      <c r="M480" s="19"/>
      <c r="N480" s="131"/>
      <c r="O480" s="30"/>
      <c r="P480" s="29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135"/>
      <c r="M481" s="19"/>
      <c r="N481" s="131"/>
      <c r="O481" s="30"/>
      <c r="P481" s="29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135"/>
      <c r="M482" s="19"/>
      <c r="N482" s="131"/>
      <c r="O482" s="30"/>
      <c r="P482" s="29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135"/>
      <c r="M483" s="19"/>
      <c r="N483" s="131"/>
      <c r="O483" s="30"/>
      <c r="P483" s="29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135"/>
      <c r="M484" s="19"/>
      <c r="N484" s="131"/>
      <c r="O484" s="30"/>
      <c r="P484" s="29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135"/>
      <c r="M485" s="19"/>
      <c r="N485" s="131"/>
      <c r="O485" s="30"/>
      <c r="P485" s="29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135"/>
      <c r="M486" s="19"/>
      <c r="N486" s="131"/>
      <c r="O486" s="30"/>
      <c r="P486" s="29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135"/>
      <c r="M487" s="19"/>
      <c r="N487" s="131"/>
      <c r="O487" s="30"/>
      <c r="P487" s="29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135"/>
      <c r="M488" s="19"/>
      <c r="N488" s="131"/>
      <c r="O488" s="30"/>
      <c r="P488" s="29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135"/>
      <c r="M489" s="19"/>
      <c r="N489" s="131"/>
      <c r="O489" s="30"/>
      <c r="P489" s="29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135"/>
      <c r="M490" s="19"/>
      <c r="N490" s="131"/>
      <c r="O490" s="30"/>
      <c r="P490" s="29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135"/>
      <c r="M491" s="19"/>
      <c r="N491" s="131"/>
      <c r="O491" s="30"/>
      <c r="P491" s="29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135"/>
      <c r="M492" s="19"/>
      <c r="N492" s="131"/>
      <c r="O492" s="30"/>
      <c r="P492" s="29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135"/>
      <c r="M493" s="19"/>
      <c r="N493" s="131"/>
      <c r="O493" s="30"/>
      <c r="P493" s="29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135"/>
      <c r="M494" s="19"/>
      <c r="N494" s="131"/>
      <c r="O494" s="30"/>
      <c r="P494" s="29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135"/>
      <c r="M495" s="19"/>
      <c r="N495" s="131"/>
      <c r="O495" s="30"/>
      <c r="P495" s="29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135"/>
      <c r="M496" s="19"/>
      <c r="N496" s="131"/>
      <c r="O496" s="30"/>
      <c r="P496" s="29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135"/>
      <c r="M497" s="19"/>
      <c r="N497" s="131"/>
      <c r="O497" s="30"/>
      <c r="P497" s="29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135"/>
      <c r="M498" s="19"/>
      <c r="N498" s="131"/>
      <c r="O498" s="30"/>
      <c r="P498" s="29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135"/>
      <c r="M499" s="19"/>
      <c r="N499" s="131"/>
      <c r="O499" s="30"/>
      <c r="P499" s="29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135"/>
      <c r="M500" s="19"/>
      <c r="N500" s="131"/>
      <c r="O500" s="30"/>
      <c r="P500" s="29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135"/>
      <c r="M501" s="19"/>
      <c r="N501" s="131"/>
      <c r="O501" s="30"/>
      <c r="P501" s="29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135"/>
      <c r="M502" s="19"/>
      <c r="N502" s="131"/>
      <c r="O502" s="30"/>
      <c r="P502" s="29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135"/>
      <c r="M503" s="19"/>
      <c r="N503" s="131"/>
      <c r="O503" s="30"/>
      <c r="P503" s="29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135"/>
      <c r="M504" s="19"/>
      <c r="N504" s="131"/>
      <c r="O504" s="30"/>
      <c r="P504" s="29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135"/>
      <c r="M505" s="19"/>
      <c r="N505" s="131"/>
      <c r="O505" s="30"/>
      <c r="P505" s="29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135"/>
      <c r="M506" s="19"/>
      <c r="N506" s="131"/>
      <c r="O506" s="30"/>
      <c r="P506" s="29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135"/>
      <c r="M507" s="19"/>
      <c r="N507" s="131"/>
      <c r="O507" s="30"/>
      <c r="P507" s="29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135"/>
      <c r="M508" s="19"/>
      <c r="N508" s="131"/>
      <c r="O508" s="30"/>
      <c r="P508" s="29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135"/>
      <c r="M509" s="19"/>
      <c r="N509" s="131"/>
      <c r="O509" s="30"/>
      <c r="P509" s="29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135"/>
      <c r="M510" s="19"/>
      <c r="N510" s="131"/>
      <c r="O510" s="30"/>
      <c r="P510" s="29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135"/>
      <c r="M511" s="19"/>
      <c r="N511" s="131"/>
      <c r="O511" s="30"/>
      <c r="P511" s="29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135"/>
      <c r="M512" s="19"/>
      <c r="N512" s="131"/>
      <c r="O512" s="30"/>
      <c r="P512" s="29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135"/>
      <c r="M513" s="19"/>
      <c r="N513" s="131"/>
      <c r="O513" s="30"/>
      <c r="P513" s="29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135"/>
      <c r="M514" s="19"/>
      <c r="N514" s="131"/>
      <c r="O514" s="30"/>
      <c r="P514" s="29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135"/>
      <c r="M515" s="19"/>
      <c r="N515" s="131"/>
      <c r="O515" s="30"/>
      <c r="P515" s="29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135"/>
      <c r="M516" s="19"/>
      <c r="N516" s="131"/>
      <c r="O516" s="30"/>
      <c r="P516" s="29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135"/>
      <c r="M517" s="19"/>
      <c r="N517" s="131"/>
      <c r="O517" s="30"/>
      <c r="P517" s="29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135"/>
      <c r="M518" s="19"/>
      <c r="N518" s="131"/>
      <c r="O518" s="30"/>
      <c r="P518" s="29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135"/>
      <c r="M519" s="19"/>
      <c r="N519" s="131"/>
      <c r="O519" s="30"/>
      <c r="P519" s="29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135"/>
      <c r="M520" s="19"/>
      <c r="N520" s="131"/>
      <c r="O520" s="30"/>
      <c r="P520" s="29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135"/>
      <c r="M521" s="19"/>
      <c r="N521" s="131"/>
      <c r="O521" s="30"/>
      <c r="P521" s="29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135"/>
      <c r="M522" s="19"/>
      <c r="N522" s="131"/>
      <c r="O522" s="30"/>
      <c r="P522" s="29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135"/>
      <c r="M523" s="19"/>
      <c r="N523" s="131"/>
      <c r="O523" s="30"/>
      <c r="P523" s="29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135"/>
      <c r="M524" s="19"/>
      <c r="N524" s="131"/>
      <c r="O524" s="30"/>
      <c r="P524" s="29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135"/>
      <c r="M525" s="19"/>
      <c r="N525" s="131"/>
      <c r="O525" s="30"/>
      <c r="P525" s="29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135"/>
      <c r="M526" s="19"/>
      <c r="N526" s="131"/>
      <c r="O526" s="30"/>
      <c r="P526" s="29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135"/>
      <c r="M527" s="19"/>
      <c r="N527" s="131"/>
      <c r="O527" s="30"/>
      <c r="P527" s="29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135"/>
      <c r="M528" s="19"/>
      <c r="N528" s="131"/>
      <c r="O528" s="30"/>
      <c r="P528" s="29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135"/>
      <c r="M529" s="19"/>
      <c r="N529" s="131"/>
      <c r="O529" s="30"/>
      <c r="P529" s="29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135"/>
      <c r="M530" s="19"/>
      <c r="N530" s="131"/>
      <c r="O530" s="30"/>
      <c r="P530" s="29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135"/>
      <c r="M531" s="19"/>
      <c r="N531" s="131"/>
      <c r="O531" s="30"/>
      <c r="P531" s="29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135"/>
      <c r="M532" s="19"/>
      <c r="N532" s="131"/>
      <c r="O532" s="30"/>
      <c r="P532" s="29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135"/>
      <c r="M533" s="19"/>
      <c r="N533" s="131"/>
      <c r="O533" s="30"/>
      <c r="P533" s="29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135"/>
      <c r="M534" s="19"/>
      <c r="N534" s="131"/>
      <c r="O534" s="30"/>
      <c r="P534" s="29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135"/>
      <c r="M535" s="19"/>
      <c r="N535" s="131"/>
      <c r="O535" s="30"/>
      <c r="P535" s="29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135"/>
      <c r="M536" s="19"/>
      <c r="N536" s="131"/>
      <c r="O536" s="30"/>
      <c r="P536" s="29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135"/>
      <c r="M537" s="19"/>
      <c r="N537" s="131"/>
      <c r="O537" s="30"/>
      <c r="P537" s="29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135"/>
      <c r="M538" s="19"/>
      <c r="N538" s="131"/>
      <c r="O538" s="30"/>
      <c r="P538" s="29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135"/>
      <c r="M539" s="19"/>
      <c r="N539" s="131"/>
      <c r="O539" s="30"/>
      <c r="P539" s="29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135"/>
      <c r="M540" s="19"/>
      <c r="N540" s="131"/>
      <c r="O540" s="30"/>
      <c r="P540" s="29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135"/>
      <c r="M541" s="19"/>
      <c r="N541" s="131"/>
      <c r="O541" s="30"/>
      <c r="P541" s="29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135"/>
      <c r="M542" s="19"/>
      <c r="N542" s="131"/>
      <c r="O542" s="30"/>
      <c r="P542" s="29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135"/>
      <c r="M543" s="19"/>
      <c r="N543" s="131"/>
      <c r="O543" s="30"/>
      <c r="P543" s="29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135"/>
      <c r="M544" s="19"/>
      <c r="N544" s="131"/>
      <c r="O544" s="30"/>
      <c r="P544" s="29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135"/>
      <c r="M545" s="19"/>
      <c r="N545" s="131"/>
      <c r="O545" s="30"/>
      <c r="P545" s="29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135"/>
      <c r="M546" s="19"/>
      <c r="N546" s="131"/>
      <c r="O546" s="30"/>
      <c r="P546" s="29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135"/>
      <c r="M547" s="19"/>
      <c r="N547" s="131"/>
      <c r="O547" s="30"/>
      <c r="P547" s="29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135"/>
      <c r="M548" s="19"/>
      <c r="N548" s="131"/>
      <c r="O548" s="30"/>
      <c r="P548" s="29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135"/>
      <c r="M549" s="19"/>
      <c r="N549" s="131"/>
      <c r="O549" s="30"/>
      <c r="P549" s="29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135"/>
      <c r="M550" s="19"/>
      <c r="N550" s="131"/>
      <c r="O550" s="30"/>
      <c r="P550" s="29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135"/>
      <c r="M551" s="19"/>
      <c r="N551" s="131"/>
      <c r="O551" s="30"/>
      <c r="P551" s="29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135"/>
      <c r="M552" s="19"/>
      <c r="N552" s="131"/>
      <c r="O552" s="30"/>
      <c r="P552" s="29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135"/>
      <c r="M553" s="19"/>
      <c r="N553" s="131"/>
      <c r="O553" s="30"/>
      <c r="P553" s="29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135"/>
      <c r="M554" s="19"/>
      <c r="N554" s="131"/>
      <c r="O554" s="30"/>
      <c r="P554" s="29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135"/>
      <c r="M555" s="19"/>
      <c r="N555" s="131"/>
      <c r="O555" s="30"/>
      <c r="P555" s="29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135"/>
      <c r="M556" s="19"/>
      <c r="N556" s="131"/>
      <c r="O556" s="30"/>
      <c r="P556" s="29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135"/>
      <c r="M557" s="19"/>
      <c r="N557" s="131"/>
      <c r="O557" s="30"/>
      <c r="P557" s="29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135"/>
      <c r="M558" s="19"/>
      <c r="N558" s="131"/>
      <c r="O558" s="30"/>
      <c r="P558" s="29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135"/>
      <c r="M559" s="19"/>
      <c r="N559" s="131"/>
      <c r="O559" s="30"/>
      <c r="P559" s="29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135"/>
      <c r="M560" s="19"/>
      <c r="N560" s="131"/>
      <c r="O560" s="30"/>
      <c r="P560" s="29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135"/>
      <c r="M561" s="19"/>
      <c r="N561" s="131"/>
      <c r="O561" s="30"/>
      <c r="P561" s="29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135"/>
      <c r="M562" s="19"/>
      <c r="N562" s="131"/>
      <c r="O562" s="30"/>
      <c r="P562" s="29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135"/>
      <c r="M563" s="19"/>
      <c r="N563" s="131"/>
      <c r="O563" s="30"/>
      <c r="P563" s="29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135"/>
      <c r="M564" s="19"/>
      <c r="N564" s="131"/>
      <c r="O564" s="30"/>
      <c r="P564" s="29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135"/>
      <c r="M565" s="19"/>
      <c r="N565" s="131"/>
      <c r="O565" s="30"/>
      <c r="P565" s="29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135"/>
      <c r="M566" s="19"/>
      <c r="N566" s="131"/>
      <c r="O566" s="30"/>
      <c r="P566" s="29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135"/>
      <c r="M567" s="19"/>
      <c r="N567" s="131"/>
      <c r="O567" s="30"/>
      <c r="P567" s="29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135"/>
      <c r="M568" s="19"/>
      <c r="N568" s="131"/>
      <c r="O568" s="30"/>
      <c r="P568" s="29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135"/>
      <c r="M569" s="19"/>
      <c r="N569" s="131"/>
      <c r="O569" s="30"/>
      <c r="P569" s="29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135"/>
      <c r="M570" s="19"/>
      <c r="N570" s="131"/>
      <c r="O570" s="30"/>
      <c r="P570" s="29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135"/>
      <c r="M571" s="19"/>
      <c r="N571" s="131"/>
      <c r="O571" s="30"/>
      <c r="P571" s="29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135"/>
      <c r="M572" s="19"/>
      <c r="N572" s="131"/>
      <c r="O572" s="30"/>
      <c r="P572" s="29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135"/>
      <c r="M573" s="19"/>
      <c r="N573" s="131"/>
      <c r="O573" s="30"/>
      <c r="P573" s="29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135"/>
      <c r="M574" s="19"/>
      <c r="N574" s="131"/>
      <c r="O574" s="30"/>
      <c r="P574" s="29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135"/>
      <c r="M575" s="19"/>
      <c r="N575" s="131"/>
      <c r="O575" s="30"/>
      <c r="P575" s="29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135"/>
      <c r="M576" s="19"/>
      <c r="N576" s="131"/>
      <c r="O576" s="30"/>
      <c r="P576" s="29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135"/>
      <c r="M577" s="19"/>
      <c r="N577" s="131"/>
      <c r="O577" s="30"/>
      <c r="P577" s="29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135"/>
      <c r="M578" s="19"/>
      <c r="N578" s="131"/>
      <c r="O578" s="30"/>
      <c r="P578" s="29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135"/>
      <c r="M579" s="19"/>
      <c r="N579" s="131"/>
      <c r="O579" s="30"/>
      <c r="P579" s="29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135"/>
      <c r="M580" s="19"/>
      <c r="N580" s="131"/>
      <c r="O580" s="30"/>
      <c r="P580" s="29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135"/>
      <c r="M581" s="19"/>
      <c r="N581" s="131"/>
      <c r="O581" s="30"/>
      <c r="P581" s="29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135"/>
      <c r="M582" s="19"/>
      <c r="N582" s="131"/>
      <c r="O582" s="30"/>
      <c r="P582" s="29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135"/>
      <c r="M583" s="19"/>
      <c r="N583" s="131"/>
      <c r="O583" s="30"/>
      <c r="P583" s="29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135"/>
      <c r="M584" s="19"/>
      <c r="N584" s="131"/>
      <c r="O584" s="30"/>
      <c r="P584" s="29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135"/>
      <c r="M585" s="19"/>
      <c r="N585" s="131"/>
      <c r="O585" s="30"/>
      <c r="P585" s="29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135"/>
      <c r="M586" s="19"/>
      <c r="N586" s="131"/>
      <c r="O586" s="30"/>
      <c r="P586" s="29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135"/>
      <c r="M587" s="19"/>
      <c r="N587" s="131"/>
      <c r="O587" s="30"/>
      <c r="P587" s="29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135"/>
      <c r="M588" s="19"/>
      <c r="N588" s="131"/>
      <c r="O588" s="30"/>
      <c r="P588" s="29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135"/>
      <c r="M589" s="19"/>
      <c r="N589" s="131"/>
      <c r="O589" s="30"/>
      <c r="P589" s="29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135"/>
      <c r="M590" s="19"/>
      <c r="N590" s="131"/>
      <c r="O590" s="30"/>
      <c r="P590" s="29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135"/>
      <c r="M591" s="19"/>
      <c r="N591" s="131"/>
      <c r="O591" s="30"/>
      <c r="P591" s="29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135"/>
      <c r="M592" s="19"/>
      <c r="N592" s="131"/>
      <c r="O592" s="30"/>
      <c r="P592" s="29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135"/>
      <c r="M593" s="19"/>
      <c r="N593" s="131"/>
      <c r="O593" s="30"/>
      <c r="P593" s="29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135"/>
      <c r="M594" s="19"/>
      <c r="N594" s="131"/>
      <c r="O594" s="30"/>
      <c r="P594" s="29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135"/>
      <c r="M595" s="19"/>
      <c r="N595" s="131"/>
      <c r="O595" s="30"/>
      <c r="P595" s="29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135"/>
      <c r="M596" s="19"/>
      <c r="N596" s="131"/>
      <c r="O596" s="30"/>
      <c r="P596" s="29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135"/>
      <c r="M597" s="19"/>
      <c r="N597" s="131"/>
      <c r="O597" s="30"/>
      <c r="P597" s="29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135"/>
      <c r="M598" s="19"/>
      <c r="N598" s="131"/>
      <c r="O598" s="30"/>
      <c r="P598" s="29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135"/>
      <c r="M599" s="19"/>
      <c r="N599" s="131"/>
      <c r="O599" s="30"/>
      <c r="P599" s="29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135"/>
      <c r="M600" s="19"/>
      <c r="N600" s="131"/>
      <c r="O600" s="30"/>
      <c r="P600" s="29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135"/>
      <c r="M601" s="19"/>
      <c r="N601" s="131"/>
      <c r="O601" s="30"/>
      <c r="P601" s="29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135"/>
      <c r="M602" s="19"/>
      <c r="N602" s="131"/>
      <c r="O602" s="30"/>
      <c r="P602" s="29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135"/>
      <c r="M603" s="19"/>
      <c r="N603" s="131"/>
      <c r="O603" s="30"/>
      <c r="P603" s="29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135"/>
      <c r="M604" s="19"/>
      <c r="N604" s="131"/>
      <c r="O604" s="30"/>
      <c r="P604" s="29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135"/>
      <c r="M605" s="19"/>
      <c r="N605" s="131"/>
      <c r="O605" s="30"/>
      <c r="P605" s="29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135"/>
      <c r="M606" s="19"/>
      <c r="N606" s="131"/>
      <c r="O606" s="30"/>
      <c r="P606" s="29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135"/>
      <c r="M607" s="19"/>
      <c r="N607" s="131"/>
      <c r="O607" s="30"/>
      <c r="P607" s="29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135"/>
      <c r="M608" s="19"/>
      <c r="N608" s="131"/>
      <c r="O608" s="30"/>
      <c r="P608" s="29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135"/>
      <c r="M609" s="19"/>
      <c r="N609" s="131"/>
      <c r="O609" s="30"/>
      <c r="P609" s="29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135"/>
      <c r="M610" s="19"/>
      <c r="N610" s="131"/>
      <c r="O610" s="30"/>
      <c r="P610" s="29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135"/>
      <c r="M611" s="19"/>
      <c r="N611" s="131"/>
      <c r="O611" s="30"/>
      <c r="P611" s="29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135"/>
      <c r="M612" s="19"/>
      <c r="N612" s="131"/>
      <c r="O612" s="30"/>
      <c r="P612" s="29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135"/>
      <c r="M613" s="19"/>
      <c r="N613" s="131"/>
      <c r="O613" s="30"/>
      <c r="P613" s="29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135"/>
      <c r="M614" s="19"/>
      <c r="N614" s="131"/>
      <c r="O614" s="30"/>
      <c r="P614" s="29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135"/>
      <c r="M615" s="19"/>
      <c r="N615" s="131"/>
      <c r="O615" s="30"/>
      <c r="P615" s="29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135"/>
      <c r="M616" s="19"/>
      <c r="N616" s="131"/>
      <c r="O616" s="30"/>
      <c r="P616" s="29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135"/>
      <c r="M617" s="19"/>
      <c r="N617" s="131"/>
      <c r="O617" s="30"/>
      <c r="P617" s="29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135"/>
      <c r="M618" s="19"/>
      <c r="N618" s="131"/>
      <c r="O618" s="30"/>
      <c r="P618" s="29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135"/>
      <c r="M619" s="19"/>
      <c r="N619" s="131"/>
      <c r="O619" s="30"/>
      <c r="P619" s="29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135"/>
      <c r="M620" s="19"/>
      <c r="N620" s="131"/>
      <c r="O620" s="30"/>
      <c r="P620" s="29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135"/>
      <c r="M621" s="19"/>
      <c r="N621" s="131"/>
      <c r="O621" s="30"/>
      <c r="P621" s="29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135"/>
      <c r="M622" s="19"/>
      <c r="N622" s="131"/>
      <c r="O622" s="30"/>
      <c r="P622" s="29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135"/>
      <c r="M623" s="19"/>
      <c r="N623" s="131"/>
      <c r="O623" s="30"/>
      <c r="P623" s="29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135"/>
      <c r="M624" s="19"/>
      <c r="N624" s="131"/>
      <c r="O624" s="30"/>
      <c r="P624" s="29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135"/>
      <c r="M625" s="19"/>
      <c r="N625" s="131"/>
      <c r="O625" s="30"/>
      <c r="P625" s="29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135"/>
      <c r="M626" s="19"/>
      <c r="N626" s="131"/>
      <c r="O626" s="30"/>
      <c r="P626" s="29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135"/>
      <c r="M627" s="19"/>
      <c r="N627" s="131"/>
      <c r="O627" s="30"/>
      <c r="P627" s="29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135"/>
      <c r="M628" s="19"/>
      <c r="N628" s="131"/>
      <c r="O628" s="30"/>
      <c r="P628" s="29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135"/>
      <c r="M629" s="19"/>
      <c r="N629" s="131"/>
      <c r="O629" s="30"/>
      <c r="P629" s="29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135"/>
      <c r="M630" s="19"/>
      <c r="N630" s="131"/>
      <c r="O630" s="30"/>
      <c r="P630" s="29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135"/>
      <c r="M631" s="19"/>
      <c r="N631" s="131"/>
      <c r="O631" s="30"/>
      <c r="P631" s="29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135"/>
      <c r="M632" s="19"/>
      <c r="N632" s="131"/>
      <c r="O632" s="30"/>
      <c r="P632" s="29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135"/>
      <c r="M633" s="19"/>
      <c r="N633" s="131"/>
      <c r="O633" s="30"/>
      <c r="P633" s="29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135"/>
      <c r="M634" s="19"/>
      <c r="N634" s="131"/>
      <c r="O634" s="30"/>
      <c r="P634" s="29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135"/>
      <c r="M635" s="19"/>
      <c r="N635" s="131"/>
      <c r="O635" s="30"/>
      <c r="P635" s="29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135"/>
      <c r="M636" s="19"/>
      <c r="N636" s="131"/>
      <c r="O636" s="30"/>
      <c r="P636" s="29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135"/>
      <c r="M637" s="19"/>
      <c r="N637" s="131"/>
      <c r="O637" s="30"/>
      <c r="P637" s="29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135"/>
      <c r="M638" s="19"/>
      <c r="N638" s="131"/>
      <c r="O638" s="30"/>
      <c r="P638" s="29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135"/>
      <c r="M639" s="19"/>
      <c r="N639" s="131"/>
      <c r="O639" s="30"/>
      <c r="P639" s="29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135"/>
      <c r="M640" s="19"/>
      <c r="N640" s="131"/>
      <c r="O640" s="30"/>
      <c r="P640" s="29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135"/>
      <c r="M641" s="19"/>
      <c r="N641" s="131"/>
      <c r="O641" s="30"/>
      <c r="P641" s="29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135"/>
      <c r="M642" s="19"/>
      <c r="N642" s="131"/>
      <c r="O642" s="30"/>
      <c r="P642" s="29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135"/>
      <c r="M643" s="19"/>
      <c r="N643" s="131"/>
      <c r="O643" s="30"/>
      <c r="P643" s="29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135"/>
      <c r="M644" s="19"/>
      <c r="N644" s="131"/>
      <c r="O644" s="30"/>
      <c r="P644" s="29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135"/>
      <c r="M645" s="19"/>
      <c r="N645" s="131"/>
      <c r="O645" s="30"/>
      <c r="P645" s="29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135"/>
      <c r="M646" s="19"/>
      <c r="N646" s="131"/>
      <c r="O646" s="30"/>
      <c r="P646" s="29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135"/>
      <c r="M647" s="19"/>
      <c r="N647" s="131"/>
      <c r="O647" s="30"/>
      <c r="P647" s="29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135"/>
      <c r="M648" s="19"/>
      <c r="N648" s="131"/>
      <c r="O648" s="30"/>
      <c r="P648" s="29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135"/>
      <c r="M649" s="19"/>
      <c r="N649" s="131"/>
      <c r="O649" s="30"/>
      <c r="P649" s="29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135"/>
      <c r="M650" s="19"/>
      <c r="N650" s="131"/>
      <c r="O650" s="30"/>
      <c r="P650" s="29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135"/>
      <c r="M651" s="19"/>
      <c r="N651" s="131"/>
      <c r="O651" s="30"/>
      <c r="P651" s="29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135"/>
      <c r="M652" s="19"/>
      <c r="N652" s="131"/>
      <c r="O652" s="30"/>
      <c r="P652" s="29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135"/>
      <c r="M653" s="19"/>
      <c r="N653" s="131"/>
      <c r="O653" s="30"/>
      <c r="P653" s="29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135"/>
      <c r="M654" s="19"/>
      <c r="N654" s="131"/>
      <c r="O654" s="30"/>
      <c r="P654" s="29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135"/>
      <c r="M655" s="19"/>
      <c r="N655" s="131"/>
      <c r="O655" s="30"/>
      <c r="P655" s="29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135"/>
      <c r="M656" s="19"/>
      <c r="N656" s="131"/>
      <c r="O656" s="30"/>
      <c r="P656" s="29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135"/>
      <c r="M657" s="19"/>
      <c r="N657" s="131"/>
      <c r="O657" s="30"/>
      <c r="P657" s="29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135"/>
      <c r="M658" s="19"/>
      <c r="N658" s="131"/>
      <c r="O658" s="30"/>
      <c r="P658" s="29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135"/>
      <c r="M659" s="19"/>
      <c r="N659" s="131"/>
      <c r="O659" s="30"/>
      <c r="P659" s="29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135"/>
      <c r="M660" s="19"/>
      <c r="N660" s="131"/>
      <c r="O660" s="30"/>
      <c r="P660" s="29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135"/>
      <c r="M661" s="19"/>
      <c r="N661" s="131"/>
      <c r="O661" s="30"/>
      <c r="P661" s="29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135"/>
      <c r="M662" s="19"/>
      <c r="N662" s="131"/>
      <c r="O662" s="30"/>
      <c r="P662" s="29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135"/>
      <c r="M663" s="19"/>
      <c r="N663" s="131"/>
      <c r="O663" s="30"/>
      <c r="P663" s="29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135"/>
      <c r="M664" s="19"/>
      <c r="N664" s="131"/>
      <c r="O664" s="30"/>
      <c r="P664" s="29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135"/>
      <c r="M665" s="19"/>
      <c r="N665" s="131"/>
      <c r="O665" s="30"/>
      <c r="P665" s="29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135"/>
      <c r="M666" s="19"/>
      <c r="N666" s="131"/>
      <c r="O666" s="30"/>
      <c r="P666" s="29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135"/>
      <c r="M667" s="19"/>
      <c r="N667" s="131"/>
      <c r="O667" s="30"/>
      <c r="P667" s="29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135"/>
      <c r="M668" s="19"/>
      <c r="N668" s="131"/>
      <c r="O668" s="30"/>
      <c r="P668" s="29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135"/>
      <c r="M669" s="19"/>
      <c r="N669" s="131"/>
      <c r="O669" s="30"/>
      <c r="P669" s="29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135"/>
      <c r="M670" s="19"/>
      <c r="N670" s="131"/>
      <c r="O670" s="30"/>
      <c r="P670" s="29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135"/>
      <c r="M671" s="19"/>
      <c r="N671" s="131"/>
      <c r="O671" s="30"/>
      <c r="P671" s="29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135"/>
      <c r="M672" s="19"/>
      <c r="N672" s="131"/>
      <c r="O672" s="30"/>
      <c r="P672" s="29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135"/>
      <c r="M673" s="19"/>
      <c r="N673" s="131"/>
      <c r="O673" s="30"/>
      <c r="P673" s="29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135"/>
      <c r="M674" s="19"/>
      <c r="N674" s="131"/>
      <c r="O674" s="30"/>
      <c r="P674" s="29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135"/>
      <c r="M675" s="19"/>
      <c r="N675" s="131"/>
      <c r="O675" s="30"/>
      <c r="P675" s="29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135"/>
      <c r="M676" s="19"/>
      <c r="N676" s="131"/>
      <c r="O676" s="30"/>
      <c r="P676" s="29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135"/>
      <c r="M677" s="19"/>
      <c r="N677" s="131"/>
      <c r="O677" s="30"/>
      <c r="P677" s="29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135"/>
      <c r="M678" s="19"/>
      <c r="N678" s="131"/>
      <c r="O678" s="30"/>
      <c r="P678" s="29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135"/>
      <c r="M679" s="19"/>
      <c r="N679" s="131"/>
      <c r="O679" s="30"/>
      <c r="P679" s="29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135"/>
      <c r="M680" s="19"/>
      <c r="N680" s="131"/>
      <c r="O680" s="30"/>
      <c r="P680" s="29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135"/>
      <c r="M681" s="19"/>
      <c r="N681" s="131"/>
      <c r="O681" s="30"/>
      <c r="P681" s="29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135"/>
      <c r="M682" s="19"/>
      <c r="N682" s="131"/>
      <c r="O682" s="30"/>
      <c r="P682" s="29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135"/>
      <c r="M683" s="19"/>
      <c r="N683" s="131"/>
      <c r="O683" s="30"/>
      <c r="P683" s="29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135"/>
      <c r="M684" s="19"/>
      <c r="N684" s="131"/>
      <c r="O684" s="30"/>
      <c r="P684" s="29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135"/>
      <c r="M685" s="19"/>
      <c r="N685" s="131"/>
      <c r="O685" s="30"/>
      <c r="P685" s="29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135"/>
      <c r="M686" s="19"/>
      <c r="N686" s="131"/>
      <c r="O686" s="30"/>
      <c r="P686" s="29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135"/>
      <c r="M687" s="19"/>
      <c r="N687" s="131"/>
      <c r="O687" s="30"/>
      <c r="P687" s="29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135"/>
      <c r="M688" s="19"/>
      <c r="N688" s="131"/>
      <c r="O688" s="30"/>
      <c r="P688" s="29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135"/>
      <c r="M689" s="19"/>
      <c r="N689" s="131"/>
      <c r="O689" s="30"/>
      <c r="P689" s="29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135"/>
      <c r="M690" s="19"/>
      <c r="N690" s="131"/>
      <c r="O690" s="30"/>
      <c r="P690" s="29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135"/>
      <c r="M691" s="19"/>
      <c r="N691" s="131"/>
      <c r="O691" s="30"/>
      <c r="P691" s="29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135"/>
      <c r="M692" s="19"/>
      <c r="N692" s="131"/>
      <c r="O692" s="30"/>
      <c r="P692" s="29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135"/>
      <c r="M693" s="19"/>
      <c r="N693" s="131"/>
      <c r="O693" s="30"/>
      <c r="P693" s="29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135"/>
      <c r="M694" s="19"/>
      <c r="N694" s="131"/>
      <c r="O694" s="30"/>
      <c r="P694" s="29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135"/>
      <c r="M695" s="19"/>
      <c r="N695" s="131"/>
      <c r="O695" s="30"/>
      <c r="P695" s="29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135"/>
      <c r="M696" s="19"/>
      <c r="N696" s="131"/>
      <c r="O696" s="30"/>
      <c r="P696" s="29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135"/>
      <c r="M697" s="19"/>
      <c r="N697" s="131"/>
      <c r="O697" s="30"/>
      <c r="P697" s="29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135"/>
      <c r="M698" s="19"/>
      <c r="N698" s="131"/>
      <c r="O698" s="30"/>
      <c r="P698" s="29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135"/>
      <c r="M699" s="19"/>
      <c r="N699" s="131"/>
      <c r="O699" s="30"/>
      <c r="P699" s="29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135"/>
      <c r="M700" s="19"/>
      <c r="N700" s="131"/>
      <c r="O700" s="30"/>
      <c r="P700" s="29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135"/>
      <c r="M701" s="19"/>
      <c r="N701" s="131"/>
      <c r="O701" s="30"/>
      <c r="P701" s="29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135"/>
      <c r="M702" s="19"/>
      <c r="N702" s="131"/>
      <c r="O702" s="30"/>
      <c r="P702" s="29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135"/>
      <c r="M703" s="19"/>
      <c r="N703" s="131"/>
      <c r="O703" s="30"/>
      <c r="P703" s="29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135"/>
      <c r="M704" s="19"/>
      <c r="N704" s="131"/>
      <c r="O704" s="30"/>
      <c r="P704" s="29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135"/>
      <c r="M705" s="19"/>
      <c r="N705" s="131"/>
      <c r="O705" s="30"/>
      <c r="P705" s="29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135"/>
      <c r="M706" s="19"/>
      <c r="N706" s="131"/>
      <c r="O706" s="30"/>
      <c r="P706" s="29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135"/>
      <c r="M707" s="19"/>
      <c r="N707" s="131"/>
      <c r="O707" s="30"/>
      <c r="P707" s="29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135"/>
      <c r="M708" s="19"/>
      <c r="N708" s="131"/>
      <c r="O708" s="30"/>
      <c r="P708" s="29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135"/>
      <c r="M709" s="19"/>
      <c r="N709" s="131"/>
      <c r="O709" s="30"/>
      <c r="P709" s="29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135"/>
      <c r="M710" s="19"/>
      <c r="N710" s="131"/>
      <c r="O710" s="30"/>
      <c r="P710" s="29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135"/>
      <c r="M711" s="19"/>
      <c r="N711" s="131"/>
      <c r="O711" s="30"/>
      <c r="P711" s="29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135"/>
      <c r="M712" s="19"/>
      <c r="N712" s="131"/>
      <c r="O712" s="30"/>
      <c r="P712" s="29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135"/>
      <c r="M713" s="19"/>
      <c r="N713" s="131"/>
      <c r="O713" s="30"/>
      <c r="P713" s="29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135"/>
      <c r="M714" s="19"/>
      <c r="N714" s="131"/>
      <c r="O714" s="30"/>
      <c r="P714" s="29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135"/>
      <c r="M715" s="19"/>
      <c r="N715" s="131"/>
      <c r="O715" s="30"/>
      <c r="P715" s="29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135"/>
      <c r="M716" s="19"/>
      <c r="N716" s="131"/>
      <c r="O716" s="30"/>
      <c r="P716" s="29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135"/>
      <c r="M717" s="19"/>
      <c r="N717" s="131"/>
      <c r="O717" s="30"/>
      <c r="P717" s="29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135"/>
      <c r="M718" s="19"/>
      <c r="N718" s="131"/>
      <c r="O718" s="30"/>
      <c r="P718" s="29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135"/>
      <c r="M719" s="19"/>
      <c r="N719" s="131"/>
      <c r="O719" s="30"/>
      <c r="P719" s="29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135"/>
      <c r="M720" s="19"/>
      <c r="N720" s="131"/>
      <c r="O720" s="30"/>
      <c r="P720" s="29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135"/>
      <c r="M721" s="19"/>
      <c r="N721" s="131"/>
      <c r="O721" s="30"/>
      <c r="P721" s="29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135"/>
      <c r="M722" s="19"/>
      <c r="N722" s="131"/>
      <c r="O722" s="30"/>
      <c r="P722" s="29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135"/>
      <c r="M723" s="19"/>
      <c r="N723" s="131"/>
      <c r="O723" s="30"/>
      <c r="P723" s="29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135"/>
      <c r="M724" s="19"/>
      <c r="N724" s="131"/>
      <c r="O724" s="30"/>
      <c r="P724" s="29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135"/>
      <c r="M725" s="19"/>
      <c r="N725" s="131"/>
      <c r="O725" s="30"/>
      <c r="P725" s="29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135"/>
      <c r="M726" s="19"/>
      <c r="N726" s="131"/>
      <c r="O726" s="30"/>
      <c r="P726" s="29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135"/>
      <c r="M727" s="19"/>
      <c r="N727" s="131"/>
      <c r="O727" s="30"/>
      <c r="P727" s="29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135"/>
      <c r="M728" s="19"/>
      <c r="N728" s="131"/>
      <c r="O728" s="30"/>
      <c r="P728" s="29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135"/>
      <c r="M729" s="19"/>
      <c r="N729" s="131"/>
      <c r="O729" s="30"/>
      <c r="P729" s="29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135"/>
      <c r="M730" s="19"/>
      <c r="N730" s="131"/>
      <c r="O730" s="30"/>
      <c r="P730" s="29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135"/>
      <c r="M731" s="19"/>
      <c r="N731" s="131"/>
      <c r="O731" s="30"/>
      <c r="P731" s="29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135"/>
      <c r="M732" s="19"/>
      <c r="N732" s="131"/>
      <c r="O732" s="30"/>
      <c r="P732" s="29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135"/>
      <c r="M733" s="19"/>
      <c r="N733" s="131"/>
      <c r="O733" s="30"/>
      <c r="P733" s="29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135"/>
      <c r="M734" s="19"/>
      <c r="N734" s="131"/>
      <c r="O734" s="30"/>
      <c r="P734" s="29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135"/>
      <c r="M735" s="19"/>
      <c r="N735" s="131"/>
      <c r="O735" s="30"/>
      <c r="P735" s="29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135"/>
      <c r="M736" s="19"/>
      <c r="N736" s="131"/>
      <c r="O736" s="30"/>
      <c r="P736" s="29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135"/>
      <c r="M737" s="19"/>
      <c r="N737" s="131"/>
      <c r="O737" s="30"/>
      <c r="P737" s="29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135"/>
      <c r="M738" s="19"/>
      <c r="N738" s="131"/>
      <c r="O738" s="30"/>
      <c r="P738" s="29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135"/>
      <c r="M739" s="19"/>
      <c r="N739" s="131"/>
      <c r="O739" s="30"/>
      <c r="P739" s="29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135"/>
      <c r="M740" s="19"/>
      <c r="N740" s="131"/>
      <c r="O740" s="30"/>
      <c r="P740" s="29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135"/>
      <c r="M741" s="19"/>
      <c r="N741" s="131"/>
      <c r="O741" s="30"/>
      <c r="P741" s="29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135"/>
      <c r="M742" s="19"/>
      <c r="N742" s="131"/>
      <c r="O742" s="30"/>
      <c r="P742" s="29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135"/>
      <c r="M743" s="19"/>
      <c r="N743" s="131"/>
      <c r="O743" s="30"/>
      <c r="P743" s="29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135"/>
      <c r="M744" s="19"/>
      <c r="N744" s="131"/>
      <c r="O744" s="30"/>
      <c r="P744" s="29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135"/>
      <c r="M745" s="19"/>
      <c r="N745" s="131"/>
      <c r="O745" s="30"/>
      <c r="P745" s="29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135"/>
      <c r="M746" s="19"/>
      <c r="N746" s="131"/>
      <c r="O746" s="30"/>
      <c r="P746" s="29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135"/>
      <c r="M747" s="19"/>
      <c r="N747" s="131"/>
      <c r="O747" s="30"/>
      <c r="P747" s="29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135"/>
      <c r="M748" s="19"/>
      <c r="N748" s="131"/>
      <c r="O748" s="30"/>
      <c r="P748" s="29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135"/>
      <c r="M749" s="19"/>
      <c r="N749" s="131"/>
      <c r="O749" s="30"/>
      <c r="P749" s="29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135"/>
      <c r="M750" s="19"/>
      <c r="N750" s="131"/>
      <c r="O750" s="30"/>
      <c r="P750" s="29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135"/>
      <c r="M751" s="19"/>
      <c r="N751" s="131"/>
      <c r="O751" s="30"/>
      <c r="P751" s="29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135"/>
      <c r="M752" s="19"/>
      <c r="N752" s="131"/>
      <c r="O752" s="30"/>
      <c r="P752" s="29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135"/>
      <c r="M753" s="19"/>
      <c r="N753" s="131"/>
      <c r="O753" s="30"/>
      <c r="P753" s="29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135"/>
      <c r="M754" s="19"/>
      <c r="N754" s="131"/>
      <c r="O754" s="30"/>
      <c r="P754" s="29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135"/>
      <c r="M755" s="19"/>
      <c r="N755" s="131"/>
      <c r="O755" s="30"/>
      <c r="P755" s="29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135"/>
      <c r="M756" s="19"/>
      <c r="N756" s="131"/>
      <c r="O756" s="30"/>
      <c r="P756" s="29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135"/>
      <c r="M757" s="19"/>
      <c r="N757" s="131"/>
      <c r="O757" s="30"/>
      <c r="P757" s="29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135"/>
      <c r="M758" s="19"/>
      <c r="N758" s="131"/>
      <c r="O758" s="30"/>
      <c r="P758" s="29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135"/>
      <c r="M759" s="19"/>
      <c r="N759" s="131"/>
      <c r="O759" s="30"/>
      <c r="P759" s="29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135"/>
      <c r="M760" s="19"/>
      <c r="N760" s="131"/>
      <c r="O760" s="30"/>
      <c r="P760" s="29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135"/>
      <c r="M761" s="19"/>
      <c r="N761" s="131"/>
      <c r="O761" s="30"/>
      <c r="P761" s="29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135"/>
      <c r="M762" s="19"/>
      <c r="N762" s="131"/>
      <c r="O762" s="30"/>
      <c r="P762" s="29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135"/>
      <c r="M763" s="19"/>
      <c r="N763" s="131"/>
      <c r="O763" s="30"/>
      <c r="P763" s="29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135"/>
      <c r="M764" s="19"/>
      <c r="N764" s="131"/>
      <c r="O764" s="30"/>
      <c r="P764" s="29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135"/>
      <c r="M765" s="19"/>
      <c r="N765" s="131"/>
      <c r="O765" s="30"/>
      <c r="P765" s="29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135"/>
      <c r="M766" s="19"/>
      <c r="N766" s="131"/>
      <c r="O766" s="30"/>
      <c r="P766" s="29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135"/>
      <c r="M767" s="19"/>
      <c r="N767" s="131"/>
      <c r="O767" s="30"/>
      <c r="P767" s="29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135"/>
      <c r="M768" s="19"/>
      <c r="N768" s="131"/>
      <c r="O768" s="30"/>
      <c r="P768" s="29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135"/>
      <c r="M769" s="19"/>
      <c r="N769" s="131"/>
      <c r="O769" s="30"/>
      <c r="P769" s="29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135"/>
      <c r="M770" s="19"/>
      <c r="N770" s="131"/>
      <c r="O770" s="30"/>
      <c r="P770" s="29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135"/>
      <c r="M771" s="19"/>
      <c r="N771" s="131"/>
      <c r="O771" s="30"/>
      <c r="P771" s="29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135"/>
      <c r="M772" s="19"/>
      <c r="N772" s="131"/>
      <c r="O772" s="30"/>
      <c r="P772" s="29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135"/>
      <c r="M773" s="19"/>
      <c r="N773" s="131"/>
      <c r="O773" s="30"/>
      <c r="P773" s="29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135"/>
      <c r="M774" s="19"/>
      <c r="N774" s="131"/>
      <c r="O774" s="30"/>
      <c r="P774" s="29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135"/>
      <c r="M775" s="19"/>
      <c r="N775" s="131"/>
      <c r="O775" s="30"/>
      <c r="P775" s="29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135"/>
      <c r="M776" s="19"/>
      <c r="N776" s="131"/>
      <c r="O776" s="30"/>
      <c r="P776" s="29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135"/>
      <c r="M777" s="19"/>
      <c r="N777" s="131"/>
      <c r="O777" s="30"/>
      <c r="P777" s="29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135"/>
      <c r="M778" s="19"/>
      <c r="N778" s="131"/>
      <c r="O778" s="30"/>
      <c r="P778" s="29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135"/>
      <c r="M779" s="19"/>
      <c r="N779" s="131"/>
      <c r="O779" s="30"/>
      <c r="P779" s="29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135"/>
      <c r="M780" s="19"/>
      <c r="N780" s="131"/>
      <c r="O780" s="30"/>
      <c r="P780" s="29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135"/>
      <c r="M781" s="19"/>
      <c r="N781" s="131"/>
      <c r="O781" s="30"/>
      <c r="P781" s="29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135"/>
      <c r="M782" s="19"/>
      <c r="N782" s="131"/>
      <c r="O782" s="30"/>
      <c r="P782" s="29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135"/>
      <c r="M783" s="19"/>
      <c r="N783" s="131"/>
      <c r="O783" s="30"/>
      <c r="P783" s="29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135"/>
      <c r="M784" s="19"/>
      <c r="N784" s="131"/>
      <c r="O784" s="30"/>
      <c r="P784" s="29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135"/>
      <c r="M785" s="19"/>
      <c r="N785" s="131"/>
      <c r="O785" s="30"/>
      <c r="P785" s="29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135"/>
      <c r="M786" s="19"/>
      <c r="N786" s="131"/>
      <c r="O786" s="30"/>
      <c r="P786" s="29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135"/>
      <c r="M787" s="19"/>
      <c r="N787" s="131"/>
      <c r="O787" s="30"/>
      <c r="P787" s="29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135"/>
      <c r="M788" s="19"/>
      <c r="N788" s="131"/>
      <c r="O788" s="30"/>
      <c r="P788" s="29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135"/>
      <c r="M789" s="19"/>
      <c r="N789" s="131"/>
      <c r="O789" s="30"/>
      <c r="P789" s="29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135"/>
      <c r="M790" s="19"/>
      <c r="N790" s="131"/>
      <c r="O790" s="30"/>
      <c r="P790" s="29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135"/>
      <c r="M791" s="19"/>
      <c r="N791" s="131"/>
      <c r="O791" s="30"/>
      <c r="P791" s="29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135"/>
      <c r="M792" s="19"/>
      <c r="N792" s="131"/>
      <c r="O792" s="30"/>
      <c r="P792" s="29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135"/>
      <c r="M793" s="19"/>
      <c r="N793" s="131"/>
      <c r="O793" s="30"/>
      <c r="P793" s="29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135"/>
      <c r="M794" s="19"/>
      <c r="N794" s="131"/>
      <c r="O794" s="30"/>
      <c r="P794" s="29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135"/>
      <c r="M795" s="19"/>
      <c r="N795" s="131"/>
      <c r="O795" s="30"/>
      <c r="P795" s="29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135"/>
      <c r="M796" s="19"/>
      <c r="N796" s="131"/>
      <c r="O796" s="30"/>
      <c r="P796" s="29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135"/>
      <c r="M797" s="19"/>
      <c r="N797" s="131"/>
      <c r="O797" s="30"/>
      <c r="P797" s="29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135"/>
      <c r="M798" s="19"/>
      <c r="N798" s="131"/>
      <c r="O798" s="30"/>
      <c r="P798" s="29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135"/>
      <c r="M799" s="19"/>
      <c r="N799" s="131"/>
      <c r="O799" s="30"/>
      <c r="P799" s="29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135"/>
      <c r="M800" s="19"/>
      <c r="N800" s="131"/>
      <c r="O800" s="30"/>
      <c r="P800" s="29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135"/>
      <c r="M801" s="19"/>
      <c r="N801" s="131"/>
      <c r="O801" s="30"/>
      <c r="P801" s="29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135"/>
      <c r="M802" s="19"/>
      <c r="N802" s="131"/>
      <c r="O802" s="30"/>
      <c r="P802" s="29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135"/>
      <c r="M803" s="19"/>
      <c r="N803" s="131"/>
      <c r="O803" s="30"/>
      <c r="P803" s="29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135"/>
      <c r="M804" s="19"/>
      <c r="N804" s="131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135"/>
      <c r="M805" s="19"/>
      <c r="N805" s="131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135"/>
      <c r="M806" s="19"/>
      <c r="N806" s="131"/>
      <c r="O806" s="30"/>
      <c r="P806" s="29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135"/>
      <c r="M807" s="19"/>
      <c r="N807" s="131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135"/>
      <c r="M808" s="19"/>
      <c r="N808" s="131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135"/>
      <c r="M809" s="19"/>
      <c r="N809" s="131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135"/>
      <c r="M810" s="19"/>
      <c r="N810" s="131"/>
      <c r="O810" s="30"/>
      <c r="P810" s="29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135"/>
      <c r="M811" s="19"/>
      <c r="N811" s="131"/>
      <c r="O811" s="30"/>
      <c r="P811" s="29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135"/>
      <c r="M812" s="19"/>
      <c r="N812" s="131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135"/>
      <c r="M813" s="19"/>
      <c r="N813" s="131"/>
      <c r="O813" s="30"/>
      <c r="P813" s="29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135"/>
      <c r="M814" s="19"/>
      <c r="N814" s="131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135"/>
      <c r="M815" s="19"/>
      <c r="N815" s="131"/>
      <c r="O815" s="30"/>
      <c r="P815" s="29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135"/>
      <c r="M816" s="19"/>
      <c r="N816" s="131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135"/>
      <c r="M817" s="19"/>
      <c r="N817" s="131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135"/>
      <c r="M818" s="19"/>
      <c r="N818" s="131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135"/>
      <c r="M819" s="19"/>
      <c r="N819" s="131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135"/>
      <c r="M820" s="19"/>
      <c r="N820" s="131"/>
      <c r="O820" s="30"/>
      <c r="P820" s="29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135"/>
      <c r="M821" s="19"/>
      <c r="N821" s="131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135"/>
      <c r="M822" s="19"/>
      <c r="N822" s="131"/>
      <c r="O822" s="30"/>
      <c r="P822" s="29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135"/>
      <c r="M823" s="19"/>
      <c r="N823" s="131"/>
      <c r="O823" s="30"/>
      <c r="P823" s="29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135"/>
      <c r="M824" s="19"/>
      <c r="N824" s="131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135"/>
      <c r="M825" s="19"/>
      <c r="N825" s="131"/>
      <c r="O825" s="30"/>
      <c r="P825" s="29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135"/>
      <c r="M826" s="19"/>
      <c r="N826" s="131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135"/>
      <c r="M827" s="19"/>
      <c r="N827" s="131"/>
      <c r="O827" s="30"/>
      <c r="P827" s="29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135"/>
      <c r="M828" s="19"/>
      <c r="N828" s="131"/>
      <c r="O828" s="30"/>
      <c r="P828" s="29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135"/>
      <c r="M829" s="19"/>
      <c r="N829" s="131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135"/>
      <c r="M830" s="19"/>
      <c r="N830" s="131"/>
      <c r="O830" s="30"/>
      <c r="P830" s="29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135"/>
      <c r="M831" s="19"/>
      <c r="N831" s="131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135"/>
      <c r="M832" s="19"/>
      <c r="N832" s="131"/>
      <c r="O832" s="30"/>
      <c r="P832" s="29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135"/>
      <c r="M833" s="19"/>
      <c r="N833" s="131"/>
      <c r="O833" s="30"/>
      <c r="P833" s="29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135"/>
      <c r="M834" s="19"/>
      <c r="N834" s="131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135"/>
      <c r="M835" s="19"/>
      <c r="N835" s="131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135"/>
      <c r="M836" s="19"/>
      <c r="N836" s="131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135"/>
      <c r="M837" s="19"/>
      <c r="N837" s="131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135"/>
      <c r="M838" s="19"/>
      <c r="N838" s="131"/>
      <c r="O838" s="30"/>
      <c r="P838" s="29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135"/>
      <c r="M839" s="19"/>
      <c r="N839" s="131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135"/>
      <c r="M840" s="19"/>
      <c r="N840" s="131"/>
      <c r="O840" s="30"/>
      <c r="P840" s="29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135"/>
      <c r="M841" s="19"/>
      <c r="N841" s="131"/>
      <c r="O841" s="30"/>
      <c r="P841" s="29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135"/>
      <c r="M842" s="19"/>
      <c r="N842" s="131"/>
      <c r="O842" s="30"/>
      <c r="P842" s="29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135"/>
      <c r="M843" s="19"/>
      <c r="N843" s="131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135"/>
      <c r="M844" s="19"/>
      <c r="N844" s="131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135"/>
      <c r="M845" s="19"/>
      <c r="N845" s="131"/>
      <c r="O845" s="30"/>
      <c r="P845" s="29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135"/>
      <c r="M846" s="19"/>
      <c r="N846" s="131"/>
      <c r="O846" s="30"/>
      <c r="P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135"/>
      <c r="M847" s="19"/>
      <c r="N847" s="131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135"/>
      <c r="M848" s="19"/>
      <c r="N848" s="131"/>
      <c r="O848" s="30"/>
      <c r="P848" s="29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135"/>
      <c r="M849" s="19"/>
      <c r="N849" s="131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135"/>
      <c r="M850" s="19"/>
      <c r="N850" s="131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135"/>
      <c r="M851" s="19"/>
      <c r="N851" s="131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135"/>
      <c r="M852" s="19"/>
      <c r="N852" s="131"/>
      <c r="O852" s="30"/>
      <c r="P852" s="29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135"/>
      <c r="M853" s="19"/>
      <c r="N853" s="131"/>
      <c r="O853" s="30"/>
      <c r="P853" s="29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135"/>
      <c r="M854" s="19"/>
      <c r="N854" s="131"/>
      <c r="O854" s="30"/>
      <c r="P854" s="29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135"/>
      <c r="M855" s="19"/>
      <c r="N855" s="131"/>
      <c r="O855" s="30"/>
      <c r="P855" s="29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135"/>
      <c r="M856" s="19"/>
      <c r="N856" s="131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135"/>
      <c r="M857" s="19"/>
      <c r="N857" s="131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135"/>
      <c r="M858" s="19"/>
      <c r="N858" s="131"/>
      <c r="O858" s="30"/>
      <c r="P858" s="29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135"/>
      <c r="M859" s="19"/>
      <c r="N859" s="131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135"/>
      <c r="M860" s="19"/>
      <c r="N860" s="131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135"/>
      <c r="M861" s="19"/>
      <c r="N861" s="131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135"/>
      <c r="M862" s="19"/>
      <c r="N862" s="131"/>
      <c r="O862" s="30"/>
      <c r="P862" s="29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135"/>
      <c r="M863" s="19"/>
      <c r="N863" s="131"/>
      <c r="O863" s="30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135"/>
      <c r="M864" s="19"/>
      <c r="N864" s="131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135"/>
      <c r="M865" s="19"/>
      <c r="N865" s="131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135"/>
      <c r="M866" s="19"/>
      <c r="N866" s="131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135"/>
      <c r="M867" s="19"/>
      <c r="N867" s="131"/>
      <c r="O867" s="30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135"/>
      <c r="M868" s="19"/>
      <c r="N868" s="131"/>
      <c r="O868" s="30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135"/>
      <c r="M869" s="19"/>
      <c r="N869" s="131"/>
      <c r="O869" s="30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135"/>
      <c r="M870" s="19"/>
      <c r="N870" s="131"/>
      <c r="O870" s="30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135"/>
      <c r="M871" s="19"/>
      <c r="N871" s="131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135"/>
      <c r="M872" s="19"/>
      <c r="N872" s="131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135"/>
      <c r="M873" s="19"/>
      <c r="N873" s="131"/>
      <c r="O873" s="30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135"/>
      <c r="M874" s="19"/>
      <c r="N874" s="131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135"/>
      <c r="M875" s="19"/>
      <c r="N875" s="131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135"/>
      <c r="M876" s="19"/>
      <c r="N876" s="131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135"/>
      <c r="M877" s="19"/>
      <c r="N877" s="131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135"/>
      <c r="M878" s="19"/>
      <c r="N878" s="131"/>
      <c r="O878" s="30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135"/>
      <c r="M879" s="19"/>
      <c r="N879" s="131"/>
      <c r="O879" s="30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135"/>
      <c r="M880" s="19"/>
      <c r="N880" s="131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135"/>
      <c r="M881" s="19"/>
      <c r="N881" s="131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135"/>
      <c r="M882" s="19"/>
      <c r="N882" s="131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135"/>
      <c r="M883" s="19"/>
      <c r="N883" s="131"/>
      <c r="O883" s="30"/>
      <c r="P883" s="29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135"/>
      <c r="M884" s="19"/>
      <c r="N884" s="131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135"/>
      <c r="M885" s="19"/>
      <c r="N885" s="131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135"/>
      <c r="M886" s="19"/>
      <c r="N886" s="131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135"/>
      <c r="M887" s="19"/>
      <c r="N887" s="131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135"/>
      <c r="M888" s="19"/>
      <c r="N888" s="131"/>
      <c r="O888" s="30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135"/>
      <c r="M889" s="19"/>
      <c r="N889" s="131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135"/>
      <c r="M890" s="19"/>
      <c r="N890" s="131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135"/>
      <c r="M891" s="19"/>
      <c r="N891" s="131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135"/>
      <c r="M892" s="19"/>
      <c r="N892" s="131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135"/>
      <c r="M893" s="19"/>
      <c r="N893" s="131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135"/>
      <c r="M894" s="19"/>
      <c r="N894" s="131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135"/>
      <c r="M895" s="19"/>
      <c r="N895" s="131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135"/>
      <c r="M896" s="19"/>
      <c r="N896" s="131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135"/>
      <c r="M897" s="19"/>
      <c r="N897" s="131"/>
      <c r="O897" s="30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135"/>
      <c r="M898" s="19"/>
      <c r="N898" s="131"/>
      <c r="O898" s="30"/>
      <c r="P898" s="29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135"/>
      <c r="M899" s="19"/>
      <c r="N899" s="131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135"/>
      <c r="M900" s="19"/>
      <c r="N900" s="131"/>
      <c r="O900" s="30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135"/>
      <c r="M901" s="19"/>
      <c r="N901" s="131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135"/>
      <c r="M902" s="19"/>
      <c r="N902" s="131"/>
      <c r="O902" s="30"/>
      <c r="P902" s="29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135"/>
      <c r="M903" s="19"/>
      <c r="N903" s="131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135"/>
      <c r="M904" s="19"/>
      <c r="N904" s="131"/>
      <c r="O904" s="30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135"/>
      <c r="M905" s="19"/>
      <c r="N905" s="131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135"/>
      <c r="M906" s="19"/>
      <c r="N906" s="131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135"/>
      <c r="M907" s="19"/>
      <c r="N907" s="131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135"/>
      <c r="M908" s="19"/>
      <c r="N908" s="131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135"/>
      <c r="M909" s="19"/>
      <c r="N909" s="131"/>
      <c r="O909" s="30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135"/>
      <c r="M910" s="19"/>
      <c r="N910" s="131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135"/>
      <c r="M911" s="19"/>
      <c r="N911" s="131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135"/>
      <c r="M912" s="19"/>
      <c r="N912" s="131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135"/>
      <c r="M913" s="19"/>
      <c r="N913" s="131"/>
      <c r="O913" s="30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135"/>
      <c r="M914" s="19"/>
      <c r="N914" s="131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135"/>
      <c r="M915" s="19"/>
      <c r="N915" s="131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135"/>
      <c r="M916" s="19"/>
      <c r="N916" s="131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135"/>
      <c r="M917" s="19"/>
      <c r="N917" s="131"/>
      <c r="O917" s="30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135"/>
      <c r="M918" s="19"/>
      <c r="N918" s="131"/>
      <c r="O918" s="30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135"/>
      <c r="M919" s="19"/>
      <c r="N919" s="131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135"/>
      <c r="M920" s="19"/>
      <c r="N920" s="131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135"/>
      <c r="M921" s="19"/>
      <c r="N921" s="131"/>
      <c r="O921" s="30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135"/>
      <c r="M922" s="19"/>
      <c r="N922" s="131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135"/>
      <c r="M923" s="19"/>
      <c r="N923" s="131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135"/>
      <c r="M924" s="19"/>
      <c r="N924" s="131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135"/>
      <c r="M925" s="19"/>
      <c r="N925" s="131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135"/>
      <c r="M926" s="19"/>
      <c r="N926" s="131"/>
      <c r="O926" s="30"/>
      <c r="P926" s="29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135"/>
      <c r="M927" s="19"/>
      <c r="N927" s="131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135"/>
      <c r="M928" s="19"/>
      <c r="N928" s="131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135"/>
      <c r="M929" s="19"/>
      <c r="N929" s="131"/>
      <c r="O929" s="30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135"/>
      <c r="M930" s="19"/>
      <c r="N930" s="131"/>
      <c r="O930" s="30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135"/>
      <c r="M931" s="19"/>
      <c r="N931" s="131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135"/>
      <c r="M932" s="19"/>
      <c r="N932" s="131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135"/>
      <c r="M933" s="19"/>
      <c r="N933" s="131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135"/>
      <c r="M934" s="19"/>
      <c r="N934" s="131"/>
      <c r="O934" s="30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135"/>
      <c r="M935" s="19"/>
      <c r="N935" s="131"/>
      <c r="O935" s="30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135"/>
      <c r="M936" s="19"/>
      <c r="N936" s="131"/>
      <c r="O936" s="30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135"/>
      <c r="M937" s="19"/>
      <c r="N937" s="131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135"/>
      <c r="M938" s="19"/>
      <c r="N938" s="131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135"/>
      <c r="M939" s="19"/>
      <c r="N939" s="131"/>
      <c r="O939" s="30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135"/>
      <c r="M940" s="19"/>
      <c r="N940" s="131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135"/>
      <c r="M941" s="19"/>
      <c r="N941" s="131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135"/>
      <c r="M942" s="19"/>
      <c r="N942" s="131"/>
      <c r="O942" s="30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135"/>
      <c r="M943" s="19"/>
      <c r="N943" s="131"/>
      <c r="O943" s="30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135"/>
      <c r="M944" s="19"/>
      <c r="N944" s="131"/>
      <c r="O944" s="30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135"/>
      <c r="M945" s="19"/>
      <c r="N945" s="131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135"/>
      <c r="M946" s="19"/>
      <c r="N946" s="131"/>
      <c r="O946" s="30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135"/>
      <c r="M947" s="19"/>
      <c r="N947" s="131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135"/>
      <c r="M948" s="19"/>
      <c r="N948" s="131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135"/>
      <c r="M949" s="19"/>
      <c r="N949" s="131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135"/>
      <c r="M950" s="19"/>
      <c r="N950" s="131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135"/>
      <c r="M951" s="19"/>
      <c r="N951" s="131"/>
      <c r="O951" s="30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135"/>
      <c r="M952" s="19"/>
      <c r="N952" s="131"/>
      <c r="O952" s="30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135"/>
      <c r="M953" s="19"/>
      <c r="N953" s="131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135"/>
      <c r="M954" s="19"/>
      <c r="N954" s="131"/>
      <c r="O954" s="30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135"/>
      <c r="M955" s="19"/>
      <c r="N955" s="131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135"/>
      <c r="M956" s="19"/>
      <c r="N956" s="131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135"/>
      <c r="M957" s="19"/>
      <c r="N957" s="131"/>
      <c r="O957" s="30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135"/>
      <c r="M958" s="19"/>
      <c r="N958" s="131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135"/>
      <c r="M959" s="19"/>
      <c r="N959" s="131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135"/>
      <c r="M960" s="19"/>
      <c r="N960" s="131"/>
      <c r="O960" s="30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135"/>
      <c r="M961" s="19"/>
      <c r="N961" s="131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135"/>
      <c r="M962" s="19"/>
      <c r="N962" s="131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135"/>
      <c r="M963" s="19"/>
      <c r="N963" s="131"/>
      <c r="O963" s="30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135"/>
      <c r="M964" s="19"/>
      <c r="N964" s="131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135"/>
      <c r="M965" s="19"/>
      <c r="N965" s="131"/>
      <c r="O965" s="30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135"/>
      <c r="M966" s="19"/>
      <c r="N966" s="131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135"/>
      <c r="M967" s="19"/>
      <c r="N967" s="131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135"/>
      <c r="M968" s="19"/>
      <c r="N968" s="131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135"/>
      <c r="M969" s="19"/>
      <c r="N969" s="131"/>
      <c r="O969" s="30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135"/>
      <c r="M970" s="19"/>
      <c r="N970" s="131"/>
      <c r="O970" s="30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135"/>
      <c r="M971" s="19"/>
      <c r="N971" s="131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135"/>
      <c r="M972" s="19"/>
      <c r="N972" s="131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135"/>
      <c r="M973" s="19"/>
      <c r="N973" s="131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135"/>
      <c r="M974" s="19"/>
      <c r="N974" s="131"/>
      <c r="O974" s="30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135"/>
      <c r="M975" s="19"/>
      <c r="N975" s="131"/>
      <c r="O975" s="30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135"/>
      <c r="M976" s="19"/>
      <c r="N976" s="131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135"/>
      <c r="M977" s="19"/>
      <c r="N977" s="131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135"/>
      <c r="M978" s="19"/>
      <c r="N978" s="131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135"/>
      <c r="M979" s="19"/>
      <c r="N979" s="131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135"/>
      <c r="M980" s="19"/>
      <c r="N980" s="131"/>
      <c r="O980" s="30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135"/>
      <c r="M981" s="19"/>
      <c r="N981" s="131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135"/>
      <c r="M982" s="19"/>
      <c r="N982" s="131"/>
      <c r="O982" s="30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135"/>
      <c r="M983" s="19"/>
      <c r="N983" s="131"/>
      <c r="O983" s="30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135"/>
      <c r="M984" s="19"/>
      <c r="N984" s="131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135"/>
      <c r="M985" s="19"/>
      <c r="N985" s="131"/>
      <c r="O985" s="30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135"/>
      <c r="M986" s="19"/>
      <c r="N986" s="131"/>
      <c r="O986" s="30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135"/>
      <c r="M987" s="19"/>
      <c r="N987" s="131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135"/>
      <c r="M988" s="19"/>
      <c r="N988" s="131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135"/>
      <c r="M989" s="19"/>
      <c r="N989" s="131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135"/>
      <c r="M990" s="19"/>
      <c r="N990" s="131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135"/>
      <c r="M991" s="19"/>
      <c r="N991" s="131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135"/>
      <c r="M992" s="19"/>
      <c r="N992" s="131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135"/>
      <c r="M993" s="19"/>
      <c r="N993" s="131"/>
      <c r="O993" s="30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135"/>
      <c r="M994" s="19"/>
      <c r="N994" s="131"/>
      <c r="O994" s="30"/>
      <c r="P994" s="29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135"/>
      <c r="M995" s="19"/>
      <c r="N995" s="131"/>
      <c r="O995" s="30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135"/>
      <c r="M996" s="19"/>
      <c r="N996" s="131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135"/>
      <c r="M997" s="19"/>
      <c r="N997" s="131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135"/>
      <c r="M998" s="19"/>
      <c r="N998" s="131"/>
      <c r="O998" s="30"/>
      <c r="P998" s="29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135"/>
      <c r="M999" s="19"/>
      <c r="N999" s="131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135"/>
      <c r="M1000" s="19"/>
      <c r="N1000" s="131"/>
      <c r="O1000" s="30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6">
    <mergeCell ref="C1:O1"/>
    <mergeCell ref="G4:N4"/>
    <mergeCell ref="G5:G6"/>
    <mergeCell ref="H5:H6"/>
    <mergeCell ref="I5:K5"/>
    <mergeCell ref="L5:N5"/>
  </mergeCells>
  <conditionalFormatting sqref="I8:J8 I10:K10 I18 I44 I54 I64 I72">
    <cfRule type="expression" dxfId="3" priority="1">
      <formula>AND(ISODD(ROW()),ROW()&gt;ROW($G$6))</formula>
    </cfRule>
  </conditionalFormatting>
  <conditionalFormatting sqref="G2:N1000">
    <cfRule type="expression" dxfId="3" priority="2">
      <formula>AND(ISODD(ROW()),ROW()&gt;ROW($G$7))</formula>
    </cfRule>
  </conditionalFormatting>
  <dataValidations>
    <dataValidation type="list" allowBlank="1" showErrorMessage="1" sqref="C7">
      <formula1>"1月,2月,3月,4月,5月,6月,7月,8月,9月,10月,11月,12月"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4" width="13.25"/>
    <col customWidth="1" min="15" max="15" width="3.38"/>
    <col customWidth="1" min="16" max="16" width="4.25"/>
    <col customWidth="1" min="17" max="17" width="32.5"/>
    <col customWidth="1" min="18" max="18" width="15.13"/>
    <col customWidth="1" min="19" max="26" width="6.88"/>
  </cols>
  <sheetData>
    <row r="1" ht="48.75" customHeight="1">
      <c r="A1" s="9"/>
      <c r="B1" s="2"/>
      <c r="C1" s="3" t="s">
        <v>2770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3"/>
      <c r="M2" s="14"/>
      <c r="N2" s="13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8"/>
      <c r="M3" s="19"/>
      <c r="N3" s="1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57.0" customHeight="1">
      <c r="A4" s="20"/>
      <c r="B4" s="21"/>
      <c r="C4" s="22" t="s">
        <v>2771</v>
      </c>
      <c r="D4" s="21"/>
      <c r="E4" s="20"/>
      <c r="F4" s="21"/>
      <c r="G4" s="23" t="s">
        <v>2772</v>
      </c>
      <c r="H4" s="4"/>
      <c r="I4" s="4"/>
      <c r="J4" s="4"/>
      <c r="K4" s="4"/>
      <c r="L4" s="4"/>
      <c r="M4" s="4"/>
      <c r="N4" s="4"/>
      <c r="O4" s="21"/>
      <c r="P4" s="20"/>
      <c r="Q4" s="325"/>
      <c r="R4" s="325"/>
      <c r="S4" s="21"/>
      <c r="T4" s="21"/>
      <c r="U4" s="21"/>
      <c r="V4" s="21"/>
      <c r="W4" s="21"/>
      <c r="X4" s="21"/>
      <c r="Y4" s="21"/>
      <c r="Z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5"/>
      <c r="L5" s="36" t="s">
        <v>8</v>
      </c>
      <c r="M5" s="37"/>
      <c r="N5" s="38"/>
      <c r="O5" s="30"/>
      <c r="P5" s="39"/>
      <c r="S5" s="41"/>
      <c r="T5" s="30"/>
      <c r="U5" s="30"/>
      <c r="V5" s="30"/>
      <c r="W5" s="30"/>
      <c r="X5" s="30"/>
      <c r="Y5" s="30"/>
      <c r="Z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8" t="s">
        <v>12</v>
      </c>
      <c r="L6" s="49" t="s">
        <v>10</v>
      </c>
      <c r="M6" s="50" t="s">
        <v>11</v>
      </c>
      <c r="N6" s="51" t="s">
        <v>12</v>
      </c>
      <c r="O6" s="30"/>
      <c r="P6" s="39"/>
      <c r="S6" s="41"/>
      <c r="T6" s="30"/>
      <c r="U6" s="30"/>
      <c r="V6" s="30"/>
      <c r="W6" s="30"/>
      <c r="X6" s="30"/>
      <c r="Y6" s="30"/>
      <c r="Z6" s="30"/>
    </row>
    <row r="7" ht="27.75" customHeight="1">
      <c r="A7" s="29"/>
      <c r="B7" s="30"/>
      <c r="C7" s="53" t="s">
        <v>1089</v>
      </c>
      <c r="D7" s="54" t="s">
        <v>16</v>
      </c>
      <c r="E7" s="29"/>
      <c r="F7" s="30"/>
      <c r="G7" s="66">
        <v>1.0</v>
      </c>
      <c r="H7" s="153">
        <v>45413.0</v>
      </c>
      <c r="I7" s="68" t="s">
        <v>2773</v>
      </c>
      <c r="J7" s="69">
        <f>'4月收支财务报表'!C13</f>
        <v>-893.112</v>
      </c>
      <c r="K7" s="314" t="s">
        <v>2774</v>
      </c>
      <c r="L7" s="315"/>
      <c r="M7" s="90"/>
      <c r="N7" s="316"/>
      <c r="O7" s="30"/>
      <c r="P7" s="29"/>
      <c r="Q7" s="109">
        <f>SUMIF(I:I,"阿光-印度六期",J:J)</f>
        <v>300000</v>
      </c>
      <c r="R7" s="26" t="s">
        <v>2775</v>
      </c>
      <c r="S7" s="30"/>
      <c r="T7" s="30"/>
      <c r="U7" s="30"/>
      <c r="V7" s="30"/>
      <c r="W7" s="30"/>
      <c r="X7" s="30"/>
      <c r="Y7" s="30"/>
      <c r="Z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45413.0</v>
      </c>
      <c r="I8" s="68" t="s">
        <v>2775</v>
      </c>
      <c r="J8" s="69">
        <v>100000.0</v>
      </c>
      <c r="K8" s="314" t="s">
        <v>2776</v>
      </c>
      <c r="L8" s="315" t="s">
        <v>2504</v>
      </c>
      <c r="M8" s="90">
        <v>22640.0</v>
      </c>
      <c r="N8" s="316" t="s">
        <v>2777</v>
      </c>
      <c r="O8" s="30"/>
      <c r="P8" s="29"/>
      <c r="Q8" s="109">
        <f>SUMIF(I:I,"阿光-印度七期",J:J)</f>
        <v>550000</v>
      </c>
      <c r="R8" s="26" t="s">
        <v>2778</v>
      </c>
      <c r="S8" s="30"/>
      <c r="T8" s="30"/>
      <c r="U8" s="30"/>
      <c r="V8" s="30"/>
      <c r="W8" s="30"/>
      <c r="X8" s="30"/>
      <c r="Y8" s="30"/>
      <c r="Z8" s="30"/>
    </row>
    <row r="9" ht="27.75" customHeight="1">
      <c r="A9" s="29"/>
      <c r="B9" s="30"/>
      <c r="C9" s="77">
        <f>C21</f>
        <v>2051124.888</v>
      </c>
      <c r="D9" s="30"/>
      <c r="E9" s="29"/>
      <c r="F9" s="30"/>
      <c r="G9" s="66">
        <v>3.0</v>
      </c>
      <c r="H9" s="153">
        <v>45413.0</v>
      </c>
      <c r="I9" s="68"/>
      <c r="J9" s="69"/>
      <c r="K9" s="314"/>
      <c r="L9" s="315" t="s">
        <v>20</v>
      </c>
      <c r="M9" s="90">
        <v>200.0</v>
      </c>
      <c r="N9" s="316" t="s">
        <v>2779</v>
      </c>
      <c r="O9" s="30"/>
      <c r="P9" s="29"/>
      <c r="Q9" s="109">
        <f>SUMIF(I:I,"金鑫海哥5月",J:J)</f>
        <v>100000</v>
      </c>
      <c r="R9" s="26" t="s">
        <v>2780</v>
      </c>
      <c r="S9" s="30"/>
      <c r="T9" s="30"/>
      <c r="U9" s="30"/>
      <c r="V9" s="30"/>
      <c r="W9" s="30"/>
      <c r="X9" s="30"/>
      <c r="Y9" s="30"/>
      <c r="Z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45413.0</v>
      </c>
      <c r="I10" s="84"/>
      <c r="J10" s="17"/>
      <c r="K10" s="133"/>
      <c r="L10" s="315" t="s">
        <v>2504</v>
      </c>
      <c r="M10" s="90">
        <v>30000.0</v>
      </c>
      <c r="N10" s="316" t="s">
        <v>2781</v>
      </c>
      <c r="O10" s="30"/>
      <c r="P10" s="29"/>
      <c r="Q10" s="109">
        <f>SUMIF(I:I,"锅大侠",J:J)</f>
        <v>253000</v>
      </c>
      <c r="R10" s="26" t="s">
        <v>2782</v>
      </c>
      <c r="S10" s="30"/>
      <c r="T10" s="30"/>
      <c r="U10" s="30"/>
      <c r="V10" s="30"/>
      <c r="W10" s="30"/>
      <c r="X10" s="30"/>
      <c r="Y10" s="30"/>
      <c r="Z10" s="30"/>
    </row>
    <row r="11" ht="27.75" customHeight="1">
      <c r="A11" s="29"/>
      <c r="B11" s="30"/>
      <c r="C11" s="79">
        <f>C23</f>
        <v>2041487.83</v>
      </c>
      <c r="D11" s="30"/>
      <c r="E11" s="29"/>
      <c r="F11" s="30"/>
      <c r="G11" s="66">
        <v>5.0</v>
      </c>
      <c r="H11" s="153">
        <v>45413.0</v>
      </c>
      <c r="I11" s="84"/>
      <c r="J11" s="17"/>
      <c r="K11" s="133"/>
      <c r="L11" s="315" t="s">
        <v>2408</v>
      </c>
      <c r="M11" s="90">
        <v>20000.0</v>
      </c>
      <c r="N11" s="316" t="s">
        <v>2160</v>
      </c>
      <c r="O11" s="30"/>
      <c r="P11" s="29"/>
      <c r="Q11" s="109">
        <f>SUMIF(I:I,"郭大侠2期",J:J)</f>
        <v>191751</v>
      </c>
      <c r="R11" s="26" t="s">
        <v>2783</v>
      </c>
      <c r="S11" s="243"/>
      <c r="T11" s="30"/>
      <c r="U11" s="30"/>
      <c r="V11" s="30"/>
      <c r="W11" s="30"/>
      <c r="X11" s="30"/>
      <c r="Y11" s="30"/>
      <c r="Z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45413.0</v>
      </c>
      <c r="I12" s="84"/>
      <c r="J12" s="17"/>
      <c r="K12" s="133"/>
      <c r="L12" s="315" t="s">
        <v>2504</v>
      </c>
      <c r="M12" s="90">
        <v>2073.72</v>
      </c>
      <c r="N12" s="316" t="s">
        <v>2784</v>
      </c>
      <c r="O12" s="30"/>
      <c r="P12" s="29"/>
      <c r="Q12" s="109">
        <f>SUMIF(I:I,"印度，维权粉",J:J)</f>
        <v>19999</v>
      </c>
      <c r="R12" s="26" t="s">
        <v>2785</v>
      </c>
      <c r="S12" s="30"/>
      <c r="T12" s="30"/>
      <c r="U12" s="30"/>
      <c r="V12" s="30"/>
      <c r="W12" s="30"/>
      <c r="X12" s="30"/>
      <c r="Y12" s="30"/>
      <c r="Z12" s="30"/>
    </row>
    <row r="13" ht="27.75" customHeight="1">
      <c r="A13" s="29"/>
      <c r="B13" s="30"/>
      <c r="C13" s="82">
        <f>C9-C11</f>
        <v>9637.058</v>
      </c>
      <c r="D13" s="30"/>
      <c r="E13" s="29"/>
      <c r="F13" s="30"/>
      <c r="G13" s="66">
        <v>7.0</v>
      </c>
      <c r="H13" s="153">
        <v>45414.0</v>
      </c>
      <c r="I13" s="84"/>
      <c r="J13" s="17"/>
      <c r="K13" s="133"/>
      <c r="L13" s="315" t="s">
        <v>2504</v>
      </c>
      <c r="M13" s="90">
        <v>5000.0</v>
      </c>
      <c r="N13" s="316" t="s">
        <v>2786</v>
      </c>
      <c r="O13" s="30"/>
      <c r="P13" s="29"/>
      <c r="Q13" s="109">
        <f>SUMIF(I:I,"英國精粉測試（zhang）",J:J)</f>
        <v>10000</v>
      </c>
      <c r="R13" s="26" t="s">
        <v>2711</v>
      </c>
      <c r="S13" s="30"/>
      <c r="T13" s="30"/>
      <c r="U13" s="30"/>
      <c r="V13" s="30"/>
      <c r="W13" s="30"/>
      <c r="X13" s="30"/>
      <c r="Y13" s="30"/>
      <c r="Z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45414.0</v>
      </c>
      <c r="I14" s="84"/>
      <c r="J14" s="17"/>
      <c r="K14" s="133"/>
      <c r="L14" s="315" t="s">
        <v>2504</v>
      </c>
      <c r="M14" s="90">
        <v>2020.0</v>
      </c>
      <c r="N14" s="316" t="s">
        <v>2787</v>
      </c>
      <c r="O14" s="30"/>
      <c r="P14" s="29"/>
      <c r="Q14" s="109">
        <f>SUMIF(I:I,"澳大利亚，股票/二群—FB",J:J)</f>
        <v>85000</v>
      </c>
      <c r="R14" s="26" t="s">
        <v>2788</v>
      </c>
      <c r="S14" s="30"/>
      <c r="T14" s="30"/>
      <c r="U14" s="30"/>
      <c r="V14" s="30"/>
      <c r="W14" s="30"/>
      <c r="X14" s="30"/>
      <c r="Y14" s="30"/>
      <c r="Z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30">
        <v>45414.0</v>
      </c>
      <c r="I15" s="154"/>
      <c r="J15" s="17"/>
      <c r="K15" s="326"/>
      <c r="L15" s="324" t="s">
        <v>2504</v>
      </c>
      <c r="M15" s="19">
        <v>3000.0</v>
      </c>
      <c r="N15" s="327" t="s">
        <v>2789</v>
      </c>
      <c r="O15" s="30"/>
      <c r="P15" s="29"/>
      <c r="Q15" s="109">
        <f>SUMIF(I:I,"欧美精聊交流",J:J)</f>
        <v>1300</v>
      </c>
      <c r="R15" s="26" t="s">
        <v>2790</v>
      </c>
      <c r="S15" s="243"/>
      <c r="T15" s="30"/>
      <c r="U15" s="30"/>
      <c r="V15" s="30"/>
      <c r="W15" s="30"/>
      <c r="X15" s="30"/>
      <c r="Y15" s="30"/>
      <c r="Z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30">
        <v>45414.0</v>
      </c>
      <c r="I16" s="154" t="s">
        <v>2791</v>
      </c>
      <c r="J16" s="17">
        <v>8080.0</v>
      </c>
      <c r="K16" s="326" t="s">
        <v>2792</v>
      </c>
      <c r="L16" s="324" t="s">
        <v>20</v>
      </c>
      <c r="M16" s="19">
        <v>100.0</v>
      </c>
      <c r="N16" s="327" t="s">
        <v>2793</v>
      </c>
      <c r="O16" s="30"/>
      <c r="P16" s="29"/>
      <c r="Q16" s="109">
        <f>SUMIF(I:I,"FB 股票-马腾飞",J:J)</f>
        <v>20000</v>
      </c>
      <c r="R16" s="26" t="s">
        <v>2794</v>
      </c>
      <c r="S16" s="30"/>
      <c r="T16" s="30"/>
      <c r="U16" s="30"/>
      <c r="V16" s="30"/>
      <c r="W16" s="30"/>
      <c r="X16" s="30"/>
      <c r="Y16" s="30"/>
      <c r="Z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30">
        <v>45414.0</v>
      </c>
      <c r="I17" s="154"/>
      <c r="J17" s="17"/>
      <c r="K17" s="326"/>
      <c r="L17" s="324" t="s">
        <v>2504</v>
      </c>
      <c r="M17" s="19">
        <v>3030.0</v>
      </c>
      <c r="N17" s="316" t="s">
        <v>2795</v>
      </c>
      <c r="O17" s="30"/>
      <c r="P17" s="29"/>
      <c r="Q17" s="109">
        <f>SUMIF(I:I,"六亿(40000粉）",J:J)</f>
        <v>100000</v>
      </c>
      <c r="R17" s="26" t="s">
        <v>2796</v>
      </c>
      <c r="S17" s="30"/>
      <c r="T17" s="30"/>
      <c r="U17" s="30"/>
      <c r="V17" s="30"/>
      <c r="W17" s="30"/>
      <c r="X17" s="30"/>
      <c r="Y17" s="30"/>
      <c r="Z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45414.0</v>
      </c>
      <c r="I18" s="154"/>
      <c r="J18" s="17"/>
      <c r="K18" s="326"/>
      <c r="L18" s="315" t="s">
        <v>2504</v>
      </c>
      <c r="M18" s="90">
        <v>15000.0</v>
      </c>
      <c r="N18" s="316" t="s">
        <v>2797</v>
      </c>
      <c r="O18" s="30"/>
      <c r="P18" s="29"/>
      <c r="Q18" s="109">
        <f>SUMIF(I:I,"叶凡（16800）",J:J)</f>
        <v>50000</v>
      </c>
      <c r="R18" s="26" t="s">
        <v>2798</v>
      </c>
      <c r="S18" s="30"/>
      <c r="T18" s="30"/>
      <c r="U18" s="30"/>
      <c r="V18" s="30"/>
      <c r="W18" s="30"/>
      <c r="X18" s="30"/>
      <c r="Y18" s="30"/>
      <c r="Z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45414.0</v>
      </c>
      <c r="I19" s="68" t="s">
        <v>2775</v>
      </c>
      <c r="J19" s="69">
        <v>100000.0</v>
      </c>
      <c r="K19" s="314" t="s">
        <v>713</v>
      </c>
      <c r="L19" s="315" t="s">
        <v>2504</v>
      </c>
      <c r="M19" s="90">
        <v>30000.0</v>
      </c>
      <c r="N19" s="316" t="s">
        <v>2799</v>
      </c>
      <c r="O19" s="30"/>
      <c r="P19" s="29"/>
      <c r="Q19" s="109">
        <f>SUMIF(L:L,"广告配套",M:M)</f>
        <v>13791.12</v>
      </c>
      <c r="R19" s="26" t="s">
        <v>20</v>
      </c>
      <c r="S19" s="30"/>
      <c r="T19" s="30"/>
      <c r="U19" s="30"/>
      <c r="V19" s="30"/>
      <c r="W19" s="30"/>
      <c r="X19" s="30"/>
      <c r="Y19" s="30"/>
      <c r="Z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45414.0</v>
      </c>
      <c r="I20" s="84"/>
      <c r="J20" s="17"/>
      <c r="K20" s="133"/>
      <c r="L20" s="315" t="s">
        <v>2504</v>
      </c>
      <c r="M20" s="90">
        <v>4040.0</v>
      </c>
      <c r="N20" s="316" t="s">
        <v>2800</v>
      </c>
      <c r="O20" s="30"/>
      <c r="P20" s="29"/>
      <c r="Q20" s="109">
        <f>SUMIF(L:L,"远程佣金",M:M)</f>
        <v>14436.07</v>
      </c>
      <c r="R20" s="26" t="s">
        <v>2393</v>
      </c>
      <c r="S20" s="30"/>
      <c r="T20" s="30"/>
      <c r="U20" s="30"/>
      <c r="V20" s="30"/>
      <c r="W20" s="30"/>
      <c r="X20" s="30"/>
      <c r="Y20" s="30"/>
      <c r="Z20" s="30"/>
    </row>
    <row r="21" ht="27.75" customHeight="1">
      <c r="A21" s="29"/>
      <c r="B21" s="30"/>
      <c r="C21" s="77">
        <f>SUMIFS(J:J,H:H,"&gt;="&amp;$C$17,H:H,"&lt;="&amp;$C$19)</f>
        <v>2051124.888</v>
      </c>
      <c r="D21" s="30"/>
      <c r="E21" s="29"/>
      <c r="F21" s="30"/>
      <c r="G21" s="66">
        <v>15.0</v>
      </c>
      <c r="H21" s="153">
        <v>45414.0</v>
      </c>
      <c r="I21" s="68"/>
      <c r="J21" s="69"/>
      <c r="K21" s="314"/>
      <c r="L21" s="315" t="s">
        <v>2504</v>
      </c>
      <c r="M21" s="90">
        <v>30000.0</v>
      </c>
      <c r="N21" s="316" t="s">
        <v>2801</v>
      </c>
      <c r="O21" s="30"/>
      <c r="P21" s="29"/>
      <c r="Q21" s="109">
        <f>SUMIF(I:I,"阿修",J:J)</f>
        <v>33180</v>
      </c>
      <c r="R21" s="26" t="s">
        <v>2791</v>
      </c>
      <c r="S21" s="30"/>
      <c r="T21" s="30"/>
      <c r="U21" s="30"/>
      <c r="V21" s="30"/>
      <c r="W21" s="30"/>
      <c r="X21" s="30"/>
      <c r="Y21" s="30"/>
      <c r="Z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45415.0</v>
      </c>
      <c r="I22" s="68"/>
      <c r="J22" s="69"/>
      <c r="K22" s="133"/>
      <c r="L22" s="315" t="s">
        <v>2504</v>
      </c>
      <c r="M22" s="90">
        <v>5000.0</v>
      </c>
      <c r="N22" s="316" t="s">
        <v>2802</v>
      </c>
      <c r="O22" s="30"/>
      <c r="P22" s="29"/>
      <c r="Q22" s="109">
        <f>SUMIF(L:L,"广告费",M:M)</f>
        <v>1436898.73</v>
      </c>
      <c r="R22" s="26" t="s">
        <v>2504</v>
      </c>
      <c r="S22" s="30"/>
      <c r="T22" s="30"/>
      <c r="U22" s="30"/>
      <c r="V22" s="30"/>
      <c r="W22" s="30"/>
      <c r="X22" s="30"/>
      <c r="Y22" s="30"/>
      <c r="Z22" s="30"/>
    </row>
    <row r="23" ht="27.75" customHeight="1">
      <c r="A23" s="29"/>
      <c r="B23" s="30"/>
      <c r="C23" s="79">
        <f>SUMIFS(M:M,H:H,"&gt;="&amp;$C$17,H:H,"&lt;="&amp;$C$19)</f>
        <v>2041487.83</v>
      </c>
      <c r="D23" s="30"/>
      <c r="E23" s="29"/>
      <c r="F23" s="30"/>
      <c r="G23" s="66">
        <v>17.0</v>
      </c>
      <c r="H23" s="153">
        <v>45415.0</v>
      </c>
      <c r="I23" s="68" t="s">
        <v>2791</v>
      </c>
      <c r="J23" s="69">
        <v>10100.0</v>
      </c>
      <c r="K23" s="314" t="s">
        <v>2803</v>
      </c>
      <c r="L23" s="315" t="s">
        <v>2504</v>
      </c>
      <c r="M23" s="90">
        <v>30000.0</v>
      </c>
      <c r="N23" s="316" t="s">
        <v>2804</v>
      </c>
      <c r="O23" s="30"/>
      <c r="P23" s="29"/>
      <c r="Q23" s="243"/>
      <c r="R23" s="30"/>
      <c r="S23" s="30"/>
      <c r="T23" s="30"/>
      <c r="U23" s="30"/>
      <c r="V23" s="30"/>
      <c r="W23" s="30"/>
      <c r="X23" s="30"/>
      <c r="Y23" s="30"/>
      <c r="Z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45415.0</v>
      </c>
      <c r="I24" s="68"/>
      <c r="J24" s="69"/>
      <c r="K24" s="133"/>
      <c r="L24" s="315" t="s">
        <v>20</v>
      </c>
      <c r="M24" s="90">
        <v>103.0</v>
      </c>
      <c r="N24" s="316" t="s">
        <v>2805</v>
      </c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29"/>
      <c r="B25" s="30"/>
      <c r="C25" s="82">
        <f>C21-C23</f>
        <v>9637.058</v>
      </c>
      <c r="D25" s="30"/>
      <c r="E25" s="29"/>
      <c r="F25" s="30"/>
      <c r="G25" s="66">
        <v>19.0</v>
      </c>
      <c r="H25" s="153">
        <v>45415.0</v>
      </c>
      <c r="I25" s="68" t="s">
        <v>2791</v>
      </c>
      <c r="J25" s="69">
        <v>5000.0</v>
      </c>
      <c r="K25" s="314" t="s">
        <v>2806</v>
      </c>
      <c r="L25" s="315" t="s">
        <v>2504</v>
      </c>
      <c r="M25" s="90">
        <v>6000.0</v>
      </c>
      <c r="N25" s="316" t="s">
        <v>2807</v>
      </c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45415.0</v>
      </c>
      <c r="I26" s="68"/>
      <c r="J26" s="69"/>
      <c r="K26" s="314"/>
      <c r="L26" s="315" t="s">
        <v>2504</v>
      </c>
      <c r="M26" s="90">
        <v>1050.0</v>
      </c>
      <c r="N26" s="316" t="s">
        <v>2808</v>
      </c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45415.0</v>
      </c>
      <c r="I27" s="68" t="s">
        <v>2775</v>
      </c>
      <c r="J27" s="69">
        <v>100000.0</v>
      </c>
      <c r="K27" s="314" t="s">
        <v>793</v>
      </c>
      <c r="L27" s="315" t="s">
        <v>2504</v>
      </c>
      <c r="M27" s="90">
        <v>30000.0</v>
      </c>
      <c r="N27" s="316" t="s">
        <v>2809</v>
      </c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45415.0</v>
      </c>
      <c r="I28" s="68"/>
      <c r="J28" s="69"/>
      <c r="K28" s="133"/>
      <c r="L28" s="315" t="s">
        <v>2504</v>
      </c>
      <c r="M28" s="90">
        <v>2020.0</v>
      </c>
      <c r="N28" s="316" t="s">
        <v>2810</v>
      </c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45415.0</v>
      </c>
      <c r="I29" s="68"/>
      <c r="J29" s="69"/>
      <c r="K29" s="314"/>
      <c r="L29" s="315" t="s">
        <v>2504</v>
      </c>
      <c r="M29" s="90">
        <v>3199.85</v>
      </c>
      <c r="N29" s="316" t="s">
        <v>2811</v>
      </c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45415.0</v>
      </c>
      <c r="I30" s="68"/>
      <c r="J30" s="69"/>
      <c r="K30" s="133"/>
      <c r="L30" s="315" t="s">
        <v>2504</v>
      </c>
      <c r="M30" s="90">
        <v>30000.0</v>
      </c>
      <c r="N30" s="316" t="s">
        <v>2812</v>
      </c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45415.0</v>
      </c>
      <c r="I31" s="68"/>
      <c r="J31" s="69"/>
      <c r="K31" s="314"/>
      <c r="L31" s="315" t="s">
        <v>2504</v>
      </c>
      <c r="M31" s="90">
        <v>10005.0</v>
      </c>
      <c r="N31" s="316" t="s">
        <v>2813</v>
      </c>
      <c r="O31" s="30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45416.0</v>
      </c>
      <c r="I32" s="84"/>
      <c r="J32" s="17"/>
      <c r="K32" s="133"/>
      <c r="L32" s="315" t="s">
        <v>2504</v>
      </c>
      <c r="M32" s="90">
        <v>1050.0</v>
      </c>
      <c r="N32" s="316" t="s">
        <v>2814</v>
      </c>
      <c r="O32" s="30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45416.0</v>
      </c>
      <c r="I33" s="68" t="s">
        <v>2780</v>
      </c>
      <c r="J33" s="69">
        <v>25000.0</v>
      </c>
      <c r="K33" s="314" t="s">
        <v>2815</v>
      </c>
      <c r="L33" s="315" t="s">
        <v>1841</v>
      </c>
      <c r="M33" s="90">
        <v>25000.0</v>
      </c>
      <c r="N33" s="316" t="s">
        <v>2816</v>
      </c>
      <c r="O33" s="30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45416.0</v>
      </c>
      <c r="I34" s="68" t="s">
        <v>2791</v>
      </c>
      <c r="J34" s="69">
        <v>10000.0</v>
      </c>
      <c r="K34" s="318">
        <v>0.7638888888888888</v>
      </c>
      <c r="L34" s="315" t="s">
        <v>2504</v>
      </c>
      <c r="M34" s="90">
        <v>5000.0</v>
      </c>
      <c r="N34" s="316" t="s">
        <v>2817</v>
      </c>
      <c r="O34" s="30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45416.0</v>
      </c>
      <c r="I35" s="68"/>
      <c r="J35" s="69"/>
      <c r="K35" s="133"/>
      <c r="L35" s="315" t="s">
        <v>2504</v>
      </c>
      <c r="M35" s="90">
        <v>2100.0</v>
      </c>
      <c r="N35" s="316" t="s">
        <v>2818</v>
      </c>
      <c r="O35" s="30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45416.0</v>
      </c>
      <c r="I36" s="84"/>
      <c r="J36" s="17"/>
      <c r="K36" s="133"/>
      <c r="L36" s="315" t="s">
        <v>2504</v>
      </c>
      <c r="M36" s="90">
        <v>4200.0</v>
      </c>
      <c r="N36" s="316" t="s">
        <v>2819</v>
      </c>
      <c r="O36" s="30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45417.0</v>
      </c>
      <c r="I37" s="68"/>
      <c r="J37" s="69"/>
      <c r="K37" s="133"/>
      <c r="L37" s="315" t="s">
        <v>2504</v>
      </c>
      <c r="M37" s="90">
        <v>10000.0</v>
      </c>
      <c r="N37" s="316" t="s">
        <v>2820</v>
      </c>
      <c r="O37" s="30"/>
      <c r="P37" s="29"/>
      <c r="R37" s="30"/>
      <c r="S37" s="30"/>
      <c r="T37" s="30"/>
      <c r="U37" s="30"/>
      <c r="V37" s="30"/>
      <c r="W37" s="30"/>
      <c r="X37" s="30"/>
      <c r="Y37" s="30"/>
      <c r="Z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45417.0</v>
      </c>
      <c r="I38" s="68"/>
      <c r="J38" s="69"/>
      <c r="K38" s="133"/>
      <c r="L38" s="315" t="s">
        <v>2504</v>
      </c>
      <c r="M38" s="90">
        <v>2100.0</v>
      </c>
      <c r="N38" s="316" t="s">
        <v>2821</v>
      </c>
      <c r="O38" s="30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45417.0</v>
      </c>
      <c r="I39" s="68" t="s">
        <v>2780</v>
      </c>
      <c r="J39" s="69">
        <v>30000.0</v>
      </c>
      <c r="K39" s="314" t="s">
        <v>2822</v>
      </c>
      <c r="L39" s="315" t="s">
        <v>2504</v>
      </c>
      <c r="M39" s="90">
        <v>10005.0</v>
      </c>
      <c r="N39" s="316" t="s">
        <v>2823</v>
      </c>
      <c r="O39" s="30"/>
      <c r="P39" s="29"/>
      <c r="Q39" s="243"/>
      <c r="R39" s="30"/>
      <c r="S39" s="30"/>
      <c r="T39" s="30"/>
      <c r="U39" s="30"/>
      <c r="V39" s="30"/>
      <c r="W39" s="30"/>
      <c r="X39" s="30"/>
      <c r="Y39" s="30"/>
      <c r="Z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45417.0</v>
      </c>
      <c r="I40" s="68" t="s">
        <v>2780</v>
      </c>
      <c r="J40" s="69">
        <v>20000.0</v>
      </c>
      <c r="K40" s="314" t="s">
        <v>2824</v>
      </c>
      <c r="L40" s="315" t="s">
        <v>2504</v>
      </c>
      <c r="M40" s="90">
        <v>30000.0</v>
      </c>
      <c r="N40" s="316" t="s">
        <v>2825</v>
      </c>
      <c r="O40" s="30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45417.0</v>
      </c>
      <c r="I41" s="68"/>
      <c r="J41" s="69"/>
      <c r="K41" s="314"/>
      <c r="L41" s="315" t="s">
        <v>2504</v>
      </c>
      <c r="M41" s="90">
        <v>1010.0</v>
      </c>
      <c r="N41" s="316" t="s">
        <v>2826</v>
      </c>
      <c r="O41" s="30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45417.0</v>
      </c>
      <c r="I42" s="68"/>
      <c r="J42" s="69"/>
      <c r="K42" s="314"/>
      <c r="L42" s="315" t="s">
        <v>20</v>
      </c>
      <c r="M42" s="90">
        <v>608.0</v>
      </c>
      <c r="N42" s="316" t="s">
        <v>2827</v>
      </c>
      <c r="O42" s="30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45417.0</v>
      </c>
      <c r="I43" s="68" t="s">
        <v>2778</v>
      </c>
      <c r="J43" s="69">
        <v>100000.0</v>
      </c>
      <c r="K43" s="318">
        <v>0.7138888888888889</v>
      </c>
      <c r="L43" s="315" t="s">
        <v>2504</v>
      </c>
      <c r="M43" s="90">
        <v>30000.0</v>
      </c>
      <c r="N43" s="316" t="s">
        <v>2828</v>
      </c>
      <c r="O43" s="30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45417.0</v>
      </c>
      <c r="I44" s="84"/>
      <c r="J44" s="17"/>
      <c r="K44" s="133"/>
      <c r="L44" s="315" t="s">
        <v>2504</v>
      </c>
      <c r="M44" s="90">
        <v>15000.0</v>
      </c>
      <c r="N44" s="316" t="s">
        <v>2829</v>
      </c>
      <c r="O44" s="30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45418.0</v>
      </c>
      <c r="I45" s="68"/>
      <c r="J45" s="69"/>
      <c r="K45" s="133"/>
      <c r="L45" s="315" t="s">
        <v>2504</v>
      </c>
      <c r="M45" s="90">
        <v>5000.0</v>
      </c>
      <c r="N45" s="316" t="s">
        <v>2830</v>
      </c>
      <c r="O45" s="30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45418.0</v>
      </c>
      <c r="I46" s="84"/>
      <c r="J46" s="17"/>
      <c r="K46" s="133"/>
      <c r="L46" s="315" t="s">
        <v>20</v>
      </c>
      <c r="M46" s="90">
        <v>51.5</v>
      </c>
      <c r="N46" s="316" t="s">
        <v>2831</v>
      </c>
      <c r="O46" s="30"/>
      <c r="P46" s="29"/>
      <c r="R46" s="30"/>
      <c r="S46" s="30"/>
      <c r="T46" s="30"/>
      <c r="U46" s="30"/>
      <c r="V46" s="30"/>
      <c r="W46" s="30"/>
      <c r="X46" s="30"/>
      <c r="Y46" s="30"/>
      <c r="Z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45418.0</v>
      </c>
      <c r="I47" s="68"/>
      <c r="J47" s="69"/>
      <c r="K47" s="314"/>
      <c r="L47" s="315" t="s">
        <v>2504</v>
      </c>
      <c r="M47" s="90">
        <v>2100.0</v>
      </c>
      <c r="N47" s="316" t="s">
        <v>2832</v>
      </c>
      <c r="O47" s="30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45418.0</v>
      </c>
      <c r="I48" s="68"/>
      <c r="J48" s="69"/>
      <c r="K48" s="318"/>
      <c r="L48" s="315" t="s">
        <v>2504</v>
      </c>
      <c r="M48" s="90">
        <v>10000.0</v>
      </c>
      <c r="N48" s="316" t="s">
        <v>2833</v>
      </c>
      <c r="O48" s="30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45418.0</v>
      </c>
      <c r="I49" s="68"/>
      <c r="J49" s="69"/>
      <c r="K49" s="133"/>
      <c r="L49" s="315" t="s">
        <v>2834</v>
      </c>
      <c r="M49" s="90">
        <v>332.68</v>
      </c>
      <c r="N49" s="316" t="s">
        <v>2835</v>
      </c>
      <c r="O49" s="30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45418.0</v>
      </c>
      <c r="I50" s="84"/>
      <c r="J50" s="17"/>
      <c r="K50" s="133"/>
      <c r="L50" s="315" t="s">
        <v>2504</v>
      </c>
      <c r="M50" s="90">
        <v>20000.0</v>
      </c>
      <c r="N50" s="316" t="s">
        <v>2836</v>
      </c>
      <c r="O50" s="30"/>
      <c r="P50" s="29"/>
      <c r="R50" s="30"/>
      <c r="S50" s="30"/>
      <c r="T50" s="30"/>
      <c r="U50" s="30"/>
      <c r="V50" s="30"/>
      <c r="W50" s="30"/>
      <c r="X50" s="30"/>
      <c r="Y50" s="30"/>
      <c r="Z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45418.0</v>
      </c>
      <c r="I51" s="68" t="s">
        <v>2778</v>
      </c>
      <c r="J51" s="69">
        <v>100000.0</v>
      </c>
      <c r="K51" s="318">
        <v>0.7118055555555556</v>
      </c>
      <c r="L51" s="315" t="s">
        <v>2504</v>
      </c>
      <c r="M51" s="90">
        <v>10001.0</v>
      </c>
      <c r="N51" s="316" t="s">
        <v>2837</v>
      </c>
      <c r="O51" s="30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45418.0</v>
      </c>
      <c r="I52" s="68"/>
      <c r="J52" s="69"/>
      <c r="K52" s="318"/>
      <c r="L52" s="315" t="s">
        <v>20</v>
      </c>
      <c r="M52" s="90">
        <f>614+70</f>
        <v>684</v>
      </c>
      <c r="N52" s="316" t="s">
        <v>2838</v>
      </c>
      <c r="O52" s="30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45419.0</v>
      </c>
      <c r="I53" s="68"/>
      <c r="J53" s="69"/>
      <c r="K53" s="314"/>
      <c r="L53" s="315" t="s">
        <v>2504</v>
      </c>
      <c r="M53" s="90">
        <v>3030.0</v>
      </c>
      <c r="N53" s="316" t="s">
        <v>2839</v>
      </c>
      <c r="O53" s="30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45419.0</v>
      </c>
      <c r="I54" s="84"/>
      <c r="J54" s="17"/>
      <c r="K54" s="133"/>
      <c r="L54" s="315" t="s">
        <v>2504</v>
      </c>
      <c r="M54" s="90">
        <v>10000.0</v>
      </c>
      <c r="N54" s="316" t="s">
        <v>2840</v>
      </c>
      <c r="O54" s="30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45419.0</v>
      </c>
      <c r="I55" s="68"/>
      <c r="J55" s="69"/>
      <c r="K55" s="318"/>
      <c r="L55" s="315" t="s">
        <v>2504</v>
      </c>
      <c r="M55" s="90">
        <v>30000.0</v>
      </c>
      <c r="N55" s="316" t="s">
        <v>2841</v>
      </c>
      <c r="O55" s="30"/>
      <c r="P55" s="29"/>
      <c r="Q55" s="243"/>
      <c r="R55" s="30"/>
      <c r="S55" s="30"/>
      <c r="T55" s="30"/>
      <c r="U55" s="30"/>
      <c r="V55" s="30"/>
      <c r="W55" s="30"/>
      <c r="X55" s="30"/>
      <c r="Y55" s="30"/>
      <c r="Z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45419.0</v>
      </c>
      <c r="I56" s="68"/>
      <c r="J56" s="69"/>
      <c r="K56" s="318"/>
      <c r="L56" s="315" t="s">
        <v>2504</v>
      </c>
      <c r="M56" s="90">
        <v>3150.0</v>
      </c>
      <c r="N56" s="316" t="s">
        <v>2842</v>
      </c>
      <c r="O56" s="30"/>
      <c r="P56" s="29"/>
      <c r="Q56" s="243"/>
      <c r="R56" s="30"/>
      <c r="S56" s="30"/>
      <c r="T56" s="30"/>
      <c r="U56" s="30"/>
      <c r="V56" s="30"/>
      <c r="W56" s="30"/>
      <c r="X56" s="30"/>
      <c r="Y56" s="30"/>
      <c r="Z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45419.0</v>
      </c>
      <c r="I57" s="68"/>
      <c r="J57" s="69"/>
      <c r="K57" s="314"/>
      <c r="L57" s="315" t="s">
        <v>2504</v>
      </c>
      <c r="M57" s="90">
        <v>7350.0</v>
      </c>
      <c r="N57" s="316" t="s">
        <v>2843</v>
      </c>
      <c r="O57" s="30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45419.0</v>
      </c>
      <c r="I58" s="68" t="s">
        <v>2778</v>
      </c>
      <c r="J58" s="69">
        <v>100000.0</v>
      </c>
      <c r="K58" s="318">
        <v>0.6430555555555556</v>
      </c>
      <c r="L58" s="315" t="s">
        <v>2504</v>
      </c>
      <c r="M58" s="90">
        <v>4545.0</v>
      </c>
      <c r="N58" s="316" t="s">
        <v>2844</v>
      </c>
      <c r="O58" s="30"/>
      <c r="P58" s="29"/>
      <c r="Q58" s="243"/>
      <c r="R58" s="30"/>
      <c r="S58" s="30"/>
      <c r="T58" s="30"/>
      <c r="U58" s="30"/>
      <c r="V58" s="30"/>
      <c r="W58" s="30"/>
      <c r="X58" s="30"/>
      <c r="Y58" s="30"/>
      <c r="Z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45419.0</v>
      </c>
      <c r="I59" s="84"/>
      <c r="J59" s="17"/>
      <c r="K59" s="133"/>
      <c r="L59" s="315" t="s">
        <v>2504</v>
      </c>
      <c r="M59" s="90">
        <v>50000.0</v>
      </c>
      <c r="N59" s="316" t="s">
        <v>2845</v>
      </c>
      <c r="O59" s="30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45419.0</v>
      </c>
      <c r="I60" s="84"/>
      <c r="J60" s="17"/>
      <c r="K60" s="133"/>
      <c r="L60" s="315" t="s">
        <v>2504</v>
      </c>
      <c r="M60" s="90">
        <v>3150.0</v>
      </c>
      <c r="N60" s="316" t="s">
        <v>2846</v>
      </c>
      <c r="O60" s="30"/>
      <c r="P60" s="29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45419.0</v>
      </c>
      <c r="I61" s="84"/>
      <c r="J61" s="17"/>
      <c r="K61" s="133"/>
      <c r="L61" s="315" t="s">
        <v>2504</v>
      </c>
      <c r="M61" s="90">
        <v>12600.0</v>
      </c>
      <c r="N61" s="316" t="s">
        <v>2847</v>
      </c>
      <c r="O61" s="3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45419.0</v>
      </c>
      <c r="I62" s="68"/>
      <c r="J62" s="69"/>
      <c r="K62" s="318"/>
      <c r="L62" s="315" t="s">
        <v>2504</v>
      </c>
      <c r="M62" s="90">
        <v>1515.0</v>
      </c>
      <c r="N62" s="316" t="s">
        <v>2848</v>
      </c>
      <c r="O62" s="30"/>
      <c r="P62" s="29"/>
      <c r="R62" s="30"/>
      <c r="S62" s="30"/>
      <c r="T62" s="30"/>
      <c r="U62" s="30"/>
      <c r="V62" s="30"/>
      <c r="W62" s="30"/>
      <c r="X62" s="30"/>
      <c r="Y62" s="30"/>
      <c r="Z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45419.0</v>
      </c>
      <c r="I63" s="68" t="s">
        <v>2849</v>
      </c>
      <c r="J63" s="69">
        <v>100.0</v>
      </c>
      <c r="K63" s="318">
        <v>0.9034722222222222</v>
      </c>
      <c r="L63" s="315" t="s">
        <v>2504</v>
      </c>
      <c r="M63" s="90">
        <v>1010.0</v>
      </c>
      <c r="N63" s="316" t="s">
        <v>2850</v>
      </c>
      <c r="O63" s="30"/>
      <c r="P63" s="29"/>
      <c r="Q63" s="243"/>
      <c r="R63" s="30"/>
      <c r="S63" s="30"/>
      <c r="T63" s="30"/>
      <c r="U63" s="30"/>
      <c r="V63" s="30"/>
      <c r="W63" s="30"/>
      <c r="X63" s="30"/>
      <c r="Y63" s="30"/>
      <c r="Z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45419.0</v>
      </c>
      <c r="I64" s="68" t="s">
        <v>2849</v>
      </c>
      <c r="J64" s="69">
        <v>22900.0</v>
      </c>
      <c r="K64" s="318">
        <v>0.89375</v>
      </c>
      <c r="L64" s="315" t="s">
        <v>2504</v>
      </c>
      <c r="M64" s="90">
        <v>1010.0</v>
      </c>
      <c r="N64" s="316" t="s">
        <v>2851</v>
      </c>
      <c r="O64" s="30"/>
      <c r="P64" s="29"/>
      <c r="Q64" s="243"/>
      <c r="R64" s="30"/>
      <c r="S64" s="30"/>
      <c r="T64" s="30"/>
      <c r="U64" s="30"/>
      <c r="V64" s="30"/>
      <c r="W64" s="30"/>
      <c r="X64" s="30"/>
      <c r="Y64" s="30"/>
      <c r="Z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45419.0</v>
      </c>
      <c r="I65" s="68"/>
      <c r="J65" s="69"/>
      <c r="K65" s="314"/>
      <c r="L65" s="315" t="s">
        <v>2504</v>
      </c>
      <c r="M65" s="90">
        <v>15000.0</v>
      </c>
      <c r="N65" s="316" t="s">
        <v>2852</v>
      </c>
      <c r="O65" s="30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45420.0</v>
      </c>
      <c r="I66" s="68"/>
      <c r="J66" s="69"/>
      <c r="K66" s="314"/>
      <c r="L66" s="315" t="s">
        <v>2504</v>
      </c>
      <c r="M66" s="90">
        <v>4040.0</v>
      </c>
      <c r="N66" s="316" t="s">
        <v>2853</v>
      </c>
      <c r="O66" s="30"/>
      <c r="P66" s="29"/>
      <c r="R66" s="30"/>
      <c r="S66" s="30"/>
      <c r="T66" s="30"/>
      <c r="U66" s="30"/>
      <c r="V66" s="30"/>
      <c r="W66" s="30"/>
      <c r="X66" s="30"/>
      <c r="Y66" s="30"/>
      <c r="Z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45420.0</v>
      </c>
      <c r="I67" s="68"/>
      <c r="J67" s="69"/>
      <c r="K67" s="318"/>
      <c r="L67" s="315" t="s">
        <v>2504</v>
      </c>
      <c r="M67" s="90">
        <v>15010.0</v>
      </c>
      <c r="N67" s="316" t="s">
        <v>2854</v>
      </c>
      <c r="O67" s="30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45420.0</v>
      </c>
      <c r="I68" s="84"/>
      <c r="J68" s="17"/>
      <c r="K68" s="133"/>
      <c r="L68" s="315" t="s">
        <v>2504</v>
      </c>
      <c r="M68" s="90">
        <v>2020.0</v>
      </c>
      <c r="N68" s="316" t="s">
        <v>2855</v>
      </c>
      <c r="O68" s="30"/>
      <c r="P68" s="29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45420.0</v>
      </c>
      <c r="I69" s="84"/>
      <c r="J69" s="17"/>
      <c r="K69" s="133"/>
      <c r="L69" s="315" t="s">
        <v>20</v>
      </c>
      <c r="M69" s="90">
        <v>103.0</v>
      </c>
      <c r="N69" s="316" t="s">
        <v>2856</v>
      </c>
      <c r="O69" s="30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45420.0</v>
      </c>
      <c r="I70" s="68" t="s">
        <v>2780</v>
      </c>
      <c r="J70" s="69">
        <v>25000.0</v>
      </c>
      <c r="K70" s="314" t="s">
        <v>2857</v>
      </c>
      <c r="L70" s="315" t="s">
        <v>1841</v>
      </c>
      <c r="M70" s="90">
        <v>25000.0</v>
      </c>
      <c r="N70" s="316" t="s">
        <v>2816</v>
      </c>
      <c r="O70" s="30"/>
      <c r="P70" s="29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45420.0</v>
      </c>
      <c r="I71" s="68"/>
      <c r="J71" s="69"/>
      <c r="K71" s="318"/>
      <c r="L71" s="315" t="s">
        <v>2504</v>
      </c>
      <c r="M71" s="90">
        <v>505.0</v>
      </c>
      <c r="N71" s="316" t="s">
        <v>2858</v>
      </c>
      <c r="O71" s="30"/>
      <c r="P71" s="29"/>
      <c r="Q71" s="243"/>
      <c r="R71" s="30"/>
      <c r="S71" s="30"/>
      <c r="T71" s="30"/>
      <c r="U71" s="30"/>
      <c r="V71" s="30"/>
      <c r="W71" s="30"/>
      <c r="X71" s="30"/>
      <c r="Y71" s="30"/>
      <c r="Z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45420.0</v>
      </c>
      <c r="I72" s="68"/>
      <c r="J72" s="69"/>
      <c r="K72" s="133"/>
      <c r="L72" s="315" t="s">
        <v>1841</v>
      </c>
      <c r="M72" s="90">
        <v>60000.0</v>
      </c>
      <c r="N72" s="320">
        <v>0.6784722222222223</v>
      </c>
      <c r="O72" s="30"/>
      <c r="P72" s="29"/>
      <c r="R72" s="30"/>
      <c r="S72" s="30"/>
      <c r="T72" s="30"/>
      <c r="U72" s="30"/>
      <c r="V72" s="30"/>
      <c r="W72" s="30"/>
      <c r="X72" s="30"/>
      <c r="Y72" s="30"/>
      <c r="Z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45420.0</v>
      </c>
      <c r="I73" s="154"/>
      <c r="J73" s="17"/>
      <c r="K73" s="328"/>
      <c r="L73" s="315" t="s">
        <v>2504</v>
      </c>
      <c r="M73" s="90">
        <v>2020.0</v>
      </c>
      <c r="N73" s="316" t="s">
        <v>2859</v>
      </c>
      <c r="O73" s="30"/>
      <c r="P73" s="29"/>
      <c r="Q73" s="243"/>
      <c r="R73" s="30"/>
      <c r="S73" s="30"/>
      <c r="T73" s="30"/>
      <c r="U73" s="30"/>
      <c r="V73" s="30"/>
      <c r="W73" s="30"/>
      <c r="X73" s="30"/>
      <c r="Y73" s="30"/>
      <c r="Z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45420.0</v>
      </c>
      <c r="I74" s="68" t="s">
        <v>2849</v>
      </c>
      <c r="J74" s="69">
        <v>100.0</v>
      </c>
      <c r="K74" s="318">
        <v>0.7756944444444445</v>
      </c>
      <c r="L74" s="315" t="s">
        <v>2504</v>
      </c>
      <c r="M74" s="90">
        <v>1010.0</v>
      </c>
      <c r="N74" s="316" t="s">
        <v>2860</v>
      </c>
      <c r="O74" s="30"/>
      <c r="P74" s="29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45420.0</v>
      </c>
      <c r="I75" s="68" t="s">
        <v>2849</v>
      </c>
      <c r="J75" s="69">
        <v>22900.0</v>
      </c>
      <c r="K75" s="318">
        <v>0.7770833333333333</v>
      </c>
      <c r="L75" s="315" t="s">
        <v>2504</v>
      </c>
      <c r="M75" s="90">
        <v>5250.0</v>
      </c>
      <c r="N75" s="316" t="s">
        <v>2861</v>
      </c>
      <c r="O75" s="30"/>
      <c r="P75" s="29"/>
      <c r="Q75" s="243"/>
      <c r="R75" s="30"/>
      <c r="S75" s="30"/>
      <c r="T75" s="30"/>
      <c r="U75" s="30"/>
      <c r="V75" s="30"/>
      <c r="W75" s="30"/>
      <c r="X75" s="30"/>
      <c r="Y75" s="30"/>
      <c r="Z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45420.0</v>
      </c>
      <c r="I76" s="84"/>
      <c r="J76" s="17"/>
      <c r="K76" s="133"/>
      <c r="L76" s="315" t="s">
        <v>2504</v>
      </c>
      <c r="M76" s="90">
        <v>15100.0</v>
      </c>
      <c r="N76" s="316" t="s">
        <v>2862</v>
      </c>
      <c r="O76" s="30"/>
      <c r="P76" s="29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45420.0</v>
      </c>
      <c r="I77" s="68" t="s">
        <v>2849</v>
      </c>
      <c r="J77" s="69">
        <v>100.0</v>
      </c>
      <c r="K77" s="318">
        <v>0.9215277777777777</v>
      </c>
      <c r="L77" s="315" t="s">
        <v>2504</v>
      </c>
      <c r="M77" s="90">
        <v>20000.0</v>
      </c>
      <c r="N77" s="316" t="s">
        <v>2863</v>
      </c>
      <c r="O77" s="30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45420.0</v>
      </c>
      <c r="I78" s="68" t="s">
        <v>2849</v>
      </c>
      <c r="J78" s="69">
        <v>45900.0</v>
      </c>
      <c r="K78" s="318">
        <v>0.9229166666666667</v>
      </c>
      <c r="L78" s="315" t="s">
        <v>2504</v>
      </c>
      <c r="M78" s="90">
        <v>1515.0</v>
      </c>
      <c r="N78" s="316" t="s">
        <v>2864</v>
      </c>
      <c r="O78" s="30"/>
      <c r="P78" s="29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45421.0</v>
      </c>
      <c r="I79" s="68"/>
      <c r="J79" s="69"/>
      <c r="K79" s="314"/>
      <c r="L79" s="315" t="s">
        <v>2504</v>
      </c>
      <c r="M79" s="90">
        <v>1010.0</v>
      </c>
      <c r="N79" s="316" t="s">
        <v>2865</v>
      </c>
      <c r="O79" s="30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45421.0</v>
      </c>
      <c r="I80" s="154"/>
      <c r="J80" s="17"/>
      <c r="K80" s="326"/>
      <c r="L80" s="315" t="s">
        <v>2504</v>
      </c>
      <c r="M80" s="90">
        <v>20010.0</v>
      </c>
      <c r="N80" s="316" t="s">
        <v>2866</v>
      </c>
      <c r="O80" s="30"/>
      <c r="P80" s="29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45421.0</v>
      </c>
      <c r="I81" s="68" t="s">
        <v>2849</v>
      </c>
      <c r="J81" s="69">
        <v>100.0</v>
      </c>
      <c r="K81" s="318">
        <v>0.7048611111111112</v>
      </c>
      <c r="L81" s="315" t="s">
        <v>2504</v>
      </c>
      <c r="M81" s="90">
        <v>1010.0</v>
      </c>
      <c r="N81" s="316" t="s">
        <v>2867</v>
      </c>
      <c r="O81" s="30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45421.0</v>
      </c>
      <c r="I82" s="68" t="s">
        <v>2849</v>
      </c>
      <c r="J82" s="69">
        <v>45900.0</v>
      </c>
      <c r="K82" s="318">
        <v>0.7076388888888889</v>
      </c>
      <c r="L82" s="315"/>
      <c r="M82" s="90"/>
      <c r="N82" s="320"/>
      <c r="O82" s="30"/>
      <c r="P82" s="29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45421.0</v>
      </c>
      <c r="I83" s="68" t="s">
        <v>2868</v>
      </c>
      <c r="J83" s="69">
        <v>5250.0</v>
      </c>
      <c r="K83" s="318">
        <v>0.7083333333333334</v>
      </c>
      <c r="L83" s="315" t="s">
        <v>2504</v>
      </c>
      <c r="M83" s="90">
        <v>5250.0</v>
      </c>
      <c r="N83" s="316" t="s">
        <v>2869</v>
      </c>
      <c r="O83" s="30"/>
      <c r="P83" s="29"/>
      <c r="Q83" s="243"/>
      <c r="R83" s="30"/>
      <c r="S83" s="30"/>
      <c r="T83" s="30"/>
      <c r="U83" s="30"/>
      <c r="V83" s="30"/>
      <c r="W83" s="30"/>
      <c r="X83" s="30"/>
      <c r="Y83" s="30"/>
      <c r="Z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45421.0</v>
      </c>
      <c r="I84" s="68"/>
      <c r="J84" s="69"/>
      <c r="K84" s="314"/>
      <c r="L84" s="315" t="s">
        <v>2504</v>
      </c>
      <c r="M84" s="90">
        <v>5000.0</v>
      </c>
      <c r="N84" s="316" t="s">
        <v>2870</v>
      </c>
      <c r="O84" s="30"/>
      <c r="P84" s="29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45421.0</v>
      </c>
      <c r="I85" s="68"/>
      <c r="J85" s="69"/>
      <c r="K85" s="314"/>
      <c r="L85" s="315" t="s">
        <v>2504</v>
      </c>
      <c r="M85" s="90">
        <v>4040.0</v>
      </c>
      <c r="N85" s="316" t="s">
        <v>2871</v>
      </c>
      <c r="O85" s="30"/>
      <c r="P85" s="29"/>
      <c r="R85" s="30"/>
      <c r="S85" s="30"/>
      <c r="T85" s="30"/>
      <c r="U85" s="30"/>
      <c r="V85" s="30"/>
      <c r="W85" s="30"/>
      <c r="X85" s="30"/>
      <c r="Y85" s="30"/>
      <c r="Z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45421.0</v>
      </c>
      <c r="I86" s="84"/>
      <c r="J86" s="17"/>
      <c r="K86" s="133"/>
      <c r="L86" s="315" t="s">
        <v>2504</v>
      </c>
      <c r="M86" s="90">
        <v>1515.0</v>
      </c>
      <c r="N86" s="316" t="s">
        <v>2872</v>
      </c>
      <c r="O86" s="30"/>
      <c r="P86" s="29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45421.0</v>
      </c>
      <c r="I87" s="84"/>
      <c r="J87" s="17"/>
      <c r="K87" s="133"/>
      <c r="L87" s="315" t="s">
        <v>2504</v>
      </c>
      <c r="M87" s="90">
        <v>8080.0</v>
      </c>
      <c r="N87" s="316" t="s">
        <v>2873</v>
      </c>
      <c r="O87" s="30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45421.0</v>
      </c>
      <c r="I88" s="84"/>
      <c r="J88" s="17"/>
      <c r="K88" s="133"/>
      <c r="L88" s="315" t="s">
        <v>2504</v>
      </c>
      <c r="M88" s="90">
        <v>21000.0</v>
      </c>
      <c r="N88" s="316" t="s">
        <v>2874</v>
      </c>
      <c r="O88" s="30"/>
      <c r="P88" s="29"/>
      <c r="Q88" s="243"/>
      <c r="R88" s="30"/>
      <c r="S88" s="30"/>
      <c r="T88" s="30"/>
      <c r="U88" s="30"/>
      <c r="V88" s="30"/>
      <c r="W88" s="30"/>
      <c r="X88" s="30"/>
      <c r="Y88" s="30"/>
      <c r="Z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45421.0</v>
      </c>
      <c r="I89" s="68"/>
      <c r="J89" s="69"/>
      <c r="K89" s="314"/>
      <c r="L89" s="315" t="s">
        <v>2504</v>
      </c>
      <c r="M89" s="90">
        <v>1515.0</v>
      </c>
      <c r="N89" s="316" t="s">
        <v>2875</v>
      </c>
      <c r="O89" s="30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45421.0</v>
      </c>
      <c r="I90" s="84"/>
      <c r="J90" s="17"/>
      <c r="K90" s="133"/>
      <c r="L90" s="315" t="s">
        <v>2504</v>
      </c>
      <c r="M90" s="90">
        <v>1010.0</v>
      </c>
      <c r="N90" s="316" t="s">
        <v>2876</v>
      </c>
      <c r="O90" s="30"/>
      <c r="P90" s="29"/>
      <c r="R90" s="30"/>
      <c r="S90" s="30"/>
      <c r="T90" s="30"/>
      <c r="U90" s="30"/>
      <c r="V90" s="30"/>
      <c r="W90" s="30"/>
      <c r="X90" s="30"/>
      <c r="Y90" s="30"/>
      <c r="Z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45421.0</v>
      </c>
      <c r="I91" s="68"/>
      <c r="J91" s="69"/>
      <c r="K91" s="318"/>
      <c r="L91" s="315" t="s">
        <v>2504</v>
      </c>
      <c r="M91" s="90">
        <v>1010.0</v>
      </c>
      <c r="N91" s="316" t="s">
        <v>2877</v>
      </c>
      <c r="O91" s="30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45421.0</v>
      </c>
      <c r="I92" s="84"/>
      <c r="J92" s="17"/>
      <c r="K92" s="133"/>
      <c r="L92" s="315" t="s">
        <v>2504</v>
      </c>
      <c r="M92" s="90">
        <v>4595.5</v>
      </c>
      <c r="N92" s="316" t="s">
        <v>2878</v>
      </c>
      <c r="O92" s="30"/>
      <c r="P92" s="29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45421.0</v>
      </c>
      <c r="I93" s="68"/>
      <c r="J93" s="69"/>
      <c r="K93" s="314"/>
      <c r="L93" s="315" t="s">
        <v>2504</v>
      </c>
      <c r="M93" s="90">
        <v>1010.0</v>
      </c>
      <c r="N93" s="316" t="s">
        <v>2879</v>
      </c>
      <c r="O93" s="30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45422.0</v>
      </c>
      <c r="I94" s="84"/>
      <c r="J94" s="17"/>
      <c r="K94" s="133"/>
      <c r="L94" s="315" t="s">
        <v>20</v>
      </c>
      <c r="M94" s="90">
        <v>870.0</v>
      </c>
      <c r="N94" s="316" t="s">
        <v>2880</v>
      </c>
      <c r="O94" s="30"/>
      <c r="P94" s="29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45422.0</v>
      </c>
      <c r="I95" s="84" t="s">
        <v>2849</v>
      </c>
      <c r="J95" s="17">
        <v>100.0</v>
      </c>
      <c r="K95" s="318">
        <v>0.3861111111111111</v>
      </c>
      <c r="L95" s="315" t="s">
        <v>2504</v>
      </c>
      <c r="M95" s="90">
        <v>20000.0</v>
      </c>
      <c r="N95" s="316" t="s">
        <v>2881</v>
      </c>
      <c r="O95" s="30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45422.0</v>
      </c>
      <c r="I96" s="154" t="s">
        <v>2849</v>
      </c>
      <c r="J96" s="17">
        <v>45900.0</v>
      </c>
      <c r="K96" s="318">
        <v>0.3875</v>
      </c>
      <c r="L96" s="315" t="s">
        <v>20</v>
      </c>
      <c r="M96" s="90">
        <v>526.31</v>
      </c>
      <c r="N96" s="316" t="s">
        <v>2882</v>
      </c>
      <c r="O96" s="30"/>
      <c r="P96" s="29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45422.0</v>
      </c>
      <c r="I97" s="84"/>
      <c r="J97" s="17"/>
      <c r="K97" s="133"/>
      <c r="L97" s="315" t="s">
        <v>2504</v>
      </c>
      <c r="M97" s="90">
        <v>4040.0</v>
      </c>
      <c r="N97" s="316" t="s">
        <v>2883</v>
      </c>
      <c r="O97" s="30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45422.0</v>
      </c>
      <c r="I98" s="84"/>
      <c r="J98" s="17"/>
      <c r="K98" s="133"/>
      <c r="L98" s="315" t="s">
        <v>2504</v>
      </c>
      <c r="M98" s="90">
        <v>1515.0</v>
      </c>
      <c r="N98" s="316" t="s">
        <v>2884</v>
      </c>
      <c r="O98" s="30"/>
      <c r="P98" s="29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30">
        <v>45422.0</v>
      </c>
      <c r="I99" s="154"/>
      <c r="J99" s="17"/>
      <c r="K99" s="326"/>
      <c r="L99" s="324" t="s">
        <v>2504</v>
      </c>
      <c r="M99" s="19">
        <v>25000.0</v>
      </c>
      <c r="N99" s="327" t="s">
        <v>2885</v>
      </c>
      <c r="O99" s="30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30">
        <v>45422.0</v>
      </c>
      <c r="I100" s="84"/>
      <c r="J100" s="17"/>
      <c r="K100" s="133"/>
      <c r="L100" s="324" t="s">
        <v>2504</v>
      </c>
      <c r="M100" s="19">
        <v>30000.0</v>
      </c>
      <c r="N100" s="327" t="s">
        <v>2886</v>
      </c>
      <c r="O100" s="30"/>
      <c r="P100" s="29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45422.0</v>
      </c>
      <c r="I101" s="84" t="s">
        <v>2849</v>
      </c>
      <c r="J101" s="17">
        <v>100.0</v>
      </c>
      <c r="K101" s="318">
        <v>0.6159722222222223</v>
      </c>
      <c r="L101" s="315" t="s">
        <v>2504</v>
      </c>
      <c r="M101" s="90">
        <v>5050.0</v>
      </c>
      <c r="N101" s="316" t="s">
        <v>2887</v>
      </c>
      <c r="O101" s="30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45422.0</v>
      </c>
      <c r="I102" s="154" t="s">
        <v>2849</v>
      </c>
      <c r="J102" s="17">
        <v>45900.0</v>
      </c>
      <c r="K102" s="318">
        <v>0.6166666666666667</v>
      </c>
      <c r="L102" s="315" t="s">
        <v>2504</v>
      </c>
      <c r="M102" s="90">
        <v>1500.0</v>
      </c>
      <c r="N102" s="316" t="s">
        <v>2888</v>
      </c>
      <c r="O102" s="30"/>
      <c r="P102" s="29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45422.0</v>
      </c>
      <c r="I103" s="68" t="s">
        <v>2778</v>
      </c>
      <c r="J103" s="69">
        <v>100000.0</v>
      </c>
      <c r="K103" s="318">
        <v>0.6256944444444444</v>
      </c>
      <c r="L103" s="315" t="s">
        <v>2504</v>
      </c>
      <c r="M103" s="90">
        <v>1010.0</v>
      </c>
      <c r="N103" s="316" t="s">
        <v>2889</v>
      </c>
      <c r="O103" s="30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45422.0</v>
      </c>
      <c r="I104" s="84"/>
      <c r="J104" s="17"/>
      <c r="K104" s="328"/>
      <c r="L104" s="315" t="s">
        <v>2504</v>
      </c>
      <c r="M104" s="90">
        <v>1010.0</v>
      </c>
      <c r="N104" s="316" t="s">
        <v>2890</v>
      </c>
      <c r="O104" s="30"/>
      <c r="P104" s="29"/>
      <c r="Q104" s="208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45422.0</v>
      </c>
      <c r="I105" s="329" t="s">
        <v>2306</v>
      </c>
      <c r="J105" s="330">
        <v>114894.0</v>
      </c>
      <c r="K105" s="318">
        <v>0.7770833333333333</v>
      </c>
      <c r="L105" s="315" t="s">
        <v>2891</v>
      </c>
      <c r="M105" s="90">
        <v>90000.0</v>
      </c>
      <c r="N105" s="320">
        <v>0.7895833333333333</v>
      </c>
      <c r="O105" s="30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45422.0</v>
      </c>
      <c r="I106" s="154"/>
      <c r="J106" s="17"/>
      <c r="K106" s="328"/>
      <c r="L106" s="315" t="s">
        <v>2504</v>
      </c>
      <c r="M106" s="90">
        <v>25100.0</v>
      </c>
      <c r="N106" s="316" t="s">
        <v>2892</v>
      </c>
      <c r="O106" s="30"/>
      <c r="P106" s="29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45422.0</v>
      </c>
      <c r="I107" s="84"/>
      <c r="J107" s="17"/>
      <c r="K107" s="328"/>
      <c r="L107" s="315" t="s">
        <v>2504</v>
      </c>
      <c r="M107" s="90">
        <v>2020.0</v>
      </c>
      <c r="N107" s="316" t="s">
        <v>2893</v>
      </c>
      <c r="O107" s="30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45422.0</v>
      </c>
      <c r="I108" s="84"/>
      <c r="J108" s="17"/>
      <c r="K108" s="133"/>
      <c r="L108" s="315" t="s">
        <v>2504</v>
      </c>
      <c r="M108" s="90">
        <v>8080.0</v>
      </c>
      <c r="N108" s="316" t="s">
        <v>2894</v>
      </c>
      <c r="O108" s="30"/>
      <c r="P108" s="29"/>
      <c r="Q108" s="243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45422.0</v>
      </c>
      <c r="I109" s="68"/>
      <c r="J109" s="69"/>
      <c r="K109" s="314"/>
      <c r="L109" s="315" t="s">
        <v>2504</v>
      </c>
      <c r="M109" s="90">
        <v>3030.0</v>
      </c>
      <c r="N109" s="316" t="s">
        <v>2895</v>
      </c>
      <c r="O109" s="30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45422.0</v>
      </c>
      <c r="I110" s="84"/>
      <c r="J110" s="17"/>
      <c r="K110" s="133"/>
      <c r="L110" s="315" t="s">
        <v>2504</v>
      </c>
      <c r="M110" s="90">
        <v>8080.0</v>
      </c>
      <c r="N110" s="316" t="s">
        <v>2896</v>
      </c>
      <c r="O110" s="30"/>
      <c r="P110" s="29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45422.0</v>
      </c>
      <c r="I111" s="68"/>
      <c r="J111" s="69"/>
      <c r="K111" s="314"/>
      <c r="L111" s="315" t="s">
        <v>20</v>
      </c>
      <c r="M111" s="90">
        <v>200.0</v>
      </c>
      <c r="N111" s="316" t="s">
        <v>211</v>
      </c>
      <c r="O111" s="30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45422.0</v>
      </c>
      <c r="I112" s="84"/>
      <c r="J112" s="17"/>
      <c r="K112" s="133"/>
      <c r="L112" s="315" t="s">
        <v>2504</v>
      </c>
      <c r="M112" s="90">
        <v>25200.0</v>
      </c>
      <c r="N112" s="316" t="s">
        <v>2897</v>
      </c>
      <c r="O112" s="30"/>
      <c r="P112" s="29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45422.0</v>
      </c>
      <c r="I113" s="68"/>
      <c r="J113" s="69"/>
      <c r="K113" s="314"/>
      <c r="L113" s="315" t="s">
        <v>2834</v>
      </c>
      <c r="M113" s="90">
        <v>8019.23</v>
      </c>
      <c r="N113" s="320">
        <v>0.9958333333333333</v>
      </c>
      <c r="O113" s="30"/>
      <c r="P113" s="29"/>
      <c r="Q113" s="243" t="s">
        <v>2898</v>
      </c>
      <c r="R113" s="30"/>
      <c r="S113" s="30"/>
      <c r="T113" s="30"/>
      <c r="U113" s="30"/>
      <c r="V113" s="30"/>
      <c r="W113" s="30"/>
      <c r="X113" s="30"/>
      <c r="Y113" s="30"/>
      <c r="Z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45423.0</v>
      </c>
      <c r="I114" s="68" t="s">
        <v>2868</v>
      </c>
      <c r="J114" s="69">
        <v>31500.0</v>
      </c>
      <c r="K114" s="318">
        <v>0.3888888888888889</v>
      </c>
      <c r="L114" s="315" t="s">
        <v>2504</v>
      </c>
      <c r="M114" s="90">
        <v>2020.0</v>
      </c>
      <c r="N114" s="316" t="s">
        <v>2899</v>
      </c>
      <c r="O114" s="30"/>
      <c r="P114" s="29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45423.0</v>
      </c>
      <c r="I115" s="84"/>
      <c r="J115" s="17"/>
      <c r="K115" s="133"/>
      <c r="L115" s="315" t="s">
        <v>2504</v>
      </c>
      <c r="M115" s="90">
        <v>25500.0</v>
      </c>
      <c r="N115" s="316" t="s">
        <v>2900</v>
      </c>
      <c r="O115" s="30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45423.0</v>
      </c>
      <c r="I116" s="68"/>
      <c r="J116" s="69"/>
      <c r="K116" s="314"/>
      <c r="L116" s="315" t="s">
        <v>2504</v>
      </c>
      <c r="M116" s="90">
        <v>2020.0</v>
      </c>
      <c r="N116" s="316" t="s">
        <v>2901</v>
      </c>
      <c r="O116" s="30"/>
      <c r="P116" s="29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45423.0</v>
      </c>
      <c r="I117" s="84"/>
      <c r="J117" s="17"/>
      <c r="K117" s="133"/>
      <c r="L117" s="315" t="s">
        <v>2504</v>
      </c>
      <c r="M117" s="90">
        <v>30000.0</v>
      </c>
      <c r="N117" s="316" t="s">
        <v>2902</v>
      </c>
      <c r="O117" s="30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45423.0</v>
      </c>
      <c r="I118" s="84"/>
      <c r="J118" s="17"/>
      <c r="K118" s="133"/>
      <c r="L118" s="315" t="s">
        <v>2504</v>
      </c>
      <c r="M118" s="90">
        <v>10100.0</v>
      </c>
      <c r="N118" s="316" t="s">
        <v>2903</v>
      </c>
      <c r="O118" s="30"/>
      <c r="P118" s="29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45423.0</v>
      </c>
      <c r="I119" s="68" t="s">
        <v>2778</v>
      </c>
      <c r="J119" s="69">
        <v>100000.0</v>
      </c>
      <c r="K119" s="318">
        <v>0.8715277777777778</v>
      </c>
      <c r="L119" s="315" t="s">
        <v>2504</v>
      </c>
      <c r="M119" s="90">
        <v>20200.0</v>
      </c>
      <c r="N119" s="316" t="s">
        <v>2904</v>
      </c>
      <c r="O119" s="30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45424.0</v>
      </c>
      <c r="I120" s="84"/>
      <c r="J120" s="17"/>
      <c r="K120" s="318"/>
      <c r="L120" s="315" t="s">
        <v>2504</v>
      </c>
      <c r="M120" s="90">
        <v>25000.0</v>
      </c>
      <c r="N120" s="316" t="s">
        <v>2905</v>
      </c>
      <c r="O120" s="30"/>
      <c r="P120" s="29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45424.0</v>
      </c>
      <c r="I121" s="84" t="s">
        <v>2849</v>
      </c>
      <c r="J121" s="17">
        <v>100.0</v>
      </c>
      <c r="K121" s="314" t="s">
        <v>2762</v>
      </c>
      <c r="L121" s="315"/>
      <c r="M121" s="90"/>
      <c r="N121" s="320"/>
      <c r="O121" s="30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45424.0</v>
      </c>
      <c r="I122" s="68" t="s">
        <v>2849</v>
      </c>
      <c r="J122" s="69">
        <v>22900.0</v>
      </c>
      <c r="K122" s="314" t="s">
        <v>744</v>
      </c>
      <c r="L122" s="315" t="s">
        <v>2504</v>
      </c>
      <c r="M122" s="90">
        <v>4200.0</v>
      </c>
      <c r="N122" s="316" t="s">
        <v>2906</v>
      </c>
      <c r="O122" s="30"/>
      <c r="P122" s="29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45425.0</v>
      </c>
      <c r="I123" s="68" t="s">
        <v>2778</v>
      </c>
      <c r="J123" s="69">
        <v>50000.0</v>
      </c>
      <c r="K123" s="314" t="s">
        <v>2907</v>
      </c>
      <c r="L123" s="315"/>
      <c r="M123" s="90"/>
      <c r="N123" s="316"/>
      <c r="O123" s="30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45425.0</v>
      </c>
      <c r="I124" s="68" t="s">
        <v>2785</v>
      </c>
      <c r="J124" s="69">
        <v>19999.0</v>
      </c>
      <c r="K124" s="314" t="s">
        <v>2908</v>
      </c>
      <c r="L124" s="315" t="s">
        <v>2504</v>
      </c>
      <c r="M124" s="90">
        <v>25000.0</v>
      </c>
      <c r="N124" s="316" t="s">
        <v>2909</v>
      </c>
      <c r="O124" s="30"/>
      <c r="P124" s="29"/>
      <c r="Q124" s="243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45425.0</v>
      </c>
      <c r="I125" s="84"/>
      <c r="J125" s="17"/>
      <c r="K125" s="133"/>
      <c r="L125" s="315" t="s">
        <v>2891</v>
      </c>
      <c r="M125" s="90">
        <v>80000.0</v>
      </c>
      <c r="N125" s="316" t="s">
        <v>2910</v>
      </c>
      <c r="O125" s="30"/>
      <c r="P125" s="29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45425.0</v>
      </c>
      <c r="I126" s="84"/>
      <c r="J126" s="17"/>
      <c r="K126" s="133"/>
      <c r="L126" s="315" t="s">
        <v>2504</v>
      </c>
      <c r="M126" s="90">
        <v>1618.49</v>
      </c>
      <c r="N126" s="316" t="s">
        <v>2911</v>
      </c>
      <c r="O126" s="30"/>
      <c r="P126" s="29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45425.0</v>
      </c>
      <c r="I127" s="68"/>
      <c r="J127" s="69"/>
      <c r="K127" s="318"/>
      <c r="L127" s="315" t="s">
        <v>2504</v>
      </c>
      <c r="M127" s="90">
        <v>1515.0</v>
      </c>
      <c r="N127" s="316" t="s">
        <v>2912</v>
      </c>
      <c r="O127" s="30"/>
      <c r="P127" s="29"/>
      <c r="Q127" s="30"/>
      <c r="R127" s="243"/>
      <c r="S127" s="30"/>
      <c r="T127" s="30"/>
      <c r="U127" s="30"/>
      <c r="V127" s="30"/>
      <c r="W127" s="30"/>
      <c r="X127" s="30"/>
      <c r="Y127" s="30"/>
      <c r="Z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45426.0</v>
      </c>
      <c r="I128" s="68" t="s">
        <v>2783</v>
      </c>
      <c r="J128" s="69">
        <v>100.0</v>
      </c>
      <c r="K128" s="314" t="s">
        <v>2913</v>
      </c>
      <c r="L128" s="315"/>
      <c r="M128" s="90"/>
      <c r="N128" s="316"/>
      <c r="O128" s="30"/>
      <c r="P128" s="29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45426.0</v>
      </c>
      <c r="I129" s="68" t="s">
        <v>2783</v>
      </c>
      <c r="J129" s="69">
        <v>59700.0</v>
      </c>
      <c r="K129" s="314" t="s">
        <v>2914</v>
      </c>
      <c r="L129" s="315" t="s">
        <v>2504</v>
      </c>
      <c r="M129" s="90">
        <v>5050.0</v>
      </c>
      <c r="N129" s="316" t="s">
        <v>2915</v>
      </c>
      <c r="O129" s="30"/>
      <c r="P129" s="29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45426.0</v>
      </c>
      <c r="I130" s="84"/>
      <c r="J130" s="17"/>
      <c r="K130" s="133"/>
      <c r="L130" s="315" t="s">
        <v>2504</v>
      </c>
      <c r="M130" s="90">
        <v>1515.0</v>
      </c>
      <c r="N130" s="316" t="s">
        <v>2916</v>
      </c>
      <c r="O130" s="30"/>
      <c r="P130" s="29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45426.0</v>
      </c>
      <c r="I131" s="68"/>
      <c r="J131" s="69"/>
      <c r="K131" s="318"/>
      <c r="L131" s="315" t="s">
        <v>2504</v>
      </c>
      <c r="M131" s="90">
        <v>30000.0</v>
      </c>
      <c r="N131" s="316" t="s">
        <v>2917</v>
      </c>
      <c r="O131" s="30"/>
      <c r="P131" s="29"/>
      <c r="Q131" s="243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45426.0</v>
      </c>
      <c r="I132" s="84"/>
      <c r="J132" s="17"/>
      <c r="K132" s="133"/>
      <c r="L132" s="315" t="s">
        <v>20</v>
      </c>
      <c r="M132" s="90">
        <v>100.0</v>
      </c>
      <c r="N132" s="316" t="s">
        <v>2918</v>
      </c>
      <c r="O132" s="30"/>
      <c r="P132" s="29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45426.0</v>
      </c>
      <c r="I133" s="68"/>
      <c r="J133" s="69"/>
      <c r="K133" s="314"/>
      <c r="L133" s="315" t="s">
        <v>2504</v>
      </c>
      <c r="M133" s="90">
        <v>100.0</v>
      </c>
      <c r="N133" s="316" t="s">
        <v>2919</v>
      </c>
      <c r="O133" s="30"/>
      <c r="P133" s="29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45426.0</v>
      </c>
      <c r="I134" s="68"/>
      <c r="J134" s="69"/>
      <c r="K134" s="314"/>
      <c r="L134" s="315" t="s">
        <v>2504</v>
      </c>
      <c r="M134" s="90">
        <v>19900.0</v>
      </c>
      <c r="N134" s="316" t="s">
        <v>2920</v>
      </c>
      <c r="O134" s="30"/>
      <c r="P134" s="29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45426.0</v>
      </c>
      <c r="I135" s="84"/>
      <c r="J135" s="17"/>
      <c r="K135" s="133"/>
      <c r="L135" s="315" t="s">
        <v>20</v>
      </c>
      <c r="M135" s="90">
        <v>750.0</v>
      </c>
      <c r="N135" s="316" t="s">
        <v>2921</v>
      </c>
      <c r="O135" s="30"/>
      <c r="P135" s="29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45426.0</v>
      </c>
      <c r="I136" s="68"/>
      <c r="J136" s="69"/>
      <c r="K136" s="314"/>
      <c r="L136" s="315" t="s">
        <v>2504</v>
      </c>
      <c r="M136" s="90">
        <v>25100.0</v>
      </c>
      <c r="N136" s="316" t="s">
        <v>2922</v>
      </c>
      <c r="O136" s="30"/>
      <c r="P136" s="29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45426.0</v>
      </c>
      <c r="I137" s="84"/>
      <c r="J137" s="17"/>
      <c r="K137" s="133"/>
      <c r="L137" s="315" t="s">
        <v>20</v>
      </c>
      <c r="M137" s="90">
        <v>60.0</v>
      </c>
      <c r="N137" s="316" t="s">
        <v>2923</v>
      </c>
      <c r="O137" s="30"/>
      <c r="P137" s="29"/>
      <c r="Q137" s="243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45426.0</v>
      </c>
      <c r="I138" s="68" t="s">
        <v>2783</v>
      </c>
      <c r="J138" s="69">
        <v>100.0</v>
      </c>
      <c r="K138" s="314" t="s">
        <v>2924</v>
      </c>
      <c r="L138" s="315" t="s">
        <v>2504</v>
      </c>
      <c r="M138" s="90">
        <v>20000.0</v>
      </c>
      <c r="N138" s="316" t="s">
        <v>2925</v>
      </c>
      <c r="O138" s="30"/>
      <c r="P138" s="29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45427.0</v>
      </c>
      <c r="I139" s="68" t="s">
        <v>2783</v>
      </c>
      <c r="J139" s="69">
        <v>87300.0</v>
      </c>
      <c r="K139" s="314" t="s">
        <v>2926</v>
      </c>
      <c r="L139" s="315" t="s">
        <v>2504</v>
      </c>
      <c r="M139" s="90">
        <v>28000.0</v>
      </c>
      <c r="N139" s="316" t="s">
        <v>2927</v>
      </c>
      <c r="O139" s="30"/>
      <c r="P139" s="29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45427.0</v>
      </c>
      <c r="I140" s="68"/>
      <c r="J140" s="69"/>
      <c r="K140" s="314"/>
      <c r="L140" s="315" t="s">
        <v>20</v>
      </c>
      <c r="M140" s="90">
        <v>51.5</v>
      </c>
      <c r="N140" s="316" t="s">
        <v>2928</v>
      </c>
      <c r="O140" s="30"/>
      <c r="P140" s="29"/>
      <c r="Q140" s="243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53">
        <v>45427.0</v>
      </c>
      <c r="I141" s="84"/>
      <c r="J141" s="17"/>
      <c r="K141" s="133"/>
      <c r="L141" s="315" t="s">
        <v>2929</v>
      </c>
      <c r="M141" s="90">
        <v>3007.0</v>
      </c>
      <c r="N141" s="316" t="s">
        <v>2545</v>
      </c>
      <c r="O141" s="30"/>
      <c r="P141" s="29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53">
        <v>45427.0</v>
      </c>
      <c r="I142" s="84"/>
      <c r="J142" s="17"/>
      <c r="K142" s="133"/>
      <c r="L142" s="315" t="s">
        <v>2504</v>
      </c>
      <c r="M142" s="90">
        <v>40000.0</v>
      </c>
      <c r="N142" s="316" t="s">
        <v>2930</v>
      </c>
      <c r="O142" s="30"/>
      <c r="P142" s="29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53">
        <v>45427.0</v>
      </c>
      <c r="I143" s="84"/>
      <c r="J143" s="17"/>
      <c r="K143" s="133"/>
      <c r="L143" s="315" t="s">
        <v>20</v>
      </c>
      <c r="M143" s="90">
        <v>35.71</v>
      </c>
      <c r="N143" s="316" t="s">
        <v>2931</v>
      </c>
      <c r="O143" s="30"/>
      <c r="P143" s="29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53">
        <v>45427.0</v>
      </c>
      <c r="I144" s="84"/>
      <c r="J144" s="17"/>
      <c r="K144" s="133"/>
      <c r="L144" s="315" t="s">
        <v>2504</v>
      </c>
      <c r="M144" s="90">
        <v>1146.5</v>
      </c>
      <c r="N144" s="316" t="s">
        <v>2932</v>
      </c>
      <c r="O144" s="30"/>
      <c r="P144" s="29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53">
        <v>45428.0</v>
      </c>
      <c r="I145" s="68" t="s">
        <v>2783</v>
      </c>
      <c r="J145" s="69">
        <v>100.0</v>
      </c>
      <c r="K145" s="318">
        <v>0.3993055555555556</v>
      </c>
      <c r="L145" s="315" t="s">
        <v>2504</v>
      </c>
      <c r="M145" s="90">
        <v>28500.0</v>
      </c>
      <c r="N145" s="316" t="s">
        <v>2933</v>
      </c>
      <c r="O145" s="30"/>
      <c r="P145" s="29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53">
        <v>45428.0</v>
      </c>
      <c r="I146" s="68" t="s">
        <v>2783</v>
      </c>
      <c r="J146" s="69">
        <v>44451.0</v>
      </c>
      <c r="K146" s="318">
        <v>0.40208333333333335</v>
      </c>
      <c r="L146" s="315" t="s">
        <v>20</v>
      </c>
      <c r="M146" s="90">
        <v>486.0</v>
      </c>
      <c r="N146" s="316" t="s">
        <v>2934</v>
      </c>
      <c r="O146" s="30"/>
      <c r="P146" s="29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53">
        <v>45428.0</v>
      </c>
      <c r="I147" s="84"/>
      <c r="J147" s="17"/>
      <c r="K147" s="133"/>
      <c r="L147" s="315" t="s">
        <v>20</v>
      </c>
      <c r="M147" s="90">
        <v>547.89</v>
      </c>
      <c r="N147" s="316" t="s">
        <v>2935</v>
      </c>
      <c r="O147" s="30"/>
      <c r="P147" s="29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53">
        <v>45428.0</v>
      </c>
      <c r="I148" s="84"/>
      <c r="J148" s="17"/>
      <c r="K148" s="133"/>
      <c r="L148" s="315" t="s">
        <v>20</v>
      </c>
      <c r="M148" s="90">
        <v>568.0</v>
      </c>
      <c r="N148" s="316" t="s">
        <v>2936</v>
      </c>
      <c r="O148" s="30"/>
      <c r="P148" s="29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53">
        <v>45429.0</v>
      </c>
      <c r="I149" s="84"/>
      <c r="J149" s="17"/>
      <c r="K149" s="133"/>
      <c r="L149" s="315" t="s">
        <v>2393</v>
      </c>
      <c r="M149" s="90">
        <v>9735.0</v>
      </c>
      <c r="N149" s="320">
        <v>0.7895833333333333</v>
      </c>
      <c r="O149" s="30"/>
      <c r="P149" s="29"/>
      <c r="Q149" s="243" t="s">
        <v>2937</v>
      </c>
      <c r="R149" s="30"/>
      <c r="S149" s="30"/>
      <c r="T149" s="30"/>
      <c r="U149" s="30"/>
      <c r="V149" s="30"/>
      <c r="W149" s="30"/>
      <c r="X149" s="30"/>
      <c r="Y149" s="30"/>
      <c r="Z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53">
        <v>45430.0</v>
      </c>
      <c r="I150" s="84"/>
      <c r="J150" s="17"/>
      <c r="K150" s="133"/>
      <c r="L150" s="315" t="s">
        <v>20</v>
      </c>
      <c r="M150" s="90">
        <v>290.71</v>
      </c>
      <c r="N150" s="316" t="s">
        <v>2938</v>
      </c>
      <c r="O150" s="30"/>
      <c r="P150" s="29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53">
        <v>45431.0</v>
      </c>
      <c r="I151" s="68" t="s">
        <v>2711</v>
      </c>
      <c r="J151" s="69">
        <v>10000.0</v>
      </c>
      <c r="K151" s="314" t="s">
        <v>2939</v>
      </c>
      <c r="L151" s="135"/>
      <c r="M151" s="19"/>
      <c r="N151" s="131"/>
      <c r="O151" s="30"/>
      <c r="P151" s="29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53">
        <v>45431.0</v>
      </c>
      <c r="I152" s="68" t="s">
        <v>2788</v>
      </c>
      <c r="J152" s="69">
        <v>5000.0</v>
      </c>
      <c r="K152" s="318">
        <v>0.8423611111111111</v>
      </c>
      <c r="L152" s="135"/>
      <c r="M152" s="19"/>
      <c r="N152" s="131"/>
      <c r="O152" s="30"/>
      <c r="P152" s="29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53">
        <v>45432.0</v>
      </c>
      <c r="I153" s="84"/>
      <c r="J153" s="17"/>
      <c r="K153" s="133"/>
      <c r="L153" s="315" t="s">
        <v>20</v>
      </c>
      <c r="M153" s="90">
        <v>60.0</v>
      </c>
      <c r="N153" s="320">
        <v>0.8208333333333333</v>
      </c>
      <c r="O153" s="30"/>
      <c r="P153" s="29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53">
        <v>45432.0</v>
      </c>
      <c r="I154" s="84"/>
      <c r="J154" s="17"/>
      <c r="K154" s="133"/>
      <c r="L154" s="324" t="s">
        <v>1841</v>
      </c>
      <c r="M154" s="19">
        <v>65000.0</v>
      </c>
      <c r="N154" s="331">
        <v>0.9041666666666667</v>
      </c>
      <c r="O154" s="30"/>
      <c r="P154" s="29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53">
        <v>45434.0</v>
      </c>
      <c r="I155" s="84"/>
      <c r="J155" s="17"/>
      <c r="K155" s="133"/>
      <c r="L155" s="315" t="s">
        <v>20</v>
      </c>
      <c r="M155" s="90">
        <v>103.0</v>
      </c>
      <c r="N155" s="316" t="s">
        <v>2940</v>
      </c>
      <c r="O155" s="30"/>
      <c r="P155" s="29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53">
        <v>45434.0</v>
      </c>
      <c r="I156" s="84"/>
      <c r="J156" s="17"/>
      <c r="K156" s="133"/>
      <c r="L156" s="135"/>
      <c r="M156" s="90">
        <v>3.0</v>
      </c>
      <c r="N156" s="316" t="s">
        <v>2352</v>
      </c>
      <c r="O156" s="30"/>
      <c r="P156" s="29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53">
        <v>45434.0</v>
      </c>
      <c r="I157" s="68" t="s">
        <v>2788</v>
      </c>
      <c r="J157" s="69">
        <v>10000.0</v>
      </c>
      <c r="K157" s="318">
        <v>0.8576388888888888</v>
      </c>
      <c r="L157" s="315" t="s">
        <v>20</v>
      </c>
      <c r="M157" s="90">
        <v>120.0</v>
      </c>
      <c r="N157" s="316" t="s">
        <v>2941</v>
      </c>
      <c r="O157" s="30"/>
      <c r="P157" s="29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53">
        <v>45435.0</v>
      </c>
      <c r="I158" s="68" t="s">
        <v>2790</v>
      </c>
      <c r="J158" s="69">
        <v>1300.0</v>
      </c>
      <c r="K158" s="318">
        <v>0.6229166666666667</v>
      </c>
      <c r="L158" s="315" t="s">
        <v>20</v>
      </c>
      <c r="M158" s="90">
        <v>1041.0</v>
      </c>
      <c r="N158" s="316" t="s">
        <v>2942</v>
      </c>
      <c r="O158" s="30"/>
      <c r="P158" s="29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53">
        <v>45435.0</v>
      </c>
      <c r="I159" s="84"/>
      <c r="J159" s="17"/>
      <c r="K159" s="133"/>
      <c r="L159" s="315" t="s">
        <v>20</v>
      </c>
      <c r="M159" s="90">
        <v>243.0</v>
      </c>
      <c r="N159" s="316" t="s">
        <v>2943</v>
      </c>
      <c r="O159" s="30"/>
      <c r="P159" s="29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53">
        <v>45435.0</v>
      </c>
      <c r="I160" s="68" t="s">
        <v>2788</v>
      </c>
      <c r="J160" s="69">
        <v>20000.0</v>
      </c>
      <c r="K160" s="318">
        <v>0.9854166666666667</v>
      </c>
      <c r="L160" s="315"/>
      <c r="M160" s="90"/>
      <c r="N160" s="131"/>
      <c r="O160" s="30"/>
      <c r="P160" s="29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53">
        <v>45436.0</v>
      </c>
      <c r="I161" s="84"/>
      <c r="J161" s="17"/>
      <c r="K161" s="133"/>
      <c r="L161" s="315" t="s">
        <v>2393</v>
      </c>
      <c r="M161" s="90">
        <v>1956.07</v>
      </c>
      <c r="N161" s="320">
        <v>0.013888888888888888</v>
      </c>
      <c r="O161" s="30"/>
      <c r="P161" s="29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53">
        <v>45437.0</v>
      </c>
      <c r="I162" s="68" t="s">
        <v>1103</v>
      </c>
      <c r="J162" s="69">
        <v>87175.0</v>
      </c>
      <c r="K162" s="318">
        <v>0.7215277777777778</v>
      </c>
      <c r="L162" s="315"/>
      <c r="M162" s="90"/>
      <c r="N162" s="131"/>
      <c r="O162" s="30"/>
      <c r="P162" s="29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53">
        <v>45438.0</v>
      </c>
      <c r="I163" s="68" t="s">
        <v>2788</v>
      </c>
      <c r="J163" s="69">
        <v>10000.0</v>
      </c>
      <c r="K163" s="318">
        <v>0.8902777777777777</v>
      </c>
      <c r="L163" s="315" t="s">
        <v>1841</v>
      </c>
      <c r="M163" s="90">
        <v>100000.0</v>
      </c>
      <c r="N163" s="320">
        <v>0.043055555555555555</v>
      </c>
      <c r="O163" s="30"/>
      <c r="P163" s="29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53">
        <v>45438.0</v>
      </c>
      <c r="I164" s="68" t="s">
        <v>2794</v>
      </c>
      <c r="J164" s="69">
        <v>20000.0</v>
      </c>
      <c r="K164" s="318">
        <v>0.7166666666666667</v>
      </c>
      <c r="L164" s="315" t="s">
        <v>2504</v>
      </c>
      <c r="M164" s="90">
        <v>20000.0</v>
      </c>
      <c r="N164" s="316" t="s">
        <v>2944</v>
      </c>
      <c r="O164" s="30"/>
      <c r="P164" s="29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53">
        <v>45439.0</v>
      </c>
      <c r="I165" s="68" t="s">
        <v>2788</v>
      </c>
      <c r="J165" s="69">
        <v>20000.0</v>
      </c>
      <c r="K165" s="318">
        <v>0.9909722222222223</v>
      </c>
      <c r="L165" s="135"/>
      <c r="M165" s="19"/>
      <c r="N165" s="131"/>
      <c r="O165" s="30"/>
      <c r="P165" s="29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53">
        <v>45439.0</v>
      </c>
      <c r="I166" s="68" t="s">
        <v>2945</v>
      </c>
      <c r="J166" s="69">
        <f>98000+969</f>
        <v>98969</v>
      </c>
      <c r="K166" s="318">
        <v>0.6597222222222222</v>
      </c>
      <c r="L166" s="315" t="s">
        <v>20</v>
      </c>
      <c r="M166" s="90">
        <v>694.0</v>
      </c>
      <c r="N166" s="316" t="s">
        <v>2946</v>
      </c>
      <c r="O166" s="30"/>
      <c r="P166" s="29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53">
        <v>45439.0</v>
      </c>
      <c r="I167" s="84"/>
      <c r="J167" s="17"/>
      <c r="K167" s="133"/>
      <c r="L167" s="315" t="s">
        <v>20</v>
      </c>
      <c r="M167" s="90">
        <v>73.0</v>
      </c>
      <c r="N167" s="316" t="s">
        <v>2947</v>
      </c>
      <c r="O167" s="30"/>
      <c r="P167" s="29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53">
        <v>45439.0</v>
      </c>
      <c r="I168" s="84"/>
      <c r="J168" s="17"/>
      <c r="K168" s="133"/>
      <c r="L168" s="315" t="s">
        <v>1841</v>
      </c>
      <c r="M168" s="90">
        <v>100000.0</v>
      </c>
      <c r="N168" s="320">
        <v>0.66875</v>
      </c>
      <c r="O168" s="30"/>
      <c r="P168" s="29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53">
        <v>45439.0</v>
      </c>
      <c r="I169" s="84"/>
      <c r="J169" s="17"/>
      <c r="K169" s="133"/>
      <c r="L169" s="315" t="s">
        <v>20</v>
      </c>
      <c r="M169" s="90">
        <v>200.0</v>
      </c>
      <c r="N169" s="316" t="s">
        <v>2948</v>
      </c>
      <c r="O169" s="30"/>
      <c r="P169" s="29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53">
        <v>45439.0</v>
      </c>
      <c r="I170" s="84"/>
      <c r="J170" s="17"/>
      <c r="K170" s="133"/>
      <c r="L170" s="315" t="s">
        <v>2504</v>
      </c>
      <c r="M170" s="90">
        <v>30000.0</v>
      </c>
      <c r="N170" s="316" t="s">
        <v>2949</v>
      </c>
      <c r="O170" s="30"/>
      <c r="P170" s="29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53">
        <v>45439.0</v>
      </c>
      <c r="I171" s="84"/>
      <c r="J171" s="17"/>
      <c r="K171" s="133"/>
      <c r="L171" s="315" t="s">
        <v>2504</v>
      </c>
      <c r="M171" s="90">
        <v>10000.0</v>
      </c>
      <c r="N171" s="316" t="s">
        <v>2950</v>
      </c>
      <c r="O171" s="30"/>
      <c r="P171" s="29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53">
        <v>45440.0</v>
      </c>
      <c r="I172" s="68" t="s">
        <v>2788</v>
      </c>
      <c r="J172" s="69">
        <v>10000.0</v>
      </c>
      <c r="K172" s="318">
        <v>0.9159722222222222</v>
      </c>
      <c r="L172" s="315" t="s">
        <v>2504</v>
      </c>
      <c r="M172" s="90">
        <v>433.67</v>
      </c>
      <c r="N172" s="316" t="s">
        <v>2951</v>
      </c>
      <c r="O172" s="30"/>
      <c r="P172" s="29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53">
        <v>45441.0</v>
      </c>
      <c r="I173" s="68" t="s">
        <v>2796</v>
      </c>
      <c r="J173" s="69">
        <v>10.0</v>
      </c>
      <c r="K173" s="318">
        <v>0.5472222222222223</v>
      </c>
      <c r="L173" s="315" t="s">
        <v>2504</v>
      </c>
      <c r="M173" s="90">
        <v>20000.0</v>
      </c>
      <c r="N173" s="316" t="s">
        <v>2952</v>
      </c>
      <c r="O173" s="30"/>
      <c r="P173" s="29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53">
        <v>45441.0</v>
      </c>
      <c r="I174" s="68" t="s">
        <v>2796</v>
      </c>
      <c r="J174" s="69">
        <v>49990.0</v>
      </c>
      <c r="K174" s="318">
        <v>0.5520833333333334</v>
      </c>
      <c r="L174" s="315" t="s">
        <v>2504</v>
      </c>
      <c r="M174" s="90">
        <v>20000.0</v>
      </c>
      <c r="N174" s="316" t="s">
        <v>2953</v>
      </c>
      <c r="O174" s="30"/>
      <c r="P174" s="29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53">
        <v>45441.0</v>
      </c>
      <c r="I175" s="84"/>
      <c r="J175" s="17"/>
      <c r="K175" s="133"/>
      <c r="L175" s="315" t="s">
        <v>2504</v>
      </c>
      <c r="M175" s="90">
        <v>8080.0</v>
      </c>
      <c r="N175" s="316" t="s">
        <v>2954</v>
      </c>
      <c r="O175" s="30"/>
      <c r="P175" s="29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53">
        <v>45441.0</v>
      </c>
      <c r="I176" s="84"/>
      <c r="J176" s="17"/>
      <c r="K176" s="133"/>
      <c r="L176" s="315" t="s">
        <v>2504</v>
      </c>
      <c r="M176" s="90">
        <v>7575.0</v>
      </c>
      <c r="N176" s="316" t="s">
        <v>2955</v>
      </c>
      <c r="O176" s="30"/>
      <c r="P176" s="29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53">
        <v>45442.0</v>
      </c>
      <c r="I177" s="84"/>
      <c r="J177" s="17"/>
      <c r="K177" s="133"/>
      <c r="L177" s="315" t="s">
        <v>2504</v>
      </c>
      <c r="M177" s="90">
        <v>10000.0</v>
      </c>
      <c r="N177" s="316" t="s">
        <v>2933</v>
      </c>
      <c r="O177" s="30"/>
      <c r="P177" s="29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53">
        <v>45442.0</v>
      </c>
      <c r="I178" s="68" t="s">
        <v>2796</v>
      </c>
      <c r="J178" s="69">
        <v>10.0</v>
      </c>
      <c r="K178" s="318">
        <v>0.4513888888888889</v>
      </c>
      <c r="L178" s="315" t="s">
        <v>20</v>
      </c>
      <c r="M178" s="90">
        <v>51.5</v>
      </c>
      <c r="N178" s="316" t="s">
        <v>2956</v>
      </c>
      <c r="O178" s="30"/>
      <c r="P178" s="29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53">
        <v>45442.0</v>
      </c>
      <c r="I179" s="68" t="s">
        <v>2796</v>
      </c>
      <c r="J179" s="69">
        <v>29990.0</v>
      </c>
      <c r="K179" s="318">
        <v>0.45625</v>
      </c>
      <c r="L179" s="315" t="s">
        <v>2504</v>
      </c>
      <c r="M179" s="90">
        <v>25000.0</v>
      </c>
      <c r="N179" s="316" t="s">
        <v>2957</v>
      </c>
      <c r="O179" s="30"/>
      <c r="P179" s="29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53">
        <v>45442.0</v>
      </c>
      <c r="I180" s="84"/>
      <c r="J180" s="17"/>
      <c r="K180" s="133"/>
      <c r="L180" s="315" t="s">
        <v>2504</v>
      </c>
      <c r="M180" s="90">
        <v>8080.0</v>
      </c>
      <c r="N180" s="316" t="s">
        <v>2958</v>
      </c>
      <c r="O180" s="30"/>
      <c r="P180" s="29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53">
        <v>45442.0</v>
      </c>
      <c r="I181" s="84"/>
      <c r="J181" s="17"/>
      <c r="K181" s="133"/>
      <c r="L181" s="315" t="s">
        <v>20</v>
      </c>
      <c r="M181" s="90">
        <v>694.0</v>
      </c>
      <c r="N181" s="316" t="s">
        <v>2959</v>
      </c>
      <c r="O181" s="30"/>
      <c r="P181" s="29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53">
        <v>45442.0</v>
      </c>
      <c r="I182" s="84"/>
      <c r="J182" s="17"/>
      <c r="K182" s="133"/>
      <c r="L182" s="315" t="s">
        <v>20</v>
      </c>
      <c r="M182" s="90">
        <v>75.0</v>
      </c>
      <c r="N182" s="316" t="s">
        <v>2960</v>
      </c>
      <c r="O182" s="30"/>
      <c r="P182" s="29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53">
        <v>45442.0</v>
      </c>
      <c r="I183" s="68" t="s">
        <v>2798</v>
      </c>
      <c r="J183" s="69">
        <v>10.0</v>
      </c>
      <c r="K183" s="318">
        <v>0.6229166666666667</v>
      </c>
      <c r="L183" s="135"/>
      <c r="M183" s="19"/>
      <c r="N183" s="131"/>
      <c r="O183" s="30"/>
      <c r="P183" s="29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53">
        <v>45442.0</v>
      </c>
      <c r="I184" s="68" t="s">
        <v>2798</v>
      </c>
      <c r="J184" s="69">
        <v>49990.0</v>
      </c>
      <c r="K184" s="318">
        <v>0.6333333333333333</v>
      </c>
      <c r="L184" s="135"/>
      <c r="M184" s="19"/>
      <c r="N184" s="131"/>
      <c r="O184" s="30"/>
      <c r="P184" s="29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53">
        <v>45442.0</v>
      </c>
      <c r="I185" s="68" t="s">
        <v>2796</v>
      </c>
      <c r="J185" s="69">
        <v>20000.0</v>
      </c>
      <c r="K185" s="318">
        <v>0.6381944444444444</v>
      </c>
      <c r="L185" s="315" t="s">
        <v>2504</v>
      </c>
      <c r="M185" s="90">
        <v>30000.0</v>
      </c>
      <c r="N185" s="316" t="s">
        <v>2961</v>
      </c>
      <c r="O185" s="30"/>
      <c r="P185" s="29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53">
        <v>45442.0</v>
      </c>
      <c r="I186" s="84"/>
      <c r="J186" s="17"/>
      <c r="K186" s="133"/>
      <c r="L186" s="315" t="s">
        <v>2504</v>
      </c>
      <c r="M186" s="90">
        <v>8080.0</v>
      </c>
      <c r="N186" s="316" t="s">
        <v>2962</v>
      </c>
      <c r="O186" s="30"/>
      <c r="P186" s="29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53">
        <v>45442.0</v>
      </c>
      <c r="I187" s="84"/>
      <c r="J187" s="17"/>
      <c r="K187" s="133"/>
      <c r="L187" s="315" t="s">
        <v>20</v>
      </c>
      <c r="M187" s="90">
        <v>3470.0</v>
      </c>
      <c r="N187" s="316" t="s">
        <v>2963</v>
      </c>
      <c r="O187" s="30"/>
      <c r="P187" s="29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53">
        <v>45442.0</v>
      </c>
      <c r="I188" s="84"/>
      <c r="J188" s="17"/>
      <c r="K188" s="133"/>
      <c r="L188" s="315" t="s">
        <v>20</v>
      </c>
      <c r="M188" s="90">
        <v>355.0</v>
      </c>
      <c r="N188" s="316" t="s">
        <v>2964</v>
      </c>
      <c r="O188" s="30"/>
      <c r="P188" s="29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53">
        <v>45442.0</v>
      </c>
      <c r="I189" s="84"/>
      <c r="J189" s="17"/>
      <c r="K189" s="133"/>
      <c r="L189" s="315" t="s">
        <v>20</v>
      </c>
      <c r="M189" s="90">
        <v>276.0</v>
      </c>
      <c r="N189" s="316" t="s">
        <v>2965</v>
      </c>
      <c r="O189" s="30"/>
      <c r="P189" s="29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53">
        <v>45442.0</v>
      </c>
      <c r="I190" s="84"/>
      <c r="J190" s="17"/>
      <c r="K190" s="133"/>
      <c r="L190" s="315" t="s">
        <v>2504</v>
      </c>
      <c r="M190" s="90">
        <v>26000.0</v>
      </c>
      <c r="N190" s="316" t="s">
        <v>2966</v>
      </c>
      <c r="O190" s="30"/>
      <c r="P190" s="29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53">
        <v>45443.0</v>
      </c>
      <c r="I191" s="68" t="s">
        <v>2788</v>
      </c>
      <c r="J191" s="69">
        <v>10000.0</v>
      </c>
      <c r="K191" s="318">
        <v>0.5513888888888889</v>
      </c>
      <c r="L191" s="135"/>
      <c r="M191" s="19"/>
      <c r="N191" s="131"/>
      <c r="O191" s="30"/>
      <c r="P191" s="29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>
        <v>45446.0</v>
      </c>
      <c r="I192" s="84"/>
      <c r="J192" s="17"/>
      <c r="K192" s="133"/>
      <c r="L192" s="135" t="s">
        <v>2393</v>
      </c>
      <c r="M192" s="19">
        <v>2745.0</v>
      </c>
      <c r="N192" s="331">
        <v>0.8819444444444444</v>
      </c>
      <c r="O192" s="30"/>
      <c r="P192" s="29"/>
      <c r="Q192" s="30" t="s">
        <v>2967</v>
      </c>
      <c r="R192" s="30"/>
      <c r="S192" s="30"/>
      <c r="T192" s="30"/>
      <c r="U192" s="30"/>
      <c r="V192" s="30"/>
      <c r="W192" s="30"/>
      <c r="X192" s="30"/>
      <c r="Y192" s="30"/>
      <c r="Z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133"/>
      <c r="L193" s="135"/>
      <c r="M193" s="19"/>
      <c r="N193" s="131"/>
      <c r="O193" s="30"/>
      <c r="P193" s="29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133"/>
      <c r="L194" s="135"/>
      <c r="M194" s="19"/>
      <c r="N194" s="131"/>
      <c r="O194" s="30"/>
      <c r="P194" s="29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133"/>
      <c r="L195" s="135"/>
      <c r="M195" s="19"/>
      <c r="N195" s="131"/>
      <c r="O195" s="30"/>
      <c r="P195" s="29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133"/>
      <c r="L196" s="135"/>
      <c r="M196" s="19"/>
      <c r="N196" s="131"/>
      <c r="O196" s="30"/>
      <c r="P196" s="29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133"/>
      <c r="L197" s="135"/>
      <c r="M197" s="19"/>
      <c r="N197" s="131"/>
      <c r="O197" s="30"/>
      <c r="P197" s="29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133"/>
      <c r="L198" s="135"/>
      <c r="M198" s="19"/>
      <c r="N198" s="131"/>
      <c r="O198" s="30"/>
      <c r="P198" s="29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133"/>
      <c r="L199" s="135"/>
      <c r="M199" s="19"/>
      <c r="N199" s="131"/>
      <c r="O199" s="30"/>
      <c r="P199" s="29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133"/>
      <c r="L200" s="135"/>
      <c r="M200" s="19"/>
      <c r="N200" s="131"/>
      <c r="O200" s="30"/>
      <c r="P200" s="29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133"/>
      <c r="L201" s="135"/>
      <c r="M201" s="19"/>
      <c r="N201" s="131"/>
      <c r="O201" s="30"/>
      <c r="P201" s="29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133"/>
      <c r="L202" s="135"/>
      <c r="M202" s="19"/>
      <c r="N202" s="131"/>
      <c r="O202" s="30"/>
      <c r="P202" s="29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133"/>
      <c r="L203" s="135"/>
      <c r="M203" s="19"/>
      <c r="N203" s="131"/>
      <c r="O203" s="30"/>
      <c r="P203" s="29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133"/>
      <c r="L204" s="135"/>
      <c r="M204" s="19"/>
      <c r="N204" s="131"/>
      <c r="O204" s="30"/>
      <c r="P204" s="29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133"/>
      <c r="L205" s="135"/>
      <c r="M205" s="19"/>
      <c r="N205" s="131"/>
      <c r="O205" s="30"/>
      <c r="P205" s="29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133"/>
      <c r="L206" s="135"/>
      <c r="M206" s="19"/>
      <c r="N206" s="131"/>
      <c r="O206" s="30"/>
      <c r="P206" s="29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133"/>
      <c r="L207" s="135"/>
      <c r="M207" s="19"/>
      <c r="N207" s="131"/>
      <c r="O207" s="30"/>
      <c r="P207" s="29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133"/>
      <c r="L208" s="135"/>
      <c r="M208" s="19"/>
      <c r="N208" s="131"/>
      <c r="O208" s="30"/>
      <c r="P208" s="29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133"/>
      <c r="L209" s="135"/>
      <c r="M209" s="19"/>
      <c r="N209" s="131"/>
      <c r="O209" s="30"/>
      <c r="P209" s="29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133"/>
      <c r="L210" s="135"/>
      <c r="M210" s="19"/>
      <c r="N210" s="131"/>
      <c r="O210" s="30"/>
      <c r="P210" s="29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133"/>
      <c r="L211" s="135"/>
      <c r="M211" s="19"/>
      <c r="N211" s="131"/>
      <c r="O211" s="30"/>
      <c r="P211" s="29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133"/>
      <c r="L212" s="135"/>
      <c r="M212" s="19"/>
      <c r="N212" s="131"/>
      <c r="O212" s="30"/>
      <c r="P212" s="29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133"/>
      <c r="L213" s="135"/>
      <c r="M213" s="19"/>
      <c r="N213" s="131"/>
      <c r="O213" s="30"/>
      <c r="P213" s="29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133"/>
      <c r="L214" s="135"/>
      <c r="M214" s="19"/>
      <c r="N214" s="131"/>
      <c r="O214" s="30"/>
      <c r="P214" s="29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133"/>
      <c r="L215" s="135"/>
      <c r="M215" s="19"/>
      <c r="N215" s="131"/>
      <c r="O215" s="30"/>
      <c r="P215" s="29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133"/>
      <c r="L216" s="135"/>
      <c r="M216" s="19"/>
      <c r="N216" s="131"/>
      <c r="O216" s="30"/>
      <c r="P216" s="29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133"/>
      <c r="L217" s="135"/>
      <c r="M217" s="19"/>
      <c r="N217" s="131"/>
      <c r="O217" s="30"/>
      <c r="P217" s="29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133"/>
      <c r="L218" s="135"/>
      <c r="M218" s="19"/>
      <c r="N218" s="131"/>
      <c r="O218" s="30"/>
      <c r="P218" s="29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133"/>
      <c r="L219" s="135"/>
      <c r="M219" s="19"/>
      <c r="N219" s="131"/>
      <c r="O219" s="30"/>
      <c r="P219" s="29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133"/>
      <c r="L220" s="135"/>
      <c r="M220" s="19"/>
      <c r="N220" s="131"/>
      <c r="O220" s="30"/>
      <c r="P220" s="29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133"/>
      <c r="L221" s="135"/>
      <c r="M221" s="19"/>
      <c r="N221" s="131"/>
      <c r="O221" s="30"/>
      <c r="P221" s="29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133"/>
      <c r="L222" s="135"/>
      <c r="M222" s="19"/>
      <c r="N222" s="131"/>
      <c r="O222" s="30"/>
      <c r="P222" s="29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133"/>
      <c r="L223" s="135"/>
      <c r="M223" s="19"/>
      <c r="N223" s="131"/>
      <c r="O223" s="30"/>
      <c r="P223" s="29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133"/>
      <c r="L224" s="135"/>
      <c r="M224" s="19"/>
      <c r="N224" s="131"/>
      <c r="O224" s="30"/>
      <c r="P224" s="29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133"/>
      <c r="L225" s="135"/>
      <c r="M225" s="19"/>
      <c r="N225" s="131"/>
      <c r="O225" s="30"/>
      <c r="P225" s="29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133"/>
      <c r="L226" s="135"/>
      <c r="M226" s="19"/>
      <c r="N226" s="131"/>
      <c r="O226" s="30"/>
      <c r="P226" s="29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133"/>
      <c r="L227" s="135"/>
      <c r="M227" s="19"/>
      <c r="N227" s="131"/>
      <c r="O227" s="30"/>
      <c r="P227" s="29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133"/>
      <c r="L228" s="135"/>
      <c r="M228" s="19"/>
      <c r="N228" s="131"/>
      <c r="O228" s="30"/>
      <c r="P228" s="29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133"/>
      <c r="L229" s="135"/>
      <c r="M229" s="19"/>
      <c r="N229" s="131"/>
      <c r="O229" s="30"/>
      <c r="P229" s="29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133"/>
      <c r="L230" s="135"/>
      <c r="M230" s="19"/>
      <c r="N230" s="131"/>
      <c r="O230" s="30"/>
      <c r="P230" s="29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133"/>
      <c r="L231" s="135"/>
      <c r="M231" s="19"/>
      <c r="N231" s="131"/>
      <c r="O231" s="30"/>
      <c r="P231" s="29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133"/>
      <c r="L232" s="135"/>
      <c r="M232" s="19"/>
      <c r="N232" s="131"/>
      <c r="O232" s="30"/>
      <c r="P232" s="29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133"/>
      <c r="L233" s="135"/>
      <c r="M233" s="19"/>
      <c r="N233" s="131"/>
      <c r="O233" s="30"/>
      <c r="P233" s="29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133"/>
      <c r="L234" s="135"/>
      <c r="M234" s="19"/>
      <c r="N234" s="131"/>
      <c r="O234" s="30"/>
      <c r="P234" s="29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133"/>
      <c r="L235" s="135"/>
      <c r="M235" s="19"/>
      <c r="N235" s="131"/>
      <c r="O235" s="30"/>
      <c r="P235" s="29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133"/>
      <c r="L236" s="135"/>
      <c r="M236" s="19"/>
      <c r="N236" s="131"/>
      <c r="O236" s="30"/>
      <c r="P236" s="29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133"/>
      <c r="L237" s="135"/>
      <c r="M237" s="19"/>
      <c r="N237" s="131"/>
      <c r="O237" s="30"/>
      <c r="P237" s="29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133"/>
      <c r="L238" s="135"/>
      <c r="M238" s="19"/>
      <c r="N238" s="131"/>
      <c r="O238" s="30"/>
      <c r="P238" s="29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133"/>
      <c r="L239" s="135"/>
      <c r="M239" s="19"/>
      <c r="N239" s="131"/>
      <c r="O239" s="30"/>
      <c r="P239" s="29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133"/>
      <c r="L240" s="135"/>
      <c r="M240" s="19"/>
      <c r="N240" s="131"/>
      <c r="O240" s="30"/>
      <c r="P240" s="29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133"/>
      <c r="L241" s="135"/>
      <c r="M241" s="19"/>
      <c r="N241" s="131"/>
      <c r="O241" s="30"/>
      <c r="P241" s="29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133"/>
      <c r="L242" s="135"/>
      <c r="M242" s="19"/>
      <c r="N242" s="131"/>
      <c r="O242" s="30"/>
      <c r="P242" s="29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133"/>
      <c r="L243" s="135"/>
      <c r="M243" s="19"/>
      <c r="N243" s="131"/>
      <c r="O243" s="30"/>
      <c r="P243" s="29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133"/>
      <c r="L244" s="135"/>
      <c r="M244" s="19"/>
      <c r="N244" s="131"/>
      <c r="O244" s="30"/>
      <c r="P244" s="29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133"/>
      <c r="L245" s="135"/>
      <c r="M245" s="19"/>
      <c r="N245" s="131"/>
      <c r="O245" s="30"/>
      <c r="P245" s="29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133"/>
      <c r="L246" s="135"/>
      <c r="M246" s="19"/>
      <c r="N246" s="131"/>
      <c r="O246" s="30"/>
      <c r="P246" s="29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133"/>
      <c r="L247" s="135"/>
      <c r="M247" s="19"/>
      <c r="N247" s="131"/>
      <c r="O247" s="30"/>
      <c r="P247" s="29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133"/>
      <c r="L248" s="135"/>
      <c r="M248" s="19"/>
      <c r="N248" s="131"/>
      <c r="O248" s="30"/>
      <c r="P248" s="29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133"/>
      <c r="L249" s="135"/>
      <c r="M249" s="19"/>
      <c r="N249" s="131"/>
      <c r="O249" s="30"/>
      <c r="P249" s="29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133"/>
      <c r="L250" s="135"/>
      <c r="M250" s="19"/>
      <c r="N250" s="131"/>
      <c r="O250" s="30"/>
      <c r="P250" s="29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133"/>
      <c r="L251" s="135"/>
      <c r="M251" s="19"/>
      <c r="N251" s="131"/>
      <c r="O251" s="30"/>
      <c r="P251" s="29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133"/>
      <c r="L252" s="135"/>
      <c r="M252" s="19"/>
      <c r="N252" s="131"/>
      <c r="O252" s="30"/>
      <c r="P252" s="29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133"/>
      <c r="L253" s="135"/>
      <c r="M253" s="19"/>
      <c r="N253" s="131"/>
      <c r="O253" s="30"/>
      <c r="P253" s="29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133"/>
      <c r="L254" s="135"/>
      <c r="M254" s="19"/>
      <c r="N254" s="131"/>
      <c r="O254" s="30"/>
      <c r="P254" s="29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133"/>
      <c r="L255" s="135"/>
      <c r="M255" s="19"/>
      <c r="N255" s="131"/>
      <c r="O255" s="30"/>
      <c r="P255" s="29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133"/>
      <c r="L256" s="135"/>
      <c r="M256" s="19"/>
      <c r="N256" s="131"/>
      <c r="O256" s="30"/>
      <c r="P256" s="29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133"/>
      <c r="L257" s="135"/>
      <c r="M257" s="19"/>
      <c r="N257" s="131"/>
      <c r="O257" s="30"/>
      <c r="P257" s="29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133"/>
      <c r="L258" s="135"/>
      <c r="M258" s="19"/>
      <c r="N258" s="131"/>
      <c r="O258" s="30"/>
      <c r="P258" s="29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133"/>
      <c r="L259" s="135"/>
      <c r="M259" s="19"/>
      <c r="N259" s="131"/>
      <c r="O259" s="30"/>
      <c r="P259" s="29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133"/>
      <c r="L260" s="135"/>
      <c r="M260" s="19"/>
      <c r="N260" s="131"/>
      <c r="O260" s="30"/>
      <c r="P260" s="29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133"/>
      <c r="L261" s="135"/>
      <c r="M261" s="19"/>
      <c r="N261" s="131"/>
      <c r="O261" s="30"/>
      <c r="P261" s="29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133"/>
      <c r="L262" s="135"/>
      <c r="M262" s="19"/>
      <c r="N262" s="131"/>
      <c r="O262" s="30"/>
      <c r="P262" s="29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133"/>
      <c r="L263" s="135"/>
      <c r="M263" s="19"/>
      <c r="N263" s="131"/>
      <c r="O263" s="30"/>
      <c r="P263" s="2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133"/>
      <c r="L264" s="135"/>
      <c r="M264" s="19"/>
      <c r="N264" s="131"/>
      <c r="O264" s="30"/>
      <c r="P264" s="29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133"/>
      <c r="L265" s="135"/>
      <c r="M265" s="19"/>
      <c r="N265" s="131"/>
      <c r="O265" s="30"/>
      <c r="P265" s="29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133"/>
      <c r="L266" s="135"/>
      <c r="M266" s="19"/>
      <c r="N266" s="131"/>
      <c r="O266" s="30"/>
      <c r="P266" s="29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133"/>
      <c r="L267" s="135"/>
      <c r="M267" s="19"/>
      <c r="N267" s="131"/>
      <c r="O267" s="30"/>
      <c r="P267" s="29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133"/>
      <c r="L268" s="135"/>
      <c r="M268" s="19"/>
      <c r="N268" s="131"/>
      <c r="O268" s="30"/>
      <c r="P268" s="29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133"/>
      <c r="L269" s="135"/>
      <c r="M269" s="19"/>
      <c r="N269" s="131"/>
      <c r="O269" s="30"/>
      <c r="P269" s="29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133"/>
      <c r="L270" s="135"/>
      <c r="M270" s="19"/>
      <c r="N270" s="131"/>
      <c r="O270" s="30"/>
      <c r="P270" s="29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133"/>
      <c r="L271" s="135"/>
      <c r="M271" s="19"/>
      <c r="N271" s="131"/>
      <c r="O271" s="30"/>
      <c r="P271" s="29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133"/>
      <c r="L272" s="135"/>
      <c r="M272" s="19"/>
      <c r="N272" s="131"/>
      <c r="O272" s="30"/>
      <c r="P272" s="29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133"/>
      <c r="L273" s="135"/>
      <c r="M273" s="19"/>
      <c r="N273" s="131"/>
      <c r="O273" s="30"/>
      <c r="P273" s="29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133"/>
      <c r="L274" s="135"/>
      <c r="M274" s="19"/>
      <c r="N274" s="131"/>
      <c r="O274" s="30"/>
      <c r="P274" s="29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133"/>
      <c r="L275" s="135"/>
      <c r="M275" s="19"/>
      <c r="N275" s="131"/>
      <c r="O275" s="30"/>
      <c r="P275" s="29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133"/>
      <c r="L276" s="135"/>
      <c r="M276" s="19"/>
      <c r="N276" s="131"/>
      <c r="O276" s="30"/>
      <c r="P276" s="29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133"/>
      <c r="L277" s="135"/>
      <c r="M277" s="19"/>
      <c r="N277" s="131"/>
      <c r="O277" s="30"/>
      <c r="P277" s="29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133"/>
      <c r="L278" s="135"/>
      <c r="M278" s="19"/>
      <c r="N278" s="131"/>
      <c r="O278" s="30"/>
      <c r="P278" s="29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133"/>
      <c r="L279" s="135"/>
      <c r="M279" s="19"/>
      <c r="N279" s="131"/>
      <c r="O279" s="30"/>
      <c r="P279" s="29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133"/>
      <c r="L280" s="135"/>
      <c r="M280" s="19"/>
      <c r="N280" s="131"/>
      <c r="O280" s="30"/>
      <c r="P280" s="29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133"/>
      <c r="L281" s="135"/>
      <c r="M281" s="19"/>
      <c r="N281" s="131"/>
      <c r="O281" s="30"/>
      <c r="P281" s="29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133"/>
      <c r="L282" s="135"/>
      <c r="M282" s="19"/>
      <c r="N282" s="131"/>
      <c r="O282" s="30"/>
      <c r="P282" s="29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133"/>
      <c r="L283" s="135"/>
      <c r="M283" s="19"/>
      <c r="N283" s="131"/>
      <c r="O283" s="30"/>
      <c r="P283" s="29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133"/>
      <c r="L284" s="135"/>
      <c r="M284" s="19"/>
      <c r="N284" s="131"/>
      <c r="O284" s="30"/>
      <c r="P284" s="29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133"/>
      <c r="L285" s="135"/>
      <c r="M285" s="19"/>
      <c r="N285" s="131"/>
      <c r="O285" s="30"/>
      <c r="P285" s="29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133"/>
      <c r="L286" s="135"/>
      <c r="M286" s="19"/>
      <c r="N286" s="131"/>
      <c r="O286" s="30"/>
      <c r="P286" s="29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133"/>
      <c r="L287" s="135"/>
      <c r="M287" s="19"/>
      <c r="N287" s="131"/>
      <c r="O287" s="30"/>
      <c r="P287" s="29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133"/>
      <c r="L288" s="135"/>
      <c r="M288" s="19"/>
      <c r="N288" s="131"/>
      <c r="O288" s="30"/>
      <c r="P288" s="29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133"/>
      <c r="L289" s="135"/>
      <c r="M289" s="19"/>
      <c r="N289" s="131"/>
      <c r="O289" s="30"/>
      <c r="P289" s="29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133"/>
      <c r="L290" s="135"/>
      <c r="M290" s="19"/>
      <c r="N290" s="131"/>
      <c r="O290" s="30"/>
      <c r="P290" s="29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133"/>
      <c r="L291" s="135"/>
      <c r="M291" s="19"/>
      <c r="N291" s="131"/>
      <c r="O291" s="30"/>
      <c r="P291" s="29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133"/>
      <c r="L292" s="135"/>
      <c r="M292" s="19"/>
      <c r="N292" s="131"/>
      <c r="O292" s="30"/>
      <c r="P292" s="29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133"/>
      <c r="L293" s="135"/>
      <c r="M293" s="19"/>
      <c r="N293" s="131"/>
      <c r="O293" s="30"/>
      <c r="P293" s="29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133"/>
      <c r="L294" s="135"/>
      <c r="M294" s="19"/>
      <c r="N294" s="131"/>
      <c r="O294" s="30"/>
      <c r="P294" s="29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133"/>
      <c r="L295" s="135"/>
      <c r="M295" s="19"/>
      <c r="N295" s="131"/>
      <c r="O295" s="30"/>
      <c r="P295" s="29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133"/>
      <c r="L296" s="135"/>
      <c r="M296" s="19"/>
      <c r="N296" s="131"/>
      <c r="O296" s="30"/>
      <c r="P296" s="29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133"/>
      <c r="L297" s="135"/>
      <c r="M297" s="19"/>
      <c r="N297" s="131"/>
      <c r="O297" s="30"/>
      <c r="P297" s="29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133"/>
      <c r="L298" s="135"/>
      <c r="M298" s="19"/>
      <c r="N298" s="131"/>
      <c r="O298" s="30"/>
      <c r="P298" s="29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133"/>
      <c r="L299" s="135"/>
      <c r="M299" s="19"/>
      <c r="N299" s="131"/>
      <c r="O299" s="30"/>
      <c r="P299" s="29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133"/>
      <c r="L300" s="135"/>
      <c r="M300" s="19"/>
      <c r="N300" s="131"/>
      <c r="O300" s="30"/>
      <c r="P300" s="29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133"/>
      <c r="L301" s="135"/>
      <c r="M301" s="19"/>
      <c r="N301" s="131"/>
      <c r="O301" s="30"/>
      <c r="P301" s="29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133"/>
      <c r="L302" s="135"/>
      <c r="M302" s="19"/>
      <c r="N302" s="131"/>
      <c r="O302" s="30"/>
      <c r="P302" s="29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133"/>
      <c r="L303" s="135"/>
      <c r="M303" s="19"/>
      <c r="N303" s="131"/>
      <c r="O303" s="30"/>
      <c r="P303" s="29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133"/>
      <c r="L304" s="135"/>
      <c r="M304" s="19"/>
      <c r="N304" s="131"/>
      <c r="O304" s="30"/>
      <c r="P304" s="29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133"/>
      <c r="L305" s="135"/>
      <c r="M305" s="19"/>
      <c r="N305" s="131"/>
      <c r="O305" s="30"/>
      <c r="P305" s="29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133"/>
      <c r="L306" s="135"/>
      <c r="M306" s="19"/>
      <c r="N306" s="131"/>
      <c r="O306" s="30"/>
      <c r="P306" s="29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133"/>
      <c r="L307" s="135"/>
      <c r="M307" s="19"/>
      <c r="N307" s="131"/>
      <c r="O307" s="30"/>
      <c r="P307" s="29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133"/>
      <c r="L308" s="135"/>
      <c r="M308" s="19"/>
      <c r="N308" s="131"/>
      <c r="O308" s="30"/>
      <c r="P308" s="29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133"/>
      <c r="L309" s="135"/>
      <c r="M309" s="19"/>
      <c r="N309" s="131"/>
      <c r="O309" s="30"/>
      <c r="P309" s="29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133"/>
      <c r="L310" s="135"/>
      <c r="M310" s="19"/>
      <c r="N310" s="131"/>
      <c r="O310" s="30"/>
      <c r="P310" s="29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133"/>
      <c r="L311" s="135"/>
      <c r="M311" s="19"/>
      <c r="N311" s="131"/>
      <c r="O311" s="30"/>
      <c r="P311" s="29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133"/>
      <c r="L312" s="135"/>
      <c r="M312" s="19"/>
      <c r="N312" s="131"/>
      <c r="O312" s="30"/>
      <c r="P312" s="29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133"/>
      <c r="L313" s="135"/>
      <c r="M313" s="19"/>
      <c r="N313" s="131"/>
      <c r="O313" s="30"/>
      <c r="P313" s="29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133"/>
      <c r="L314" s="135"/>
      <c r="M314" s="19"/>
      <c r="N314" s="131"/>
      <c r="O314" s="30"/>
      <c r="P314" s="29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133"/>
      <c r="L315" s="135"/>
      <c r="M315" s="19"/>
      <c r="N315" s="131"/>
      <c r="O315" s="30"/>
      <c r="P315" s="29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133"/>
      <c r="L316" s="135"/>
      <c r="M316" s="19"/>
      <c r="N316" s="131"/>
      <c r="O316" s="30"/>
      <c r="P316" s="29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133"/>
      <c r="L317" s="135"/>
      <c r="M317" s="19"/>
      <c r="N317" s="131"/>
      <c r="O317" s="30"/>
      <c r="P317" s="29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133"/>
      <c r="L318" s="135"/>
      <c r="M318" s="19"/>
      <c r="N318" s="131"/>
      <c r="O318" s="30"/>
      <c r="P318" s="29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133"/>
      <c r="L319" s="135"/>
      <c r="M319" s="19"/>
      <c r="N319" s="131"/>
      <c r="O319" s="30"/>
      <c r="P319" s="29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133"/>
      <c r="L320" s="135"/>
      <c r="M320" s="19"/>
      <c r="N320" s="131"/>
      <c r="O320" s="30"/>
      <c r="P320" s="29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133"/>
      <c r="L321" s="135"/>
      <c r="M321" s="19"/>
      <c r="N321" s="131"/>
      <c r="O321" s="30"/>
      <c r="P321" s="29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133"/>
      <c r="L322" s="135"/>
      <c r="M322" s="19"/>
      <c r="N322" s="131"/>
      <c r="O322" s="30"/>
      <c r="P322" s="29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133"/>
      <c r="L323" s="135"/>
      <c r="M323" s="19"/>
      <c r="N323" s="131"/>
      <c r="O323" s="30"/>
      <c r="P323" s="29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133"/>
      <c r="L324" s="135"/>
      <c r="M324" s="19"/>
      <c r="N324" s="131"/>
      <c r="O324" s="30"/>
      <c r="P324" s="29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133"/>
      <c r="L325" s="135"/>
      <c r="M325" s="19"/>
      <c r="N325" s="131"/>
      <c r="O325" s="30"/>
      <c r="P325" s="29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133"/>
      <c r="L326" s="135"/>
      <c r="M326" s="19"/>
      <c r="N326" s="131"/>
      <c r="O326" s="30"/>
      <c r="P326" s="29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133"/>
      <c r="L327" s="135"/>
      <c r="M327" s="19"/>
      <c r="N327" s="131"/>
      <c r="O327" s="30"/>
      <c r="P327" s="29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133"/>
      <c r="L328" s="135"/>
      <c r="M328" s="19"/>
      <c r="N328" s="131"/>
      <c r="O328" s="30"/>
      <c r="P328" s="29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133"/>
      <c r="L329" s="135"/>
      <c r="M329" s="19"/>
      <c r="N329" s="131"/>
      <c r="O329" s="30"/>
      <c r="P329" s="29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133"/>
      <c r="L330" s="135"/>
      <c r="M330" s="19"/>
      <c r="N330" s="131"/>
      <c r="O330" s="30"/>
      <c r="P330" s="29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133"/>
      <c r="L331" s="135"/>
      <c r="M331" s="19"/>
      <c r="N331" s="131"/>
      <c r="O331" s="30"/>
      <c r="P331" s="29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133"/>
      <c r="L332" s="135"/>
      <c r="M332" s="19"/>
      <c r="N332" s="131"/>
      <c r="O332" s="30"/>
      <c r="P332" s="29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133"/>
      <c r="L333" s="135"/>
      <c r="M333" s="19"/>
      <c r="N333" s="131"/>
      <c r="O333" s="30"/>
      <c r="P333" s="29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133"/>
      <c r="L334" s="135"/>
      <c r="M334" s="19"/>
      <c r="N334" s="131"/>
      <c r="O334" s="30"/>
      <c r="P334" s="29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133"/>
      <c r="L335" s="135"/>
      <c r="M335" s="19"/>
      <c r="N335" s="131"/>
      <c r="O335" s="30"/>
      <c r="P335" s="29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133"/>
      <c r="L336" s="135"/>
      <c r="M336" s="19"/>
      <c r="N336" s="131"/>
      <c r="O336" s="30"/>
      <c r="P336" s="29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133"/>
      <c r="L337" s="135"/>
      <c r="M337" s="19"/>
      <c r="N337" s="131"/>
      <c r="O337" s="30"/>
      <c r="P337" s="29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133"/>
      <c r="L338" s="135"/>
      <c r="M338" s="19"/>
      <c r="N338" s="131"/>
      <c r="O338" s="30"/>
      <c r="P338" s="29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133"/>
      <c r="L339" s="135"/>
      <c r="M339" s="19"/>
      <c r="N339" s="131"/>
      <c r="O339" s="30"/>
      <c r="P339" s="29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133"/>
      <c r="L340" s="135"/>
      <c r="M340" s="19"/>
      <c r="N340" s="131"/>
      <c r="O340" s="30"/>
      <c r="P340" s="29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133"/>
      <c r="L341" s="135"/>
      <c r="M341" s="19"/>
      <c r="N341" s="131"/>
      <c r="O341" s="30"/>
      <c r="P341" s="29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133"/>
      <c r="L342" s="135"/>
      <c r="M342" s="19"/>
      <c r="N342" s="131"/>
      <c r="O342" s="30"/>
      <c r="P342" s="29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133"/>
      <c r="L343" s="135"/>
      <c r="M343" s="19"/>
      <c r="N343" s="131"/>
      <c r="O343" s="30"/>
      <c r="P343" s="29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133"/>
      <c r="L344" s="135"/>
      <c r="M344" s="19"/>
      <c r="N344" s="131"/>
      <c r="O344" s="30"/>
      <c r="P344" s="29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133"/>
      <c r="L345" s="135"/>
      <c r="M345" s="19"/>
      <c r="N345" s="131"/>
      <c r="O345" s="30"/>
      <c r="P345" s="29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133"/>
      <c r="L346" s="135"/>
      <c r="M346" s="19"/>
      <c r="N346" s="131"/>
      <c r="O346" s="30"/>
      <c r="P346" s="29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133"/>
      <c r="L347" s="135"/>
      <c r="M347" s="19"/>
      <c r="N347" s="131"/>
      <c r="O347" s="30"/>
      <c r="P347" s="29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133"/>
      <c r="L348" s="135"/>
      <c r="M348" s="19"/>
      <c r="N348" s="131"/>
      <c r="O348" s="30"/>
      <c r="P348" s="29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133"/>
      <c r="L349" s="135"/>
      <c r="M349" s="19"/>
      <c r="N349" s="131"/>
      <c r="O349" s="30"/>
      <c r="P349" s="29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133"/>
      <c r="L350" s="135"/>
      <c r="M350" s="19"/>
      <c r="N350" s="131"/>
      <c r="O350" s="30"/>
      <c r="P350" s="29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133"/>
      <c r="L351" s="135"/>
      <c r="M351" s="19"/>
      <c r="N351" s="131"/>
      <c r="O351" s="30"/>
      <c r="P351" s="29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133"/>
      <c r="L352" s="135"/>
      <c r="M352" s="19"/>
      <c r="N352" s="131"/>
      <c r="O352" s="30"/>
      <c r="P352" s="29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133"/>
      <c r="L353" s="135"/>
      <c r="M353" s="19"/>
      <c r="N353" s="131"/>
      <c r="O353" s="30"/>
      <c r="P353" s="29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133"/>
      <c r="L354" s="135"/>
      <c r="M354" s="19"/>
      <c r="N354" s="131"/>
      <c r="O354" s="30"/>
      <c r="P354" s="29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133"/>
      <c r="L355" s="135"/>
      <c r="M355" s="19"/>
      <c r="N355" s="131"/>
      <c r="O355" s="30"/>
      <c r="P355" s="29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133"/>
      <c r="L356" s="135"/>
      <c r="M356" s="19"/>
      <c r="N356" s="131"/>
      <c r="O356" s="30"/>
      <c r="P356" s="29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133"/>
      <c r="L357" s="135"/>
      <c r="M357" s="19"/>
      <c r="N357" s="131"/>
      <c r="O357" s="30"/>
      <c r="P357" s="29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133"/>
      <c r="L358" s="135"/>
      <c r="M358" s="19"/>
      <c r="N358" s="131"/>
      <c r="O358" s="30"/>
      <c r="P358" s="29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133"/>
      <c r="L359" s="135"/>
      <c r="M359" s="19"/>
      <c r="N359" s="131"/>
      <c r="O359" s="30"/>
      <c r="P359" s="29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133"/>
      <c r="L360" s="135"/>
      <c r="M360" s="19"/>
      <c r="N360" s="131"/>
      <c r="O360" s="30"/>
      <c r="P360" s="29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133"/>
      <c r="L361" s="135"/>
      <c r="M361" s="19"/>
      <c r="N361" s="131"/>
      <c r="O361" s="30"/>
      <c r="P361" s="29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133"/>
      <c r="L362" s="135"/>
      <c r="M362" s="19"/>
      <c r="N362" s="131"/>
      <c r="O362" s="30"/>
      <c r="P362" s="29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133"/>
      <c r="L363" s="135"/>
      <c r="M363" s="19"/>
      <c r="N363" s="131"/>
      <c r="O363" s="30"/>
      <c r="P363" s="29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133"/>
      <c r="L364" s="135"/>
      <c r="M364" s="19"/>
      <c r="N364" s="131"/>
      <c r="O364" s="30"/>
      <c r="P364" s="29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133"/>
      <c r="L365" s="135"/>
      <c r="M365" s="19"/>
      <c r="N365" s="131"/>
      <c r="O365" s="30"/>
      <c r="P365" s="29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133"/>
      <c r="L366" s="135"/>
      <c r="M366" s="19"/>
      <c r="N366" s="131"/>
      <c r="O366" s="30"/>
      <c r="P366" s="29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133"/>
      <c r="L367" s="135"/>
      <c r="M367" s="19"/>
      <c r="N367" s="131"/>
      <c r="O367" s="30"/>
      <c r="P367" s="29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133"/>
      <c r="L368" s="135"/>
      <c r="M368" s="19"/>
      <c r="N368" s="131"/>
      <c r="O368" s="30"/>
      <c r="P368" s="29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133"/>
      <c r="L369" s="135"/>
      <c r="M369" s="19"/>
      <c r="N369" s="131"/>
      <c r="O369" s="30"/>
      <c r="P369" s="29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133"/>
      <c r="L370" s="135"/>
      <c r="M370" s="19"/>
      <c r="N370" s="131"/>
      <c r="O370" s="30"/>
      <c r="P370" s="29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133"/>
      <c r="L371" s="135"/>
      <c r="M371" s="19"/>
      <c r="N371" s="131"/>
      <c r="O371" s="30"/>
      <c r="P371" s="29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133"/>
      <c r="L372" s="135"/>
      <c r="M372" s="19"/>
      <c r="N372" s="131"/>
      <c r="O372" s="30"/>
      <c r="P372" s="29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133"/>
      <c r="L373" s="135"/>
      <c r="M373" s="19"/>
      <c r="N373" s="131"/>
      <c r="O373" s="30"/>
      <c r="P373" s="29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133"/>
      <c r="L374" s="135"/>
      <c r="M374" s="19"/>
      <c r="N374" s="131"/>
      <c r="O374" s="30"/>
      <c r="P374" s="29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133"/>
      <c r="L375" s="135"/>
      <c r="M375" s="19"/>
      <c r="N375" s="131"/>
      <c r="O375" s="30"/>
      <c r="P375" s="29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133"/>
      <c r="L376" s="135"/>
      <c r="M376" s="19"/>
      <c r="N376" s="131"/>
      <c r="O376" s="30"/>
      <c r="P376" s="29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133"/>
      <c r="L377" s="135"/>
      <c r="M377" s="19"/>
      <c r="N377" s="131"/>
      <c r="O377" s="30"/>
      <c r="P377" s="29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133"/>
      <c r="L378" s="135"/>
      <c r="M378" s="19"/>
      <c r="N378" s="131"/>
      <c r="O378" s="30"/>
      <c r="P378" s="29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133"/>
      <c r="L379" s="135"/>
      <c r="M379" s="19"/>
      <c r="N379" s="131"/>
      <c r="O379" s="30"/>
      <c r="P379" s="29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133"/>
      <c r="L380" s="135"/>
      <c r="M380" s="19"/>
      <c r="N380" s="131"/>
      <c r="O380" s="30"/>
      <c r="P380" s="29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133"/>
      <c r="L381" s="135"/>
      <c r="M381" s="19"/>
      <c r="N381" s="131"/>
      <c r="O381" s="30"/>
      <c r="P381" s="29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133"/>
      <c r="L382" s="135"/>
      <c r="M382" s="19"/>
      <c r="N382" s="131"/>
      <c r="O382" s="30"/>
      <c r="P382" s="29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133"/>
      <c r="L383" s="135"/>
      <c r="M383" s="19"/>
      <c r="N383" s="131"/>
      <c r="O383" s="30"/>
      <c r="P383" s="29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133"/>
      <c r="L384" s="135"/>
      <c r="M384" s="19"/>
      <c r="N384" s="131"/>
      <c r="O384" s="30"/>
      <c r="P384" s="29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133"/>
      <c r="L385" s="135"/>
      <c r="M385" s="19"/>
      <c r="N385" s="131"/>
      <c r="O385" s="30"/>
      <c r="P385" s="29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133"/>
      <c r="L386" s="135"/>
      <c r="M386" s="19"/>
      <c r="N386" s="131"/>
      <c r="O386" s="30"/>
      <c r="P386" s="29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133"/>
      <c r="L387" s="135"/>
      <c r="M387" s="19"/>
      <c r="N387" s="131"/>
      <c r="O387" s="30"/>
      <c r="P387" s="29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133"/>
      <c r="L388" s="135"/>
      <c r="M388" s="19"/>
      <c r="N388" s="131"/>
      <c r="O388" s="30"/>
      <c r="P388" s="29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133"/>
      <c r="L389" s="135"/>
      <c r="M389" s="19"/>
      <c r="N389" s="131"/>
      <c r="O389" s="30"/>
      <c r="P389" s="29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133"/>
      <c r="L390" s="135"/>
      <c r="M390" s="19"/>
      <c r="N390" s="131"/>
      <c r="O390" s="30"/>
      <c r="P390" s="29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133"/>
      <c r="L391" s="135"/>
      <c r="M391" s="19"/>
      <c r="N391" s="131"/>
      <c r="O391" s="30"/>
      <c r="P391" s="29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133"/>
      <c r="L392" s="135"/>
      <c r="M392" s="19"/>
      <c r="N392" s="131"/>
      <c r="O392" s="30"/>
      <c r="P392" s="29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133"/>
      <c r="L393" s="135"/>
      <c r="M393" s="19"/>
      <c r="N393" s="131"/>
      <c r="O393" s="30"/>
      <c r="P393" s="29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133"/>
      <c r="L394" s="135"/>
      <c r="M394" s="19"/>
      <c r="N394" s="131"/>
      <c r="O394" s="30"/>
      <c r="P394" s="29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133"/>
      <c r="L395" s="135"/>
      <c r="M395" s="19"/>
      <c r="N395" s="131"/>
      <c r="O395" s="30"/>
      <c r="P395" s="29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133"/>
      <c r="L396" s="135"/>
      <c r="M396" s="19"/>
      <c r="N396" s="131"/>
      <c r="O396" s="30"/>
      <c r="P396" s="29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133"/>
      <c r="L397" s="135"/>
      <c r="M397" s="19"/>
      <c r="N397" s="131"/>
      <c r="O397" s="30"/>
      <c r="P397" s="29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133"/>
      <c r="L398" s="135"/>
      <c r="M398" s="19"/>
      <c r="N398" s="131"/>
      <c r="O398" s="30"/>
      <c r="P398" s="29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133"/>
      <c r="L399" s="135"/>
      <c r="M399" s="19"/>
      <c r="N399" s="131"/>
      <c r="O399" s="30"/>
      <c r="P399" s="29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133"/>
      <c r="L400" s="135"/>
      <c r="M400" s="19"/>
      <c r="N400" s="131"/>
      <c r="O400" s="30"/>
      <c r="P400" s="29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133"/>
      <c r="L401" s="135"/>
      <c r="M401" s="19"/>
      <c r="N401" s="131"/>
      <c r="O401" s="30"/>
      <c r="P401" s="29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133"/>
      <c r="L402" s="135"/>
      <c r="M402" s="19"/>
      <c r="N402" s="131"/>
      <c r="O402" s="30"/>
      <c r="P402" s="29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133"/>
      <c r="L403" s="135"/>
      <c r="M403" s="19"/>
      <c r="N403" s="131"/>
      <c r="O403" s="30"/>
      <c r="P403" s="29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133"/>
      <c r="L404" s="135"/>
      <c r="M404" s="19"/>
      <c r="N404" s="131"/>
      <c r="O404" s="30"/>
      <c r="P404" s="29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133"/>
      <c r="L405" s="135"/>
      <c r="M405" s="19"/>
      <c r="N405" s="131"/>
      <c r="O405" s="30"/>
      <c r="P405" s="29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133"/>
      <c r="L406" s="135"/>
      <c r="M406" s="19"/>
      <c r="N406" s="131"/>
      <c r="O406" s="30"/>
      <c r="P406" s="29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133"/>
      <c r="L407" s="135"/>
      <c r="M407" s="19"/>
      <c r="N407" s="131"/>
      <c r="O407" s="30"/>
      <c r="P407" s="29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133"/>
      <c r="L408" s="135"/>
      <c r="M408" s="19"/>
      <c r="N408" s="131"/>
      <c r="O408" s="30"/>
      <c r="P408" s="29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133"/>
      <c r="L409" s="135"/>
      <c r="M409" s="19"/>
      <c r="N409" s="131"/>
      <c r="O409" s="30"/>
      <c r="P409" s="29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133"/>
      <c r="L410" s="135"/>
      <c r="M410" s="19"/>
      <c r="N410" s="131"/>
      <c r="O410" s="30"/>
      <c r="P410" s="29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133"/>
      <c r="L411" s="135"/>
      <c r="M411" s="19"/>
      <c r="N411" s="131"/>
      <c r="O411" s="30"/>
      <c r="P411" s="29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133"/>
      <c r="L412" s="135"/>
      <c r="M412" s="19"/>
      <c r="N412" s="131"/>
      <c r="O412" s="30"/>
      <c r="P412" s="29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133"/>
      <c r="L413" s="135"/>
      <c r="M413" s="19"/>
      <c r="N413" s="131"/>
      <c r="O413" s="30"/>
      <c r="P413" s="29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133"/>
      <c r="L414" s="135"/>
      <c r="M414" s="19"/>
      <c r="N414" s="131"/>
      <c r="O414" s="30"/>
      <c r="P414" s="29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133"/>
      <c r="L415" s="135"/>
      <c r="M415" s="19"/>
      <c r="N415" s="131"/>
      <c r="O415" s="30"/>
      <c r="P415" s="29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133"/>
      <c r="L416" s="135"/>
      <c r="M416" s="19"/>
      <c r="N416" s="131"/>
      <c r="O416" s="30"/>
      <c r="P416" s="29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133"/>
      <c r="L417" s="135"/>
      <c r="M417" s="19"/>
      <c r="N417" s="131"/>
      <c r="O417" s="30"/>
      <c r="P417" s="29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5"/>
      <c r="M418" s="19"/>
      <c r="N418" s="131"/>
      <c r="O418" s="30"/>
      <c r="P418" s="29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135"/>
      <c r="M419" s="19"/>
      <c r="N419" s="131"/>
      <c r="O419" s="30"/>
      <c r="P419" s="29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135"/>
      <c r="M420" s="19"/>
      <c r="N420" s="131"/>
      <c r="O420" s="30"/>
      <c r="P420" s="29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135"/>
      <c r="M421" s="19"/>
      <c r="N421" s="131"/>
      <c r="O421" s="30"/>
      <c r="P421" s="29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135"/>
      <c r="M422" s="19"/>
      <c r="N422" s="131"/>
      <c r="O422" s="30"/>
      <c r="P422" s="29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135"/>
      <c r="M423" s="19"/>
      <c r="N423" s="131"/>
      <c r="O423" s="30"/>
      <c r="P423" s="29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135"/>
      <c r="M424" s="19"/>
      <c r="N424" s="131"/>
      <c r="O424" s="30"/>
      <c r="P424" s="29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135"/>
      <c r="M425" s="19"/>
      <c r="N425" s="131"/>
      <c r="O425" s="30"/>
      <c r="P425" s="29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135"/>
      <c r="M426" s="19"/>
      <c r="N426" s="131"/>
      <c r="O426" s="30"/>
      <c r="P426" s="29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135"/>
      <c r="M427" s="19"/>
      <c r="N427" s="131"/>
      <c r="O427" s="30"/>
      <c r="P427" s="29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135"/>
      <c r="M428" s="19"/>
      <c r="N428" s="131"/>
      <c r="O428" s="30"/>
      <c r="P428" s="29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135"/>
      <c r="M429" s="19"/>
      <c r="N429" s="131"/>
      <c r="O429" s="30"/>
      <c r="P429" s="29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135"/>
      <c r="M430" s="19"/>
      <c r="N430" s="131"/>
      <c r="O430" s="30"/>
      <c r="P430" s="29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135"/>
      <c r="M431" s="19"/>
      <c r="N431" s="131"/>
      <c r="O431" s="30"/>
      <c r="P431" s="29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135"/>
      <c r="M432" s="19"/>
      <c r="N432" s="131"/>
      <c r="O432" s="30"/>
      <c r="P432" s="29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135"/>
      <c r="M433" s="19"/>
      <c r="N433" s="131"/>
      <c r="O433" s="30"/>
      <c r="P433" s="29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135"/>
      <c r="M434" s="19"/>
      <c r="N434" s="131"/>
      <c r="O434" s="30"/>
      <c r="P434" s="29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135"/>
      <c r="M435" s="19"/>
      <c r="N435" s="131"/>
      <c r="O435" s="30"/>
      <c r="P435" s="29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135"/>
      <c r="M436" s="19"/>
      <c r="N436" s="131"/>
      <c r="O436" s="30"/>
      <c r="P436" s="29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135"/>
      <c r="M437" s="19"/>
      <c r="N437" s="131"/>
      <c r="O437" s="30"/>
      <c r="P437" s="29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135"/>
      <c r="M438" s="19"/>
      <c r="N438" s="131"/>
      <c r="O438" s="30"/>
      <c r="P438" s="29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135"/>
      <c r="M439" s="19"/>
      <c r="N439" s="131"/>
      <c r="O439" s="30"/>
      <c r="P439" s="29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135"/>
      <c r="M440" s="19"/>
      <c r="N440" s="131"/>
      <c r="O440" s="30"/>
      <c r="P440" s="29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135"/>
      <c r="M441" s="19"/>
      <c r="N441" s="131"/>
      <c r="O441" s="30"/>
      <c r="P441" s="29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135"/>
      <c r="M442" s="19"/>
      <c r="N442" s="131"/>
      <c r="O442" s="30"/>
      <c r="P442" s="29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135"/>
      <c r="M443" s="19"/>
      <c r="N443" s="131"/>
      <c r="O443" s="30"/>
      <c r="P443" s="29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135"/>
      <c r="M444" s="19"/>
      <c r="N444" s="131"/>
      <c r="O444" s="30"/>
      <c r="P444" s="29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135"/>
      <c r="M445" s="19"/>
      <c r="N445" s="131"/>
      <c r="O445" s="30"/>
      <c r="P445" s="29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135"/>
      <c r="M446" s="19"/>
      <c r="N446" s="131"/>
      <c r="O446" s="30"/>
      <c r="P446" s="29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135"/>
      <c r="M447" s="19"/>
      <c r="N447" s="131"/>
      <c r="O447" s="30"/>
      <c r="P447" s="29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135"/>
      <c r="M448" s="19"/>
      <c r="N448" s="131"/>
      <c r="O448" s="30"/>
      <c r="P448" s="29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135"/>
      <c r="M449" s="19"/>
      <c r="N449" s="131"/>
      <c r="O449" s="30"/>
      <c r="P449" s="29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135"/>
      <c r="M450" s="19"/>
      <c r="N450" s="131"/>
      <c r="O450" s="30"/>
      <c r="P450" s="29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135"/>
      <c r="M451" s="19"/>
      <c r="N451" s="131"/>
      <c r="O451" s="30"/>
      <c r="P451" s="29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135"/>
      <c r="M452" s="19"/>
      <c r="N452" s="131"/>
      <c r="O452" s="30"/>
      <c r="P452" s="29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135"/>
      <c r="M453" s="19"/>
      <c r="N453" s="131"/>
      <c r="O453" s="30"/>
      <c r="P453" s="29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135"/>
      <c r="M454" s="19"/>
      <c r="N454" s="131"/>
      <c r="O454" s="30"/>
      <c r="P454" s="29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135"/>
      <c r="M455" s="19"/>
      <c r="N455" s="131"/>
      <c r="O455" s="30"/>
      <c r="P455" s="29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135"/>
      <c r="M456" s="19"/>
      <c r="N456" s="131"/>
      <c r="O456" s="30"/>
      <c r="P456" s="29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135"/>
      <c r="M457" s="19"/>
      <c r="N457" s="131"/>
      <c r="O457" s="30"/>
      <c r="P457" s="29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135"/>
      <c r="M458" s="19"/>
      <c r="N458" s="131"/>
      <c r="O458" s="30"/>
      <c r="P458" s="29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135"/>
      <c r="M459" s="19"/>
      <c r="N459" s="131"/>
      <c r="O459" s="30"/>
      <c r="P459" s="29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135"/>
      <c r="M460" s="19"/>
      <c r="N460" s="131"/>
      <c r="O460" s="30"/>
      <c r="P460" s="29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135"/>
      <c r="M461" s="19"/>
      <c r="N461" s="131"/>
      <c r="O461" s="30"/>
      <c r="P461" s="29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135"/>
      <c r="M462" s="19"/>
      <c r="N462" s="131"/>
      <c r="O462" s="30"/>
      <c r="P462" s="29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135"/>
      <c r="M463" s="19"/>
      <c r="N463" s="131"/>
      <c r="O463" s="30"/>
      <c r="P463" s="29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135"/>
      <c r="M464" s="19"/>
      <c r="N464" s="131"/>
      <c r="O464" s="30"/>
      <c r="P464" s="29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135"/>
      <c r="M465" s="19"/>
      <c r="N465" s="131"/>
      <c r="O465" s="30"/>
      <c r="P465" s="29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135"/>
      <c r="M466" s="19"/>
      <c r="N466" s="131"/>
      <c r="O466" s="30"/>
      <c r="P466" s="29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135"/>
      <c r="M467" s="19"/>
      <c r="N467" s="131"/>
      <c r="O467" s="30"/>
      <c r="P467" s="29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135"/>
      <c r="M468" s="19"/>
      <c r="N468" s="131"/>
      <c r="O468" s="30"/>
      <c r="P468" s="29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135"/>
      <c r="M469" s="19"/>
      <c r="N469" s="131"/>
      <c r="O469" s="30"/>
      <c r="P469" s="29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135"/>
      <c r="M470" s="19"/>
      <c r="N470" s="131"/>
      <c r="O470" s="30"/>
      <c r="P470" s="29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135"/>
      <c r="M471" s="19"/>
      <c r="N471" s="131"/>
      <c r="O471" s="30"/>
      <c r="P471" s="29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135"/>
      <c r="M472" s="19"/>
      <c r="N472" s="131"/>
      <c r="O472" s="30"/>
      <c r="P472" s="29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135"/>
      <c r="M473" s="19"/>
      <c r="N473" s="131"/>
      <c r="O473" s="30"/>
      <c r="P473" s="29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135"/>
      <c r="M474" s="19"/>
      <c r="N474" s="131"/>
      <c r="O474" s="30"/>
      <c r="P474" s="29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135"/>
      <c r="M475" s="19"/>
      <c r="N475" s="131"/>
      <c r="O475" s="30"/>
      <c r="P475" s="29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135"/>
      <c r="M476" s="19"/>
      <c r="N476" s="131"/>
      <c r="O476" s="30"/>
      <c r="P476" s="29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135"/>
      <c r="M477" s="19"/>
      <c r="N477" s="131"/>
      <c r="O477" s="30"/>
      <c r="P477" s="29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135"/>
      <c r="M478" s="19"/>
      <c r="N478" s="131"/>
      <c r="O478" s="30"/>
      <c r="P478" s="29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135"/>
      <c r="M479" s="19"/>
      <c r="N479" s="131"/>
      <c r="O479" s="30"/>
      <c r="P479" s="29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135"/>
      <c r="M480" s="19"/>
      <c r="N480" s="131"/>
      <c r="O480" s="30"/>
      <c r="P480" s="29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135"/>
      <c r="M481" s="19"/>
      <c r="N481" s="131"/>
      <c r="O481" s="30"/>
      <c r="P481" s="29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135"/>
      <c r="M482" s="19"/>
      <c r="N482" s="131"/>
      <c r="O482" s="30"/>
      <c r="P482" s="29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135"/>
      <c r="M483" s="19"/>
      <c r="N483" s="131"/>
      <c r="O483" s="30"/>
      <c r="P483" s="29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135"/>
      <c r="M484" s="19"/>
      <c r="N484" s="131"/>
      <c r="O484" s="30"/>
      <c r="P484" s="29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135"/>
      <c r="M485" s="19"/>
      <c r="N485" s="131"/>
      <c r="O485" s="30"/>
      <c r="P485" s="29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135"/>
      <c r="M486" s="19"/>
      <c r="N486" s="131"/>
      <c r="O486" s="30"/>
      <c r="P486" s="29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135"/>
      <c r="M487" s="19"/>
      <c r="N487" s="131"/>
      <c r="O487" s="30"/>
      <c r="P487" s="29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135"/>
      <c r="M488" s="19"/>
      <c r="N488" s="131"/>
      <c r="O488" s="30"/>
      <c r="P488" s="29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135"/>
      <c r="M489" s="19"/>
      <c r="N489" s="131"/>
      <c r="O489" s="30"/>
      <c r="P489" s="29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135"/>
      <c r="M490" s="19"/>
      <c r="N490" s="131"/>
      <c r="O490" s="30"/>
      <c r="P490" s="29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135"/>
      <c r="M491" s="19"/>
      <c r="N491" s="131"/>
      <c r="O491" s="30"/>
      <c r="P491" s="29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135"/>
      <c r="M492" s="19"/>
      <c r="N492" s="131"/>
      <c r="O492" s="30"/>
      <c r="P492" s="29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135"/>
      <c r="M493" s="19"/>
      <c r="N493" s="131"/>
      <c r="O493" s="30"/>
      <c r="P493" s="29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135"/>
      <c r="M494" s="19"/>
      <c r="N494" s="131"/>
      <c r="O494" s="30"/>
      <c r="P494" s="29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135"/>
      <c r="M495" s="19"/>
      <c r="N495" s="131"/>
      <c r="O495" s="30"/>
      <c r="P495" s="29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135"/>
      <c r="M496" s="19"/>
      <c r="N496" s="131"/>
      <c r="O496" s="30"/>
      <c r="P496" s="29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135"/>
      <c r="M497" s="19"/>
      <c r="N497" s="131"/>
      <c r="O497" s="30"/>
      <c r="P497" s="29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135"/>
      <c r="M498" s="19"/>
      <c r="N498" s="131"/>
      <c r="O498" s="30"/>
      <c r="P498" s="29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135"/>
      <c r="M499" s="19"/>
      <c r="N499" s="131"/>
      <c r="O499" s="30"/>
      <c r="P499" s="29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135"/>
      <c r="M500" s="19"/>
      <c r="N500" s="131"/>
      <c r="O500" s="30"/>
      <c r="P500" s="29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135"/>
      <c r="M501" s="19"/>
      <c r="N501" s="131"/>
      <c r="O501" s="30"/>
      <c r="P501" s="29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135"/>
      <c r="M502" s="19"/>
      <c r="N502" s="131"/>
      <c r="O502" s="30"/>
      <c r="P502" s="29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135"/>
      <c r="M503" s="19"/>
      <c r="N503" s="131"/>
      <c r="O503" s="30"/>
      <c r="P503" s="29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135"/>
      <c r="M504" s="19"/>
      <c r="N504" s="131"/>
      <c r="O504" s="30"/>
      <c r="P504" s="29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135"/>
      <c r="M505" s="19"/>
      <c r="N505" s="131"/>
      <c r="O505" s="30"/>
      <c r="P505" s="29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135"/>
      <c r="M506" s="19"/>
      <c r="N506" s="131"/>
      <c r="O506" s="30"/>
      <c r="P506" s="29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135"/>
      <c r="M507" s="19"/>
      <c r="N507" s="131"/>
      <c r="O507" s="30"/>
      <c r="P507" s="29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135"/>
      <c r="M508" s="19"/>
      <c r="N508" s="131"/>
      <c r="O508" s="30"/>
      <c r="P508" s="29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135"/>
      <c r="M509" s="19"/>
      <c r="N509" s="131"/>
      <c r="O509" s="30"/>
      <c r="P509" s="29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135"/>
      <c r="M510" s="19"/>
      <c r="N510" s="131"/>
      <c r="O510" s="30"/>
      <c r="P510" s="29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135"/>
      <c r="M511" s="19"/>
      <c r="N511" s="131"/>
      <c r="O511" s="30"/>
      <c r="P511" s="29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135"/>
      <c r="M512" s="19"/>
      <c r="N512" s="131"/>
      <c r="O512" s="30"/>
      <c r="P512" s="29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135"/>
      <c r="M513" s="19"/>
      <c r="N513" s="131"/>
      <c r="O513" s="30"/>
      <c r="P513" s="29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135"/>
      <c r="M514" s="19"/>
      <c r="N514" s="131"/>
      <c r="O514" s="30"/>
      <c r="P514" s="29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135"/>
      <c r="M515" s="19"/>
      <c r="N515" s="131"/>
      <c r="O515" s="30"/>
      <c r="P515" s="29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135"/>
      <c r="M516" s="19"/>
      <c r="N516" s="131"/>
      <c r="O516" s="30"/>
      <c r="P516" s="29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135"/>
      <c r="M517" s="19"/>
      <c r="N517" s="131"/>
      <c r="O517" s="30"/>
      <c r="P517" s="29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135"/>
      <c r="M518" s="19"/>
      <c r="N518" s="131"/>
      <c r="O518" s="30"/>
      <c r="P518" s="29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135"/>
      <c r="M519" s="19"/>
      <c r="N519" s="131"/>
      <c r="O519" s="30"/>
      <c r="P519" s="29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135"/>
      <c r="M520" s="19"/>
      <c r="N520" s="131"/>
      <c r="O520" s="30"/>
      <c r="P520" s="29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135"/>
      <c r="M521" s="19"/>
      <c r="N521" s="131"/>
      <c r="O521" s="30"/>
      <c r="P521" s="29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135"/>
      <c r="M522" s="19"/>
      <c r="N522" s="131"/>
      <c r="O522" s="30"/>
      <c r="P522" s="29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135"/>
      <c r="M523" s="19"/>
      <c r="N523" s="131"/>
      <c r="O523" s="30"/>
      <c r="P523" s="29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135"/>
      <c r="M524" s="19"/>
      <c r="N524" s="131"/>
      <c r="O524" s="30"/>
      <c r="P524" s="29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135"/>
      <c r="M525" s="19"/>
      <c r="N525" s="131"/>
      <c r="O525" s="30"/>
      <c r="P525" s="29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135"/>
      <c r="M526" s="19"/>
      <c r="N526" s="131"/>
      <c r="O526" s="30"/>
      <c r="P526" s="29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135"/>
      <c r="M527" s="19"/>
      <c r="N527" s="131"/>
      <c r="O527" s="30"/>
      <c r="P527" s="29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135"/>
      <c r="M528" s="19"/>
      <c r="N528" s="131"/>
      <c r="O528" s="30"/>
      <c r="P528" s="29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135"/>
      <c r="M529" s="19"/>
      <c r="N529" s="131"/>
      <c r="O529" s="30"/>
      <c r="P529" s="29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135"/>
      <c r="M530" s="19"/>
      <c r="N530" s="131"/>
      <c r="O530" s="30"/>
      <c r="P530" s="29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135"/>
      <c r="M531" s="19"/>
      <c r="N531" s="131"/>
      <c r="O531" s="30"/>
      <c r="P531" s="29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135"/>
      <c r="M532" s="19"/>
      <c r="N532" s="131"/>
      <c r="O532" s="30"/>
      <c r="P532" s="29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135"/>
      <c r="M533" s="19"/>
      <c r="N533" s="131"/>
      <c r="O533" s="30"/>
      <c r="P533" s="29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135"/>
      <c r="M534" s="19"/>
      <c r="N534" s="131"/>
      <c r="O534" s="30"/>
      <c r="P534" s="29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135"/>
      <c r="M535" s="19"/>
      <c r="N535" s="131"/>
      <c r="O535" s="30"/>
      <c r="P535" s="29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135"/>
      <c r="M536" s="19"/>
      <c r="N536" s="131"/>
      <c r="O536" s="30"/>
      <c r="P536" s="29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135"/>
      <c r="M537" s="19"/>
      <c r="N537" s="131"/>
      <c r="O537" s="30"/>
      <c r="P537" s="29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135"/>
      <c r="M538" s="19"/>
      <c r="N538" s="131"/>
      <c r="O538" s="30"/>
      <c r="P538" s="29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135"/>
      <c r="M539" s="19"/>
      <c r="N539" s="131"/>
      <c r="O539" s="30"/>
      <c r="P539" s="29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135"/>
      <c r="M540" s="19"/>
      <c r="N540" s="131"/>
      <c r="O540" s="30"/>
      <c r="P540" s="29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135"/>
      <c r="M541" s="19"/>
      <c r="N541" s="131"/>
      <c r="O541" s="30"/>
      <c r="P541" s="29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135"/>
      <c r="M542" s="19"/>
      <c r="N542" s="131"/>
      <c r="O542" s="30"/>
      <c r="P542" s="29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135"/>
      <c r="M543" s="19"/>
      <c r="N543" s="131"/>
      <c r="O543" s="30"/>
      <c r="P543" s="29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135"/>
      <c r="M544" s="19"/>
      <c r="N544" s="131"/>
      <c r="O544" s="30"/>
      <c r="P544" s="29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135"/>
      <c r="M545" s="19"/>
      <c r="N545" s="131"/>
      <c r="O545" s="30"/>
      <c r="P545" s="29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135"/>
      <c r="M546" s="19"/>
      <c r="N546" s="131"/>
      <c r="O546" s="30"/>
      <c r="P546" s="29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135"/>
      <c r="M547" s="19"/>
      <c r="N547" s="131"/>
      <c r="O547" s="30"/>
      <c r="P547" s="29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135"/>
      <c r="M548" s="19"/>
      <c r="N548" s="131"/>
      <c r="O548" s="30"/>
      <c r="P548" s="29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135"/>
      <c r="M549" s="19"/>
      <c r="N549" s="131"/>
      <c r="O549" s="30"/>
      <c r="P549" s="29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135"/>
      <c r="M550" s="19"/>
      <c r="N550" s="131"/>
      <c r="O550" s="30"/>
      <c r="P550" s="29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135"/>
      <c r="M551" s="19"/>
      <c r="N551" s="131"/>
      <c r="O551" s="30"/>
      <c r="P551" s="29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135"/>
      <c r="M552" s="19"/>
      <c r="N552" s="131"/>
      <c r="O552" s="30"/>
      <c r="P552" s="29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135"/>
      <c r="M553" s="19"/>
      <c r="N553" s="131"/>
      <c r="O553" s="30"/>
      <c r="P553" s="29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135"/>
      <c r="M554" s="19"/>
      <c r="N554" s="131"/>
      <c r="O554" s="30"/>
      <c r="P554" s="29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135"/>
      <c r="M555" s="19"/>
      <c r="N555" s="131"/>
      <c r="O555" s="30"/>
      <c r="P555" s="29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135"/>
      <c r="M556" s="19"/>
      <c r="N556" s="131"/>
      <c r="O556" s="30"/>
      <c r="P556" s="29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135"/>
      <c r="M557" s="19"/>
      <c r="N557" s="131"/>
      <c r="O557" s="30"/>
      <c r="P557" s="29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135"/>
      <c r="M558" s="19"/>
      <c r="N558" s="131"/>
      <c r="O558" s="30"/>
      <c r="P558" s="29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135"/>
      <c r="M559" s="19"/>
      <c r="N559" s="131"/>
      <c r="O559" s="30"/>
      <c r="P559" s="29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135"/>
      <c r="M560" s="19"/>
      <c r="N560" s="131"/>
      <c r="O560" s="30"/>
      <c r="P560" s="29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135"/>
      <c r="M561" s="19"/>
      <c r="N561" s="131"/>
      <c r="O561" s="30"/>
      <c r="P561" s="29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135"/>
      <c r="M562" s="19"/>
      <c r="N562" s="131"/>
      <c r="O562" s="30"/>
      <c r="P562" s="29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135"/>
      <c r="M563" s="19"/>
      <c r="N563" s="131"/>
      <c r="O563" s="30"/>
      <c r="P563" s="29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135"/>
      <c r="M564" s="19"/>
      <c r="N564" s="131"/>
      <c r="O564" s="30"/>
      <c r="P564" s="29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135"/>
      <c r="M565" s="19"/>
      <c r="N565" s="131"/>
      <c r="O565" s="30"/>
      <c r="P565" s="29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135"/>
      <c r="M566" s="19"/>
      <c r="N566" s="131"/>
      <c r="O566" s="30"/>
      <c r="P566" s="29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135"/>
      <c r="M567" s="19"/>
      <c r="N567" s="131"/>
      <c r="O567" s="30"/>
      <c r="P567" s="29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135"/>
      <c r="M568" s="19"/>
      <c r="N568" s="131"/>
      <c r="O568" s="30"/>
      <c r="P568" s="29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135"/>
      <c r="M569" s="19"/>
      <c r="N569" s="131"/>
      <c r="O569" s="30"/>
      <c r="P569" s="29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135"/>
      <c r="M570" s="19"/>
      <c r="N570" s="131"/>
      <c r="O570" s="30"/>
      <c r="P570" s="29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135"/>
      <c r="M571" s="19"/>
      <c r="N571" s="131"/>
      <c r="O571" s="30"/>
      <c r="P571" s="29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135"/>
      <c r="M572" s="19"/>
      <c r="N572" s="131"/>
      <c r="O572" s="30"/>
      <c r="P572" s="29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135"/>
      <c r="M573" s="19"/>
      <c r="N573" s="131"/>
      <c r="O573" s="30"/>
      <c r="P573" s="29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135"/>
      <c r="M574" s="19"/>
      <c r="N574" s="131"/>
      <c r="O574" s="30"/>
      <c r="P574" s="29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135"/>
      <c r="M575" s="19"/>
      <c r="N575" s="131"/>
      <c r="O575" s="30"/>
      <c r="P575" s="29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135"/>
      <c r="M576" s="19"/>
      <c r="N576" s="131"/>
      <c r="O576" s="30"/>
      <c r="P576" s="29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135"/>
      <c r="M577" s="19"/>
      <c r="N577" s="131"/>
      <c r="O577" s="30"/>
      <c r="P577" s="29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135"/>
      <c r="M578" s="19"/>
      <c r="N578" s="131"/>
      <c r="O578" s="30"/>
      <c r="P578" s="29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135"/>
      <c r="M579" s="19"/>
      <c r="N579" s="131"/>
      <c r="O579" s="30"/>
      <c r="P579" s="29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135"/>
      <c r="M580" s="19"/>
      <c r="N580" s="131"/>
      <c r="O580" s="30"/>
      <c r="P580" s="29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135"/>
      <c r="M581" s="19"/>
      <c r="N581" s="131"/>
      <c r="O581" s="30"/>
      <c r="P581" s="29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135"/>
      <c r="M582" s="19"/>
      <c r="N582" s="131"/>
      <c r="O582" s="30"/>
      <c r="P582" s="29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135"/>
      <c r="M583" s="19"/>
      <c r="N583" s="131"/>
      <c r="O583" s="30"/>
      <c r="P583" s="29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135"/>
      <c r="M584" s="19"/>
      <c r="N584" s="131"/>
      <c r="O584" s="30"/>
      <c r="P584" s="29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135"/>
      <c r="M585" s="19"/>
      <c r="N585" s="131"/>
      <c r="O585" s="30"/>
      <c r="P585" s="29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135"/>
      <c r="M586" s="19"/>
      <c r="N586" s="131"/>
      <c r="O586" s="30"/>
      <c r="P586" s="29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135"/>
      <c r="M587" s="19"/>
      <c r="N587" s="131"/>
      <c r="O587" s="30"/>
      <c r="P587" s="29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135"/>
      <c r="M588" s="19"/>
      <c r="N588" s="131"/>
      <c r="O588" s="30"/>
      <c r="P588" s="29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135"/>
      <c r="M589" s="19"/>
      <c r="N589" s="131"/>
      <c r="O589" s="30"/>
      <c r="P589" s="29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135"/>
      <c r="M590" s="19"/>
      <c r="N590" s="131"/>
      <c r="O590" s="30"/>
      <c r="P590" s="29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135"/>
      <c r="M591" s="19"/>
      <c r="N591" s="131"/>
      <c r="O591" s="30"/>
      <c r="P591" s="29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135"/>
      <c r="M592" s="19"/>
      <c r="N592" s="131"/>
      <c r="O592" s="30"/>
      <c r="P592" s="29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135"/>
      <c r="M593" s="19"/>
      <c r="N593" s="131"/>
      <c r="O593" s="30"/>
      <c r="P593" s="29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135"/>
      <c r="M594" s="19"/>
      <c r="N594" s="131"/>
      <c r="O594" s="30"/>
      <c r="P594" s="29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135"/>
      <c r="M595" s="19"/>
      <c r="N595" s="131"/>
      <c r="O595" s="30"/>
      <c r="P595" s="29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135"/>
      <c r="M596" s="19"/>
      <c r="N596" s="131"/>
      <c r="O596" s="30"/>
      <c r="P596" s="29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135"/>
      <c r="M597" s="19"/>
      <c r="N597" s="131"/>
      <c r="O597" s="30"/>
      <c r="P597" s="29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135"/>
      <c r="M598" s="19"/>
      <c r="N598" s="131"/>
      <c r="O598" s="30"/>
      <c r="P598" s="29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135"/>
      <c r="M599" s="19"/>
      <c r="N599" s="131"/>
      <c r="O599" s="30"/>
      <c r="P599" s="29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135"/>
      <c r="M600" s="19"/>
      <c r="N600" s="131"/>
      <c r="O600" s="30"/>
      <c r="P600" s="29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135"/>
      <c r="M601" s="19"/>
      <c r="N601" s="131"/>
      <c r="O601" s="30"/>
      <c r="P601" s="29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135"/>
      <c r="M602" s="19"/>
      <c r="N602" s="131"/>
      <c r="O602" s="30"/>
      <c r="P602" s="29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135"/>
      <c r="M603" s="19"/>
      <c r="N603" s="131"/>
      <c r="O603" s="30"/>
      <c r="P603" s="29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135"/>
      <c r="M604" s="19"/>
      <c r="N604" s="131"/>
      <c r="O604" s="30"/>
      <c r="P604" s="29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135"/>
      <c r="M605" s="19"/>
      <c r="N605" s="131"/>
      <c r="O605" s="30"/>
      <c r="P605" s="29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135"/>
      <c r="M606" s="19"/>
      <c r="N606" s="131"/>
      <c r="O606" s="30"/>
      <c r="P606" s="29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135"/>
      <c r="M607" s="19"/>
      <c r="N607" s="131"/>
      <c r="O607" s="30"/>
      <c r="P607" s="29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135"/>
      <c r="M608" s="19"/>
      <c r="N608" s="131"/>
      <c r="O608" s="30"/>
      <c r="P608" s="29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135"/>
      <c r="M609" s="19"/>
      <c r="N609" s="131"/>
      <c r="O609" s="30"/>
      <c r="P609" s="29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135"/>
      <c r="M610" s="19"/>
      <c r="N610" s="131"/>
      <c r="O610" s="30"/>
      <c r="P610" s="29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135"/>
      <c r="M611" s="19"/>
      <c r="N611" s="131"/>
      <c r="O611" s="30"/>
      <c r="P611" s="29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135"/>
      <c r="M612" s="19"/>
      <c r="N612" s="131"/>
      <c r="O612" s="30"/>
      <c r="P612" s="29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135"/>
      <c r="M613" s="19"/>
      <c r="N613" s="131"/>
      <c r="O613" s="30"/>
      <c r="P613" s="29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135"/>
      <c r="M614" s="19"/>
      <c r="N614" s="131"/>
      <c r="O614" s="30"/>
      <c r="P614" s="29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135"/>
      <c r="M615" s="19"/>
      <c r="N615" s="131"/>
      <c r="O615" s="30"/>
      <c r="P615" s="29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135"/>
      <c r="M616" s="19"/>
      <c r="N616" s="131"/>
      <c r="O616" s="30"/>
      <c r="P616" s="29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135"/>
      <c r="M617" s="19"/>
      <c r="N617" s="131"/>
      <c r="O617" s="30"/>
      <c r="P617" s="29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135"/>
      <c r="M618" s="19"/>
      <c r="N618" s="131"/>
      <c r="O618" s="30"/>
      <c r="P618" s="29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135"/>
      <c r="M619" s="19"/>
      <c r="N619" s="131"/>
      <c r="O619" s="30"/>
      <c r="P619" s="29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135"/>
      <c r="M620" s="19"/>
      <c r="N620" s="131"/>
      <c r="O620" s="30"/>
      <c r="P620" s="29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135"/>
      <c r="M621" s="19"/>
      <c r="N621" s="131"/>
      <c r="O621" s="30"/>
      <c r="P621" s="29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135"/>
      <c r="M622" s="19"/>
      <c r="N622" s="131"/>
      <c r="O622" s="30"/>
      <c r="P622" s="29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135"/>
      <c r="M623" s="19"/>
      <c r="N623" s="131"/>
      <c r="O623" s="30"/>
      <c r="P623" s="29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135"/>
      <c r="M624" s="19"/>
      <c r="N624" s="131"/>
      <c r="O624" s="30"/>
      <c r="P624" s="29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135"/>
      <c r="M625" s="19"/>
      <c r="N625" s="131"/>
      <c r="O625" s="30"/>
      <c r="P625" s="29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135"/>
      <c r="M626" s="19"/>
      <c r="N626" s="131"/>
      <c r="O626" s="30"/>
      <c r="P626" s="29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135"/>
      <c r="M627" s="19"/>
      <c r="N627" s="131"/>
      <c r="O627" s="30"/>
      <c r="P627" s="29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135"/>
      <c r="M628" s="19"/>
      <c r="N628" s="131"/>
      <c r="O628" s="30"/>
      <c r="P628" s="29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135"/>
      <c r="M629" s="19"/>
      <c r="N629" s="131"/>
      <c r="O629" s="30"/>
      <c r="P629" s="29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135"/>
      <c r="M630" s="19"/>
      <c r="N630" s="131"/>
      <c r="O630" s="30"/>
      <c r="P630" s="29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135"/>
      <c r="M631" s="19"/>
      <c r="N631" s="131"/>
      <c r="O631" s="30"/>
      <c r="P631" s="29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135"/>
      <c r="M632" s="19"/>
      <c r="N632" s="131"/>
      <c r="O632" s="30"/>
      <c r="P632" s="29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135"/>
      <c r="M633" s="19"/>
      <c r="N633" s="131"/>
      <c r="O633" s="30"/>
      <c r="P633" s="29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135"/>
      <c r="M634" s="19"/>
      <c r="N634" s="131"/>
      <c r="O634" s="30"/>
      <c r="P634" s="29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135"/>
      <c r="M635" s="19"/>
      <c r="N635" s="131"/>
      <c r="O635" s="30"/>
      <c r="P635" s="29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135"/>
      <c r="M636" s="19"/>
      <c r="N636" s="131"/>
      <c r="O636" s="30"/>
      <c r="P636" s="29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135"/>
      <c r="M637" s="19"/>
      <c r="N637" s="131"/>
      <c r="O637" s="30"/>
      <c r="P637" s="29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135"/>
      <c r="M638" s="19"/>
      <c r="N638" s="131"/>
      <c r="O638" s="30"/>
      <c r="P638" s="29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135"/>
      <c r="M639" s="19"/>
      <c r="N639" s="131"/>
      <c r="O639" s="30"/>
      <c r="P639" s="29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135"/>
      <c r="M640" s="19"/>
      <c r="N640" s="131"/>
      <c r="O640" s="30"/>
      <c r="P640" s="29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135"/>
      <c r="M641" s="19"/>
      <c r="N641" s="131"/>
      <c r="O641" s="30"/>
      <c r="P641" s="29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135"/>
      <c r="M642" s="19"/>
      <c r="N642" s="131"/>
      <c r="O642" s="30"/>
      <c r="P642" s="29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135"/>
      <c r="M643" s="19"/>
      <c r="N643" s="131"/>
      <c r="O643" s="30"/>
      <c r="P643" s="29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135"/>
      <c r="M644" s="19"/>
      <c r="N644" s="131"/>
      <c r="O644" s="30"/>
      <c r="P644" s="29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135"/>
      <c r="M645" s="19"/>
      <c r="N645" s="131"/>
      <c r="O645" s="30"/>
      <c r="P645" s="29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135"/>
      <c r="M646" s="19"/>
      <c r="N646" s="131"/>
      <c r="O646" s="30"/>
      <c r="P646" s="29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135"/>
      <c r="M647" s="19"/>
      <c r="N647" s="131"/>
      <c r="O647" s="30"/>
      <c r="P647" s="29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135"/>
      <c r="M648" s="19"/>
      <c r="N648" s="131"/>
      <c r="O648" s="30"/>
      <c r="P648" s="29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135"/>
      <c r="M649" s="19"/>
      <c r="N649" s="131"/>
      <c r="O649" s="30"/>
      <c r="P649" s="29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135"/>
      <c r="M650" s="19"/>
      <c r="N650" s="131"/>
      <c r="O650" s="30"/>
      <c r="P650" s="29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135"/>
      <c r="M651" s="19"/>
      <c r="N651" s="131"/>
      <c r="O651" s="30"/>
      <c r="P651" s="29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135"/>
      <c r="M652" s="19"/>
      <c r="N652" s="131"/>
      <c r="O652" s="30"/>
      <c r="P652" s="29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135"/>
      <c r="M653" s="19"/>
      <c r="N653" s="131"/>
      <c r="O653" s="30"/>
      <c r="P653" s="29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135"/>
      <c r="M654" s="19"/>
      <c r="N654" s="131"/>
      <c r="O654" s="30"/>
      <c r="P654" s="29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135"/>
      <c r="M655" s="19"/>
      <c r="N655" s="131"/>
      <c r="O655" s="30"/>
      <c r="P655" s="29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135"/>
      <c r="M656" s="19"/>
      <c r="N656" s="131"/>
      <c r="O656" s="30"/>
      <c r="P656" s="29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135"/>
      <c r="M657" s="19"/>
      <c r="N657" s="131"/>
      <c r="O657" s="30"/>
      <c r="P657" s="29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135"/>
      <c r="M658" s="19"/>
      <c r="N658" s="131"/>
      <c r="O658" s="30"/>
      <c r="P658" s="29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135"/>
      <c r="M659" s="19"/>
      <c r="N659" s="131"/>
      <c r="O659" s="30"/>
      <c r="P659" s="29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135"/>
      <c r="M660" s="19"/>
      <c r="N660" s="131"/>
      <c r="O660" s="30"/>
      <c r="P660" s="29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135"/>
      <c r="M661" s="19"/>
      <c r="N661" s="131"/>
      <c r="O661" s="30"/>
      <c r="P661" s="29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135"/>
      <c r="M662" s="19"/>
      <c r="N662" s="131"/>
      <c r="O662" s="30"/>
      <c r="P662" s="29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135"/>
      <c r="M663" s="19"/>
      <c r="N663" s="131"/>
      <c r="O663" s="30"/>
      <c r="P663" s="29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135"/>
      <c r="M664" s="19"/>
      <c r="N664" s="131"/>
      <c r="O664" s="30"/>
      <c r="P664" s="29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135"/>
      <c r="M665" s="19"/>
      <c r="N665" s="131"/>
      <c r="O665" s="30"/>
      <c r="P665" s="29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135"/>
      <c r="M666" s="19"/>
      <c r="N666" s="131"/>
      <c r="O666" s="30"/>
      <c r="P666" s="29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135"/>
      <c r="M667" s="19"/>
      <c r="N667" s="131"/>
      <c r="O667" s="30"/>
      <c r="P667" s="29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135"/>
      <c r="M668" s="19"/>
      <c r="N668" s="131"/>
      <c r="O668" s="30"/>
      <c r="P668" s="29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135"/>
      <c r="M669" s="19"/>
      <c r="N669" s="131"/>
      <c r="O669" s="30"/>
      <c r="P669" s="29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135"/>
      <c r="M670" s="19"/>
      <c r="N670" s="131"/>
      <c r="O670" s="30"/>
      <c r="P670" s="29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135"/>
      <c r="M671" s="19"/>
      <c r="N671" s="131"/>
      <c r="O671" s="30"/>
      <c r="P671" s="29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135"/>
      <c r="M672" s="19"/>
      <c r="N672" s="131"/>
      <c r="O672" s="30"/>
      <c r="P672" s="29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135"/>
      <c r="M673" s="19"/>
      <c r="N673" s="131"/>
      <c r="O673" s="30"/>
      <c r="P673" s="29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135"/>
      <c r="M674" s="19"/>
      <c r="N674" s="131"/>
      <c r="O674" s="30"/>
      <c r="P674" s="29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135"/>
      <c r="M675" s="19"/>
      <c r="N675" s="131"/>
      <c r="O675" s="30"/>
      <c r="P675" s="29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135"/>
      <c r="M676" s="19"/>
      <c r="N676" s="131"/>
      <c r="O676" s="30"/>
      <c r="P676" s="29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135"/>
      <c r="M677" s="19"/>
      <c r="N677" s="131"/>
      <c r="O677" s="30"/>
      <c r="P677" s="29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135"/>
      <c r="M678" s="19"/>
      <c r="N678" s="131"/>
      <c r="O678" s="30"/>
      <c r="P678" s="29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135"/>
      <c r="M679" s="19"/>
      <c r="N679" s="131"/>
      <c r="O679" s="30"/>
      <c r="P679" s="29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135"/>
      <c r="M680" s="19"/>
      <c r="N680" s="131"/>
      <c r="O680" s="30"/>
      <c r="P680" s="29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135"/>
      <c r="M681" s="19"/>
      <c r="N681" s="131"/>
      <c r="O681" s="30"/>
      <c r="P681" s="29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135"/>
      <c r="M682" s="19"/>
      <c r="N682" s="131"/>
      <c r="O682" s="30"/>
      <c r="P682" s="29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135"/>
      <c r="M683" s="19"/>
      <c r="N683" s="131"/>
      <c r="O683" s="30"/>
      <c r="P683" s="29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135"/>
      <c r="M684" s="19"/>
      <c r="N684" s="131"/>
      <c r="O684" s="30"/>
      <c r="P684" s="29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135"/>
      <c r="M685" s="19"/>
      <c r="N685" s="131"/>
      <c r="O685" s="30"/>
      <c r="P685" s="29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135"/>
      <c r="M686" s="19"/>
      <c r="N686" s="131"/>
      <c r="O686" s="30"/>
      <c r="P686" s="29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135"/>
      <c r="M687" s="19"/>
      <c r="N687" s="131"/>
      <c r="O687" s="30"/>
      <c r="P687" s="29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135"/>
      <c r="M688" s="19"/>
      <c r="N688" s="131"/>
      <c r="O688" s="30"/>
      <c r="P688" s="29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135"/>
      <c r="M689" s="19"/>
      <c r="N689" s="131"/>
      <c r="O689" s="30"/>
      <c r="P689" s="29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135"/>
      <c r="M690" s="19"/>
      <c r="N690" s="131"/>
      <c r="O690" s="30"/>
      <c r="P690" s="29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135"/>
      <c r="M691" s="19"/>
      <c r="N691" s="131"/>
      <c r="O691" s="30"/>
      <c r="P691" s="29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135"/>
      <c r="M692" s="19"/>
      <c r="N692" s="131"/>
      <c r="O692" s="30"/>
      <c r="P692" s="29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135"/>
      <c r="M693" s="19"/>
      <c r="N693" s="131"/>
      <c r="O693" s="30"/>
      <c r="P693" s="29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135"/>
      <c r="M694" s="19"/>
      <c r="N694" s="131"/>
      <c r="O694" s="30"/>
      <c r="P694" s="29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135"/>
      <c r="M695" s="19"/>
      <c r="N695" s="131"/>
      <c r="O695" s="30"/>
      <c r="P695" s="29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135"/>
      <c r="M696" s="19"/>
      <c r="N696" s="131"/>
      <c r="O696" s="30"/>
      <c r="P696" s="29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135"/>
      <c r="M697" s="19"/>
      <c r="N697" s="131"/>
      <c r="O697" s="30"/>
      <c r="P697" s="29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135"/>
      <c r="M698" s="19"/>
      <c r="N698" s="131"/>
      <c r="O698" s="30"/>
      <c r="P698" s="29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135"/>
      <c r="M699" s="19"/>
      <c r="N699" s="131"/>
      <c r="O699" s="30"/>
      <c r="P699" s="29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135"/>
      <c r="M700" s="19"/>
      <c r="N700" s="131"/>
      <c r="O700" s="30"/>
      <c r="P700" s="29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135"/>
      <c r="M701" s="19"/>
      <c r="N701" s="131"/>
      <c r="O701" s="30"/>
      <c r="P701" s="29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135"/>
      <c r="M702" s="19"/>
      <c r="N702" s="131"/>
      <c r="O702" s="30"/>
      <c r="P702" s="29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135"/>
      <c r="M703" s="19"/>
      <c r="N703" s="131"/>
      <c r="O703" s="30"/>
      <c r="P703" s="29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135"/>
      <c r="M704" s="19"/>
      <c r="N704" s="131"/>
      <c r="O704" s="30"/>
      <c r="P704" s="29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135"/>
      <c r="M705" s="19"/>
      <c r="N705" s="131"/>
      <c r="O705" s="30"/>
      <c r="P705" s="29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135"/>
      <c r="M706" s="19"/>
      <c r="N706" s="131"/>
      <c r="O706" s="30"/>
      <c r="P706" s="29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135"/>
      <c r="M707" s="19"/>
      <c r="N707" s="131"/>
      <c r="O707" s="30"/>
      <c r="P707" s="29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135"/>
      <c r="M708" s="19"/>
      <c r="N708" s="131"/>
      <c r="O708" s="30"/>
      <c r="P708" s="29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135"/>
      <c r="M709" s="19"/>
      <c r="N709" s="131"/>
      <c r="O709" s="30"/>
      <c r="P709" s="29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135"/>
      <c r="M710" s="19"/>
      <c r="N710" s="131"/>
      <c r="O710" s="30"/>
      <c r="P710" s="29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135"/>
      <c r="M711" s="19"/>
      <c r="N711" s="131"/>
      <c r="O711" s="30"/>
      <c r="P711" s="29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135"/>
      <c r="M712" s="19"/>
      <c r="N712" s="131"/>
      <c r="O712" s="30"/>
      <c r="P712" s="29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135"/>
      <c r="M713" s="19"/>
      <c r="N713" s="131"/>
      <c r="O713" s="30"/>
      <c r="P713" s="29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135"/>
      <c r="M714" s="19"/>
      <c r="N714" s="131"/>
      <c r="O714" s="30"/>
      <c r="P714" s="29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135"/>
      <c r="M715" s="19"/>
      <c r="N715" s="131"/>
      <c r="O715" s="30"/>
      <c r="P715" s="29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135"/>
      <c r="M716" s="19"/>
      <c r="N716" s="131"/>
      <c r="O716" s="30"/>
      <c r="P716" s="29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135"/>
      <c r="M717" s="19"/>
      <c r="N717" s="131"/>
      <c r="O717" s="30"/>
      <c r="P717" s="29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135"/>
      <c r="M718" s="19"/>
      <c r="N718" s="131"/>
      <c r="O718" s="30"/>
      <c r="P718" s="29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135"/>
      <c r="M719" s="19"/>
      <c r="N719" s="131"/>
      <c r="O719" s="30"/>
      <c r="P719" s="29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135"/>
      <c r="M720" s="19"/>
      <c r="N720" s="131"/>
      <c r="O720" s="30"/>
      <c r="P720" s="29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135"/>
      <c r="M721" s="19"/>
      <c r="N721" s="131"/>
      <c r="O721" s="30"/>
      <c r="P721" s="29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135"/>
      <c r="M722" s="19"/>
      <c r="N722" s="131"/>
      <c r="O722" s="30"/>
      <c r="P722" s="29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135"/>
      <c r="M723" s="19"/>
      <c r="N723" s="131"/>
      <c r="O723" s="30"/>
      <c r="P723" s="29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135"/>
      <c r="M724" s="19"/>
      <c r="N724" s="131"/>
      <c r="O724" s="30"/>
      <c r="P724" s="29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135"/>
      <c r="M725" s="19"/>
      <c r="N725" s="131"/>
      <c r="O725" s="30"/>
      <c r="P725" s="29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135"/>
      <c r="M726" s="19"/>
      <c r="N726" s="131"/>
      <c r="O726" s="30"/>
      <c r="P726" s="29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135"/>
      <c r="M727" s="19"/>
      <c r="N727" s="131"/>
      <c r="O727" s="30"/>
      <c r="P727" s="29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135"/>
      <c r="M728" s="19"/>
      <c r="N728" s="131"/>
      <c r="O728" s="30"/>
      <c r="P728" s="29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135"/>
      <c r="M729" s="19"/>
      <c r="N729" s="131"/>
      <c r="O729" s="30"/>
      <c r="P729" s="29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135"/>
      <c r="M730" s="19"/>
      <c r="N730" s="131"/>
      <c r="O730" s="30"/>
      <c r="P730" s="29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135"/>
      <c r="M731" s="19"/>
      <c r="N731" s="131"/>
      <c r="O731" s="30"/>
      <c r="P731" s="29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135"/>
      <c r="M732" s="19"/>
      <c r="N732" s="131"/>
      <c r="O732" s="30"/>
      <c r="P732" s="29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135"/>
      <c r="M733" s="19"/>
      <c r="N733" s="131"/>
      <c r="O733" s="30"/>
      <c r="P733" s="29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135"/>
      <c r="M734" s="19"/>
      <c r="N734" s="131"/>
      <c r="O734" s="30"/>
      <c r="P734" s="29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135"/>
      <c r="M735" s="19"/>
      <c r="N735" s="131"/>
      <c r="O735" s="30"/>
      <c r="P735" s="29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135"/>
      <c r="M736" s="19"/>
      <c r="N736" s="131"/>
      <c r="O736" s="30"/>
      <c r="P736" s="29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135"/>
      <c r="M737" s="19"/>
      <c r="N737" s="131"/>
      <c r="O737" s="30"/>
      <c r="P737" s="29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135"/>
      <c r="M738" s="19"/>
      <c r="N738" s="131"/>
      <c r="O738" s="30"/>
      <c r="P738" s="29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135"/>
      <c r="M739" s="19"/>
      <c r="N739" s="131"/>
      <c r="O739" s="30"/>
      <c r="P739" s="29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135"/>
      <c r="M740" s="19"/>
      <c r="N740" s="131"/>
      <c r="O740" s="30"/>
      <c r="P740" s="29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135"/>
      <c r="M741" s="19"/>
      <c r="N741" s="131"/>
      <c r="O741" s="30"/>
      <c r="P741" s="29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135"/>
      <c r="M742" s="19"/>
      <c r="N742" s="131"/>
      <c r="O742" s="30"/>
      <c r="P742" s="29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135"/>
      <c r="M743" s="19"/>
      <c r="N743" s="131"/>
      <c r="O743" s="30"/>
      <c r="P743" s="29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135"/>
      <c r="M744" s="19"/>
      <c r="N744" s="131"/>
      <c r="O744" s="30"/>
      <c r="P744" s="29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135"/>
      <c r="M745" s="19"/>
      <c r="N745" s="131"/>
      <c r="O745" s="30"/>
      <c r="P745" s="29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135"/>
      <c r="M746" s="19"/>
      <c r="N746" s="131"/>
      <c r="O746" s="30"/>
      <c r="P746" s="29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135"/>
      <c r="M747" s="19"/>
      <c r="N747" s="131"/>
      <c r="O747" s="30"/>
      <c r="P747" s="29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135"/>
      <c r="M748" s="19"/>
      <c r="N748" s="131"/>
      <c r="O748" s="30"/>
      <c r="P748" s="29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135"/>
      <c r="M749" s="19"/>
      <c r="N749" s="131"/>
      <c r="O749" s="30"/>
      <c r="P749" s="29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135"/>
      <c r="M750" s="19"/>
      <c r="N750" s="131"/>
      <c r="O750" s="30"/>
      <c r="P750" s="29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135"/>
      <c r="M751" s="19"/>
      <c r="N751" s="131"/>
      <c r="O751" s="30"/>
      <c r="P751" s="29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135"/>
      <c r="M752" s="19"/>
      <c r="N752" s="131"/>
      <c r="O752" s="30"/>
      <c r="P752" s="29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135"/>
      <c r="M753" s="19"/>
      <c r="N753" s="131"/>
      <c r="O753" s="30"/>
      <c r="P753" s="29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135"/>
      <c r="M754" s="19"/>
      <c r="N754" s="131"/>
      <c r="O754" s="30"/>
      <c r="P754" s="29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135"/>
      <c r="M755" s="19"/>
      <c r="N755" s="131"/>
      <c r="O755" s="30"/>
      <c r="P755" s="29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135"/>
      <c r="M756" s="19"/>
      <c r="N756" s="131"/>
      <c r="O756" s="30"/>
      <c r="P756" s="29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135"/>
      <c r="M757" s="19"/>
      <c r="N757" s="131"/>
      <c r="O757" s="30"/>
      <c r="P757" s="29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135"/>
      <c r="M758" s="19"/>
      <c r="N758" s="131"/>
      <c r="O758" s="30"/>
      <c r="P758" s="29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135"/>
      <c r="M759" s="19"/>
      <c r="N759" s="131"/>
      <c r="O759" s="30"/>
      <c r="P759" s="29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135"/>
      <c r="M760" s="19"/>
      <c r="N760" s="131"/>
      <c r="O760" s="30"/>
      <c r="P760" s="29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135"/>
      <c r="M761" s="19"/>
      <c r="N761" s="131"/>
      <c r="O761" s="30"/>
      <c r="P761" s="29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135"/>
      <c r="M762" s="19"/>
      <c r="N762" s="131"/>
      <c r="O762" s="30"/>
      <c r="P762" s="29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135"/>
      <c r="M763" s="19"/>
      <c r="N763" s="131"/>
      <c r="O763" s="30"/>
      <c r="P763" s="29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135"/>
      <c r="M764" s="19"/>
      <c r="N764" s="131"/>
      <c r="O764" s="30"/>
      <c r="P764" s="29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135"/>
      <c r="M765" s="19"/>
      <c r="N765" s="131"/>
      <c r="O765" s="30"/>
      <c r="P765" s="29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135"/>
      <c r="M766" s="19"/>
      <c r="N766" s="131"/>
      <c r="O766" s="30"/>
      <c r="P766" s="29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135"/>
      <c r="M767" s="19"/>
      <c r="N767" s="131"/>
      <c r="O767" s="30"/>
      <c r="P767" s="29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135"/>
      <c r="M768" s="19"/>
      <c r="N768" s="131"/>
      <c r="O768" s="30"/>
      <c r="P768" s="29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135"/>
      <c r="M769" s="19"/>
      <c r="N769" s="131"/>
      <c r="O769" s="30"/>
      <c r="P769" s="29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135"/>
      <c r="M770" s="19"/>
      <c r="N770" s="131"/>
      <c r="O770" s="30"/>
      <c r="P770" s="29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135"/>
      <c r="M771" s="19"/>
      <c r="N771" s="131"/>
      <c r="O771" s="30"/>
      <c r="P771" s="29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135"/>
      <c r="M772" s="19"/>
      <c r="N772" s="131"/>
      <c r="O772" s="30"/>
      <c r="P772" s="29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135"/>
      <c r="M773" s="19"/>
      <c r="N773" s="131"/>
      <c r="O773" s="30"/>
      <c r="P773" s="29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135"/>
      <c r="M774" s="19"/>
      <c r="N774" s="131"/>
      <c r="O774" s="30"/>
      <c r="P774" s="29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135"/>
      <c r="M775" s="19"/>
      <c r="N775" s="131"/>
      <c r="O775" s="30"/>
      <c r="P775" s="29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135"/>
      <c r="M776" s="19"/>
      <c r="N776" s="131"/>
      <c r="O776" s="30"/>
      <c r="P776" s="29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135"/>
      <c r="M777" s="19"/>
      <c r="N777" s="131"/>
      <c r="O777" s="30"/>
      <c r="P777" s="29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135"/>
      <c r="M778" s="19"/>
      <c r="N778" s="131"/>
      <c r="O778" s="30"/>
      <c r="P778" s="29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135"/>
      <c r="M779" s="19"/>
      <c r="N779" s="131"/>
      <c r="O779" s="30"/>
      <c r="P779" s="29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135"/>
      <c r="M780" s="19"/>
      <c r="N780" s="131"/>
      <c r="O780" s="30"/>
      <c r="P780" s="29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135"/>
      <c r="M781" s="19"/>
      <c r="N781" s="131"/>
      <c r="O781" s="30"/>
      <c r="P781" s="29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135"/>
      <c r="M782" s="19"/>
      <c r="N782" s="131"/>
      <c r="O782" s="30"/>
      <c r="P782" s="29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135"/>
      <c r="M783" s="19"/>
      <c r="N783" s="131"/>
      <c r="O783" s="30"/>
      <c r="P783" s="29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135"/>
      <c r="M784" s="19"/>
      <c r="N784" s="131"/>
      <c r="O784" s="30"/>
      <c r="P784" s="29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135"/>
      <c r="M785" s="19"/>
      <c r="N785" s="131"/>
      <c r="O785" s="30"/>
      <c r="P785" s="29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135"/>
      <c r="M786" s="19"/>
      <c r="N786" s="131"/>
      <c r="O786" s="30"/>
      <c r="P786" s="29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135"/>
      <c r="M787" s="19"/>
      <c r="N787" s="131"/>
      <c r="O787" s="30"/>
      <c r="P787" s="29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135"/>
      <c r="M788" s="19"/>
      <c r="N788" s="131"/>
      <c r="O788" s="30"/>
      <c r="P788" s="29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135"/>
      <c r="M789" s="19"/>
      <c r="N789" s="131"/>
      <c r="O789" s="30"/>
      <c r="P789" s="29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135"/>
      <c r="M790" s="19"/>
      <c r="N790" s="131"/>
      <c r="O790" s="30"/>
      <c r="P790" s="29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135"/>
      <c r="M791" s="19"/>
      <c r="N791" s="131"/>
      <c r="O791" s="30"/>
      <c r="P791" s="29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135"/>
      <c r="M792" s="19"/>
      <c r="N792" s="131"/>
      <c r="O792" s="30"/>
      <c r="P792" s="29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135"/>
      <c r="M793" s="19"/>
      <c r="N793" s="131"/>
      <c r="O793" s="30"/>
      <c r="P793" s="29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135"/>
      <c r="M794" s="19"/>
      <c r="N794" s="131"/>
      <c r="O794" s="30"/>
      <c r="P794" s="29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135"/>
      <c r="M795" s="19"/>
      <c r="N795" s="131"/>
      <c r="O795" s="30"/>
      <c r="P795" s="29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135"/>
      <c r="M796" s="19"/>
      <c r="N796" s="131"/>
      <c r="O796" s="30"/>
      <c r="P796" s="29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135"/>
      <c r="M797" s="19"/>
      <c r="N797" s="131"/>
      <c r="O797" s="30"/>
      <c r="P797" s="29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135"/>
      <c r="M798" s="19"/>
      <c r="N798" s="131"/>
      <c r="O798" s="30"/>
      <c r="P798" s="29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135"/>
      <c r="M799" s="19"/>
      <c r="N799" s="131"/>
      <c r="O799" s="30"/>
      <c r="P799" s="29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135"/>
      <c r="M800" s="19"/>
      <c r="N800" s="131"/>
      <c r="O800" s="30"/>
      <c r="P800" s="29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135"/>
      <c r="M801" s="19"/>
      <c r="N801" s="131"/>
      <c r="O801" s="30"/>
      <c r="P801" s="29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135"/>
      <c r="M802" s="19"/>
      <c r="N802" s="131"/>
      <c r="O802" s="30"/>
      <c r="P802" s="29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135"/>
      <c r="M803" s="19"/>
      <c r="N803" s="131"/>
      <c r="O803" s="30"/>
      <c r="P803" s="29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135"/>
      <c r="M804" s="19"/>
      <c r="N804" s="131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135"/>
      <c r="M805" s="19"/>
      <c r="N805" s="131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135"/>
      <c r="M806" s="19"/>
      <c r="N806" s="131"/>
      <c r="O806" s="30"/>
      <c r="P806" s="29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135"/>
      <c r="M807" s="19"/>
      <c r="N807" s="131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135"/>
      <c r="M808" s="19"/>
      <c r="N808" s="131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135"/>
      <c r="M809" s="19"/>
      <c r="N809" s="131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135"/>
      <c r="M810" s="19"/>
      <c r="N810" s="131"/>
      <c r="O810" s="30"/>
      <c r="P810" s="29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135"/>
      <c r="M811" s="19"/>
      <c r="N811" s="131"/>
      <c r="O811" s="30"/>
      <c r="P811" s="29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135"/>
      <c r="M812" s="19"/>
      <c r="N812" s="131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135"/>
      <c r="M813" s="19"/>
      <c r="N813" s="131"/>
      <c r="O813" s="30"/>
      <c r="P813" s="29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135"/>
      <c r="M814" s="19"/>
      <c r="N814" s="131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135"/>
      <c r="M815" s="19"/>
      <c r="N815" s="131"/>
      <c r="O815" s="30"/>
      <c r="P815" s="29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135"/>
      <c r="M816" s="19"/>
      <c r="N816" s="131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135"/>
      <c r="M817" s="19"/>
      <c r="N817" s="131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135"/>
      <c r="M818" s="19"/>
      <c r="N818" s="131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135"/>
      <c r="M819" s="19"/>
      <c r="N819" s="131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135"/>
      <c r="M820" s="19"/>
      <c r="N820" s="131"/>
      <c r="O820" s="30"/>
      <c r="P820" s="29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135"/>
      <c r="M821" s="19"/>
      <c r="N821" s="131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135"/>
      <c r="M822" s="19"/>
      <c r="N822" s="131"/>
      <c r="O822" s="30"/>
      <c r="P822" s="29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135"/>
      <c r="M823" s="19"/>
      <c r="N823" s="131"/>
      <c r="O823" s="30"/>
      <c r="P823" s="29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135"/>
      <c r="M824" s="19"/>
      <c r="N824" s="131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135"/>
      <c r="M825" s="19"/>
      <c r="N825" s="131"/>
      <c r="O825" s="30"/>
      <c r="P825" s="29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135"/>
      <c r="M826" s="19"/>
      <c r="N826" s="131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135"/>
      <c r="M827" s="19"/>
      <c r="N827" s="131"/>
      <c r="O827" s="30"/>
      <c r="P827" s="29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135"/>
      <c r="M828" s="19"/>
      <c r="N828" s="131"/>
      <c r="O828" s="30"/>
      <c r="P828" s="29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135"/>
      <c r="M829" s="19"/>
      <c r="N829" s="131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135"/>
      <c r="M830" s="19"/>
      <c r="N830" s="131"/>
      <c r="O830" s="30"/>
      <c r="P830" s="29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135"/>
      <c r="M831" s="19"/>
      <c r="N831" s="131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135"/>
      <c r="M832" s="19"/>
      <c r="N832" s="131"/>
      <c r="O832" s="30"/>
      <c r="P832" s="29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135"/>
      <c r="M833" s="19"/>
      <c r="N833" s="131"/>
      <c r="O833" s="30"/>
      <c r="P833" s="29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135"/>
      <c r="M834" s="19"/>
      <c r="N834" s="131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135"/>
      <c r="M835" s="19"/>
      <c r="N835" s="131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135"/>
      <c r="M836" s="19"/>
      <c r="N836" s="131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135"/>
      <c r="M837" s="19"/>
      <c r="N837" s="131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135"/>
      <c r="M838" s="19"/>
      <c r="N838" s="131"/>
      <c r="O838" s="30"/>
      <c r="P838" s="29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135"/>
      <c r="M839" s="19"/>
      <c r="N839" s="131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135"/>
      <c r="M840" s="19"/>
      <c r="N840" s="131"/>
      <c r="O840" s="30"/>
      <c r="P840" s="29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135"/>
      <c r="M841" s="19"/>
      <c r="N841" s="131"/>
      <c r="O841" s="30"/>
      <c r="P841" s="29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135"/>
      <c r="M842" s="19"/>
      <c r="N842" s="131"/>
      <c r="O842" s="30"/>
      <c r="P842" s="29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135"/>
      <c r="M843" s="19"/>
      <c r="N843" s="131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135"/>
      <c r="M844" s="19"/>
      <c r="N844" s="131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135"/>
      <c r="M845" s="19"/>
      <c r="N845" s="131"/>
      <c r="O845" s="30"/>
      <c r="P845" s="29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135"/>
      <c r="M846" s="19"/>
      <c r="N846" s="131"/>
      <c r="O846" s="30"/>
      <c r="P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135"/>
      <c r="M847" s="19"/>
      <c r="N847" s="131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135"/>
      <c r="M848" s="19"/>
      <c r="N848" s="131"/>
      <c r="O848" s="30"/>
      <c r="P848" s="29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135"/>
      <c r="M849" s="19"/>
      <c r="N849" s="131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135"/>
      <c r="M850" s="19"/>
      <c r="N850" s="131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135"/>
      <c r="M851" s="19"/>
      <c r="N851" s="131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135"/>
      <c r="M852" s="19"/>
      <c r="N852" s="131"/>
      <c r="O852" s="30"/>
      <c r="P852" s="29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135"/>
      <c r="M853" s="19"/>
      <c r="N853" s="131"/>
      <c r="O853" s="30"/>
      <c r="P853" s="29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135"/>
      <c r="M854" s="19"/>
      <c r="N854" s="131"/>
      <c r="O854" s="30"/>
      <c r="P854" s="29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135"/>
      <c r="M855" s="19"/>
      <c r="N855" s="131"/>
      <c r="O855" s="30"/>
      <c r="P855" s="29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135"/>
      <c r="M856" s="19"/>
      <c r="N856" s="131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135"/>
      <c r="M857" s="19"/>
      <c r="N857" s="131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135"/>
      <c r="M858" s="19"/>
      <c r="N858" s="131"/>
      <c r="O858" s="30"/>
      <c r="P858" s="29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135"/>
      <c r="M859" s="19"/>
      <c r="N859" s="131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135"/>
      <c r="M860" s="19"/>
      <c r="N860" s="131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135"/>
      <c r="M861" s="19"/>
      <c r="N861" s="131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135"/>
      <c r="M862" s="19"/>
      <c r="N862" s="131"/>
      <c r="O862" s="30"/>
      <c r="P862" s="29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135"/>
      <c r="M863" s="19"/>
      <c r="N863" s="131"/>
      <c r="O863" s="30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135"/>
      <c r="M864" s="19"/>
      <c r="N864" s="131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135"/>
      <c r="M865" s="19"/>
      <c r="N865" s="131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135"/>
      <c r="M866" s="19"/>
      <c r="N866" s="131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135"/>
      <c r="M867" s="19"/>
      <c r="N867" s="131"/>
      <c r="O867" s="30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135"/>
      <c r="M868" s="19"/>
      <c r="N868" s="131"/>
      <c r="O868" s="30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135"/>
      <c r="M869" s="19"/>
      <c r="N869" s="131"/>
      <c r="O869" s="30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135"/>
      <c r="M870" s="19"/>
      <c r="N870" s="131"/>
      <c r="O870" s="30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135"/>
      <c r="M871" s="19"/>
      <c r="N871" s="131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135"/>
      <c r="M872" s="19"/>
      <c r="N872" s="131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135"/>
      <c r="M873" s="19"/>
      <c r="N873" s="131"/>
      <c r="O873" s="30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135"/>
      <c r="M874" s="19"/>
      <c r="N874" s="131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135"/>
      <c r="M875" s="19"/>
      <c r="N875" s="131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135"/>
      <c r="M876" s="19"/>
      <c r="N876" s="131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135"/>
      <c r="M877" s="19"/>
      <c r="N877" s="131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135"/>
      <c r="M878" s="19"/>
      <c r="N878" s="131"/>
      <c r="O878" s="30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135"/>
      <c r="M879" s="19"/>
      <c r="N879" s="131"/>
      <c r="O879" s="30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135"/>
      <c r="M880" s="19"/>
      <c r="N880" s="131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135"/>
      <c r="M881" s="19"/>
      <c r="N881" s="131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135"/>
      <c r="M882" s="19"/>
      <c r="N882" s="131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135"/>
      <c r="M883" s="19"/>
      <c r="N883" s="131"/>
      <c r="O883" s="30"/>
      <c r="P883" s="29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135"/>
      <c r="M884" s="19"/>
      <c r="N884" s="131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135"/>
      <c r="M885" s="19"/>
      <c r="N885" s="131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135"/>
      <c r="M886" s="19"/>
      <c r="N886" s="131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135"/>
      <c r="M887" s="19"/>
      <c r="N887" s="131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135"/>
      <c r="M888" s="19"/>
      <c r="N888" s="131"/>
      <c r="O888" s="30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135"/>
      <c r="M889" s="19"/>
      <c r="N889" s="131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135"/>
      <c r="M890" s="19"/>
      <c r="N890" s="131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135"/>
      <c r="M891" s="19"/>
      <c r="N891" s="131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135"/>
      <c r="M892" s="19"/>
      <c r="N892" s="131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135"/>
      <c r="M893" s="19"/>
      <c r="N893" s="131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135"/>
      <c r="M894" s="19"/>
      <c r="N894" s="131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135"/>
      <c r="M895" s="19"/>
      <c r="N895" s="131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135"/>
      <c r="M896" s="19"/>
      <c r="N896" s="131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135"/>
      <c r="M897" s="19"/>
      <c r="N897" s="131"/>
      <c r="O897" s="30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135"/>
      <c r="M898" s="19"/>
      <c r="N898" s="131"/>
      <c r="O898" s="30"/>
      <c r="P898" s="29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135"/>
      <c r="M899" s="19"/>
      <c r="N899" s="131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135"/>
      <c r="M900" s="19"/>
      <c r="N900" s="131"/>
      <c r="O900" s="30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135"/>
      <c r="M901" s="19"/>
      <c r="N901" s="131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135"/>
      <c r="M902" s="19"/>
      <c r="N902" s="131"/>
      <c r="O902" s="30"/>
      <c r="P902" s="29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135"/>
      <c r="M903" s="19"/>
      <c r="N903" s="131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135"/>
      <c r="M904" s="19"/>
      <c r="N904" s="131"/>
      <c r="O904" s="30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135"/>
      <c r="M905" s="19"/>
      <c r="N905" s="131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135"/>
      <c r="M906" s="19"/>
      <c r="N906" s="131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135"/>
      <c r="M907" s="19"/>
      <c r="N907" s="131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135"/>
      <c r="M908" s="19"/>
      <c r="N908" s="131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135"/>
      <c r="M909" s="19"/>
      <c r="N909" s="131"/>
      <c r="O909" s="30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135"/>
      <c r="M910" s="19"/>
      <c r="N910" s="131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135"/>
      <c r="M911" s="19"/>
      <c r="N911" s="131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135"/>
      <c r="M912" s="19"/>
      <c r="N912" s="131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135"/>
      <c r="M913" s="19"/>
      <c r="N913" s="131"/>
      <c r="O913" s="30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135"/>
      <c r="M914" s="19"/>
      <c r="N914" s="131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135"/>
      <c r="M915" s="19"/>
      <c r="N915" s="131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135"/>
      <c r="M916" s="19"/>
      <c r="N916" s="131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135"/>
      <c r="M917" s="19"/>
      <c r="N917" s="131"/>
      <c r="O917" s="30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135"/>
      <c r="M918" s="19"/>
      <c r="N918" s="131"/>
      <c r="O918" s="30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135"/>
      <c r="M919" s="19"/>
      <c r="N919" s="131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135"/>
      <c r="M920" s="19"/>
      <c r="N920" s="131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135"/>
      <c r="M921" s="19"/>
      <c r="N921" s="131"/>
      <c r="O921" s="30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135"/>
      <c r="M922" s="19"/>
      <c r="N922" s="131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135"/>
      <c r="M923" s="19"/>
      <c r="N923" s="131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135"/>
      <c r="M924" s="19"/>
      <c r="N924" s="131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135"/>
      <c r="M925" s="19"/>
      <c r="N925" s="131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135"/>
      <c r="M926" s="19"/>
      <c r="N926" s="131"/>
      <c r="O926" s="30"/>
      <c r="P926" s="29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135"/>
      <c r="M927" s="19"/>
      <c r="N927" s="131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135"/>
      <c r="M928" s="19"/>
      <c r="N928" s="131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135"/>
      <c r="M929" s="19"/>
      <c r="N929" s="131"/>
      <c r="O929" s="30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135"/>
      <c r="M930" s="19"/>
      <c r="N930" s="131"/>
      <c r="O930" s="30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135"/>
      <c r="M931" s="19"/>
      <c r="N931" s="131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135"/>
      <c r="M932" s="19"/>
      <c r="N932" s="131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135"/>
      <c r="M933" s="19"/>
      <c r="N933" s="131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135"/>
      <c r="M934" s="19"/>
      <c r="N934" s="131"/>
      <c r="O934" s="30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135"/>
      <c r="M935" s="19"/>
      <c r="N935" s="131"/>
      <c r="O935" s="30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135"/>
      <c r="M936" s="19"/>
      <c r="N936" s="131"/>
      <c r="O936" s="30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135"/>
      <c r="M937" s="19"/>
      <c r="N937" s="131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135"/>
      <c r="M938" s="19"/>
      <c r="N938" s="131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135"/>
      <c r="M939" s="19"/>
      <c r="N939" s="131"/>
      <c r="O939" s="30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135"/>
      <c r="M940" s="19"/>
      <c r="N940" s="131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135"/>
      <c r="M941" s="19"/>
      <c r="N941" s="131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135"/>
      <c r="M942" s="19"/>
      <c r="N942" s="131"/>
      <c r="O942" s="30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135"/>
      <c r="M943" s="19"/>
      <c r="N943" s="131"/>
      <c r="O943" s="30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135"/>
      <c r="M944" s="19"/>
      <c r="N944" s="131"/>
      <c r="O944" s="30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135"/>
      <c r="M945" s="19"/>
      <c r="N945" s="131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135"/>
      <c r="M946" s="19"/>
      <c r="N946" s="131"/>
      <c r="O946" s="30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135"/>
      <c r="M947" s="19"/>
      <c r="N947" s="131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135"/>
      <c r="M948" s="19"/>
      <c r="N948" s="131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135"/>
      <c r="M949" s="19"/>
      <c r="N949" s="131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135"/>
      <c r="M950" s="19"/>
      <c r="N950" s="131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135"/>
      <c r="M951" s="19"/>
      <c r="N951" s="131"/>
      <c r="O951" s="30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135"/>
      <c r="M952" s="19"/>
      <c r="N952" s="131"/>
      <c r="O952" s="30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135"/>
      <c r="M953" s="19"/>
      <c r="N953" s="131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135"/>
      <c r="M954" s="19"/>
      <c r="N954" s="131"/>
      <c r="O954" s="30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135"/>
      <c r="M955" s="19"/>
      <c r="N955" s="131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135"/>
      <c r="M956" s="19"/>
      <c r="N956" s="131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135"/>
      <c r="M957" s="19"/>
      <c r="N957" s="131"/>
      <c r="O957" s="30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135"/>
      <c r="M958" s="19"/>
      <c r="N958" s="131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135"/>
      <c r="M959" s="19"/>
      <c r="N959" s="131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135"/>
      <c r="M960" s="19"/>
      <c r="N960" s="131"/>
      <c r="O960" s="30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135"/>
      <c r="M961" s="19"/>
      <c r="N961" s="131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135"/>
      <c r="M962" s="19"/>
      <c r="N962" s="131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135"/>
      <c r="M963" s="19"/>
      <c r="N963" s="131"/>
      <c r="O963" s="30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135"/>
      <c r="M964" s="19"/>
      <c r="N964" s="131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135"/>
      <c r="M965" s="19"/>
      <c r="N965" s="131"/>
      <c r="O965" s="30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135"/>
      <c r="M966" s="19"/>
      <c r="N966" s="131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135"/>
      <c r="M967" s="19"/>
      <c r="N967" s="131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135"/>
      <c r="M968" s="19"/>
      <c r="N968" s="131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135"/>
      <c r="M969" s="19"/>
      <c r="N969" s="131"/>
      <c r="O969" s="30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135"/>
      <c r="M970" s="19"/>
      <c r="N970" s="131"/>
      <c r="O970" s="30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135"/>
      <c r="M971" s="19"/>
      <c r="N971" s="131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135"/>
      <c r="M972" s="19"/>
      <c r="N972" s="131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135"/>
      <c r="M973" s="19"/>
      <c r="N973" s="131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135"/>
      <c r="M974" s="19"/>
      <c r="N974" s="131"/>
      <c r="O974" s="30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135"/>
      <c r="M975" s="19"/>
      <c r="N975" s="131"/>
      <c r="O975" s="30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135"/>
      <c r="M976" s="19"/>
      <c r="N976" s="131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135"/>
      <c r="M977" s="19"/>
      <c r="N977" s="131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135"/>
      <c r="M978" s="19"/>
      <c r="N978" s="131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135"/>
      <c r="M979" s="19"/>
      <c r="N979" s="131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135"/>
      <c r="M980" s="19"/>
      <c r="N980" s="131"/>
      <c r="O980" s="30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135"/>
      <c r="M981" s="19"/>
      <c r="N981" s="131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135"/>
      <c r="M982" s="19"/>
      <c r="N982" s="131"/>
      <c r="O982" s="30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135"/>
      <c r="M983" s="19"/>
      <c r="N983" s="131"/>
      <c r="O983" s="30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135"/>
      <c r="M984" s="19"/>
      <c r="N984" s="131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135"/>
      <c r="M985" s="19"/>
      <c r="N985" s="131"/>
      <c r="O985" s="30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135"/>
      <c r="M986" s="19"/>
      <c r="N986" s="131"/>
      <c r="O986" s="30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135"/>
      <c r="M987" s="19"/>
      <c r="N987" s="131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135"/>
      <c r="M988" s="19"/>
      <c r="N988" s="131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135"/>
      <c r="M989" s="19"/>
      <c r="N989" s="131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135"/>
      <c r="M990" s="19"/>
      <c r="N990" s="131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135"/>
      <c r="M991" s="19"/>
      <c r="N991" s="131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135"/>
      <c r="M992" s="19"/>
      <c r="N992" s="131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135"/>
      <c r="M993" s="19"/>
      <c r="N993" s="131"/>
      <c r="O993" s="30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135"/>
      <c r="M994" s="19"/>
      <c r="N994" s="131"/>
      <c r="O994" s="30"/>
      <c r="P994" s="29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135"/>
      <c r="M995" s="19"/>
      <c r="N995" s="131"/>
      <c r="O995" s="30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135"/>
      <c r="M996" s="19"/>
      <c r="N996" s="131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135"/>
      <c r="M997" s="19"/>
      <c r="N997" s="131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135"/>
      <c r="M998" s="19"/>
      <c r="N998" s="131"/>
      <c r="O998" s="30"/>
      <c r="P998" s="29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135"/>
      <c r="M999" s="19"/>
      <c r="N999" s="131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135"/>
      <c r="M1000" s="19"/>
      <c r="N1000" s="131"/>
      <c r="O1000" s="30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Z$1000"/>
  <mergeCells count="6">
    <mergeCell ref="C1:O1"/>
    <mergeCell ref="G4:N4"/>
    <mergeCell ref="G5:G6"/>
    <mergeCell ref="H5:H6"/>
    <mergeCell ref="I5:K5"/>
    <mergeCell ref="L5:N5"/>
  </mergeCells>
  <conditionalFormatting sqref="G2:N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"1,2月,3月,4月,5月,6,7,8,9,10,11,12"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4" width="13.25"/>
    <col customWidth="1" min="15" max="15" width="3.38"/>
    <col customWidth="1" min="16" max="16" width="4.25"/>
    <col customWidth="1" min="17" max="17" width="32.5"/>
    <col customWidth="1" min="18" max="18" width="11.75"/>
    <col customWidth="1" min="19" max="26" width="6.88"/>
  </cols>
  <sheetData>
    <row r="1" ht="48.75" customHeight="1">
      <c r="A1" s="9"/>
      <c r="B1" s="2"/>
      <c r="C1" s="3" t="s">
        <v>2968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3"/>
      <c r="M2" s="14"/>
      <c r="N2" s="13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8"/>
      <c r="M3" s="19"/>
      <c r="N3" s="1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57.0" customHeight="1">
      <c r="A4" s="20"/>
      <c r="B4" s="21"/>
      <c r="C4" s="22" t="s">
        <v>2969</v>
      </c>
      <c r="D4" s="21"/>
      <c r="E4" s="20"/>
      <c r="F4" s="21"/>
      <c r="G4" s="23" t="s">
        <v>2970</v>
      </c>
      <c r="H4" s="4"/>
      <c r="I4" s="4"/>
      <c r="J4" s="4"/>
      <c r="K4" s="4"/>
      <c r="L4" s="4"/>
      <c r="M4" s="4"/>
      <c r="N4" s="4"/>
      <c r="O4" s="21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5"/>
      <c r="L5" s="36" t="s">
        <v>8</v>
      </c>
      <c r="M5" s="37"/>
      <c r="N5" s="38"/>
      <c r="O5" s="30"/>
      <c r="P5" s="29"/>
      <c r="Q5" s="30">
        <f>SUMIF(L:L,"远程佣金",M:M)</f>
        <v>8574</v>
      </c>
      <c r="R5" s="243" t="s">
        <v>2393</v>
      </c>
      <c r="S5" s="30"/>
      <c r="T5" s="30"/>
      <c r="U5" s="30"/>
      <c r="V5" s="30"/>
      <c r="W5" s="30"/>
      <c r="X5" s="30"/>
      <c r="Y5" s="30"/>
      <c r="Z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8" t="s">
        <v>12</v>
      </c>
      <c r="L6" s="49" t="s">
        <v>10</v>
      </c>
      <c r="M6" s="50" t="s">
        <v>11</v>
      </c>
      <c r="N6" s="51" t="s">
        <v>12</v>
      </c>
      <c r="O6" s="30"/>
      <c r="P6" s="29"/>
      <c r="Q6" s="30">
        <f>SUMIF(L:L,"广告配套",M:M)</f>
        <v>7448.922</v>
      </c>
      <c r="R6" s="243" t="s">
        <v>20</v>
      </c>
      <c r="S6" s="30"/>
      <c r="T6" s="30"/>
      <c r="U6" s="30"/>
      <c r="V6" s="30"/>
      <c r="W6" s="30"/>
      <c r="X6" s="30"/>
      <c r="Y6" s="30"/>
      <c r="Z6" s="30"/>
    </row>
    <row r="7" ht="27.75" customHeight="1">
      <c r="A7" s="29"/>
      <c r="B7" s="30"/>
      <c r="C7" s="53" t="s">
        <v>1213</v>
      </c>
      <c r="D7" s="54" t="s">
        <v>16</v>
      </c>
      <c r="E7" s="29"/>
      <c r="F7" s="30"/>
      <c r="G7" s="55">
        <v>1.0</v>
      </c>
      <c r="H7" s="241">
        <v>45383.0</v>
      </c>
      <c r="I7" s="57" t="s">
        <v>2971</v>
      </c>
      <c r="J7" s="58">
        <v>60000.0</v>
      </c>
      <c r="K7" s="310">
        <v>0.8847222222222222</v>
      </c>
      <c r="L7" s="332"/>
      <c r="M7" s="62"/>
      <c r="N7" s="322"/>
      <c r="O7" s="30"/>
      <c r="P7" s="29"/>
      <c r="Q7" s="30">
        <f>SUMIF(I:I,"阿宝5期",J:J)</f>
        <v>410000</v>
      </c>
      <c r="R7" s="243" t="s">
        <v>2972</v>
      </c>
      <c r="S7" s="243"/>
      <c r="T7" s="30"/>
      <c r="U7" s="30"/>
      <c r="V7" s="30"/>
      <c r="W7" s="30"/>
      <c r="X7" s="30"/>
      <c r="Y7" s="30"/>
      <c r="Z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45383.0</v>
      </c>
      <c r="I8" s="68" t="s">
        <v>1338</v>
      </c>
      <c r="J8" s="69">
        <f>19711.05</f>
        <v>19711.05</v>
      </c>
      <c r="K8" s="314"/>
      <c r="L8" s="315"/>
      <c r="M8" s="90"/>
      <c r="N8" s="131"/>
      <c r="O8" s="30"/>
      <c r="P8" s="29"/>
      <c r="Q8" s="30">
        <f>SUMIF(I:I,"阿特",J:J)</f>
        <v>167000</v>
      </c>
      <c r="R8" s="243" t="s">
        <v>2973</v>
      </c>
      <c r="S8" s="30"/>
      <c r="T8" s="30"/>
      <c r="U8" s="30"/>
      <c r="V8" s="30"/>
      <c r="W8" s="30"/>
      <c r="X8" s="30"/>
      <c r="Y8" s="30"/>
      <c r="Z8" s="30"/>
    </row>
    <row r="9" ht="27.75" customHeight="1">
      <c r="A9" s="29"/>
      <c r="B9" s="30"/>
      <c r="C9" s="77">
        <f>C21</f>
        <v>1264211.05</v>
      </c>
      <c r="D9" s="30"/>
      <c r="E9" s="29"/>
      <c r="F9" s="30"/>
      <c r="G9" s="66">
        <v>3.0</v>
      </c>
      <c r="H9" s="153">
        <v>45384.0</v>
      </c>
      <c r="I9" s="68"/>
      <c r="J9" s="69"/>
      <c r="K9" s="314"/>
      <c r="L9" s="315" t="s">
        <v>20</v>
      </c>
      <c r="M9" s="90">
        <v>50.0</v>
      </c>
      <c r="N9" s="316" t="s">
        <v>2974</v>
      </c>
      <c r="O9" s="30"/>
      <c r="P9" s="29"/>
      <c r="Q9" s="30">
        <f>SUMIF(I:I,"金鑫阿海",J:J)</f>
        <v>77500</v>
      </c>
      <c r="R9" s="243" t="s">
        <v>2975</v>
      </c>
      <c r="S9" s="243"/>
      <c r="T9" s="30"/>
      <c r="U9" s="30"/>
      <c r="V9" s="30"/>
      <c r="W9" s="30"/>
      <c r="X9" s="30"/>
      <c r="Y9" s="30"/>
      <c r="Z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45384.0</v>
      </c>
      <c r="I10" s="84"/>
      <c r="J10" s="17"/>
      <c r="K10" s="133"/>
      <c r="L10" s="315" t="s">
        <v>2504</v>
      </c>
      <c r="M10" s="90">
        <v>30000.0</v>
      </c>
      <c r="N10" s="316" t="s">
        <v>2976</v>
      </c>
      <c r="O10" s="30"/>
      <c r="P10" s="29"/>
      <c r="Q10" s="30">
        <f>SUMIF(I:I,"阿光4期",J:J)</f>
        <v>450000</v>
      </c>
      <c r="R10" s="243" t="s">
        <v>2971</v>
      </c>
      <c r="S10" s="243"/>
      <c r="T10" s="30"/>
      <c r="U10" s="30"/>
      <c r="V10" s="30"/>
      <c r="W10" s="30"/>
      <c r="X10" s="30"/>
      <c r="Y10" s="30"/>
      <c r="Z10" s="30"/>
    </row>
    <row r="11" ht="27.75" customHeight="1">
      <c r="A11" s="29"/>
      <c r="B11" s="30"/>
      <c r="C11" s="79">
        <f>C23</f>
        <v>1265104.162</v>
      </c>
      <c r="D11" s="30"/>
      <c r="E11" s="29"/>
      <c r="F11" s="30"/>
      <c r="G11" s="66">
        <v>5.0</v>
      </c>
      <c r="H11" s="153">
        <v>45384.0</v>
      </c>
      <c r="I11" s="84"/>
      <c r="J11" s="17"/>
      <c r="K11" s="133"/>
      <c r="L11" s="315" t="s">
        <v>2504</v>
      </c>
      <c r="M11" s="90">
        <v>20000.0</v>
      </c>
      <c r="N11" s="316" t="s">
        <v>2977</v>
      </c>
      <c r="O11" s="30"/>
      <c r="P11" s="29"/>
      <c r="Q11" s="30">
        <f>SUMIF(I:I,"阿亦印度",J:J)</f>
        <v>90000</v>
      </c>
      <c r="R11" s="243" t="s">
        <v>2978</v>
      </c>
      <c r="S11" s="243"/>
      <c r="T11" s="30"/>
      <c r="U11" s="30"/>
      <c r="V11" s="30"/>
      <c r="W11" s="30"/>
      <c r="X11" s="30"/>
      <c r="Y11" s="30"/>
      <c r="Z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45385.0</v>
      </c>
      <c r="I12" s="84"/>
      <c r="J12" s="17"/>
      <c r="K12" s="133"/>
      <c r="L12" s="315" t="s">
        <v>2504</v>
      </c>
      <c r="M12" s="90">
        <v>20000.0</v>
      </c>
      <c r="N12" s="316" t="s">
        <v>2979</v>
      </c>
      <c r="O12" s="30"/>
      <c r="P12" s="29"/>
      <c r="Q12" s="30">
        <f>SUM(Q7:Q11)</f>
        <v>1194500</v>
      </c>
      <c r="R12" s="243" t="s">
        <v>2980</v>
      </c>
      <c r="S12" s="30"/>
      <c r="T12" s="30"/>
      <c r="U12" s="30"/>
      <c r="V12" s="30"/>
      <c r="W12" s="30"/>
      <c r="X12" s="30"/>
      <c r="Y12" s="30"/>
      <c r="Z12" s="30"/>
    </row>
    <row r="13" ht="27.75" customHeight="1">
      <c r="A13" s="29"/>
      <c r="B13" s="30"/>
      <c r="C13" s="82">
        <f>C9-C11</f>
        <v>-893.112</v>
      </c>
      <c r="D13" s="30"/>
      <c r="E13" s="29"/>
      <c r="F13" s="30"/>
      <c r="G13" s="66">
        <v>7.0</v>
      </c>
      <c r="H13" s="153">
        <v>45385.0</v>
      </c>
      <c r="I13" s="68" t="s">
        <v>2971</v>
      </c>
      <c r="J13" s="69">
        <v>60000.0</v>
      </c>
      <c r="K13" s="314" t="s">
        <v>216</v>
      </c>
      <c r="L13" s="315" t="s">
        <v>2504</v>
      </c>
      <c r="M13" s="90">
        <v>30000.0</v>
      </c>
      <c r="N13" s="316" t="s">
        <v>431</v>
      </c>
      <c r="O13" s="30"/>
      <c r="P13" s="29"/>
      <c r="Q13" s="243"/>
      <c r="R13" s="30"/>
      <c r="S13" s="30"/>
      <c r="T13" s="30"/>
      <c r="U13" s="30"/>
      <c r="V13" s="30"/>
      <c r="W13" s="30"/>
      <c r="X13" s="30"/>
      <c r="Y13" s="30"/>
      <c r="Z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45386.0</v>
      </c>
      <c r="I14" s="84"/>
      <c r="J14" s="17"/>
      <c r="K14" s="133"/>
      <c r="L14" s="315" t="s">
        <v>2504</v>
      </c>
      <c r="M14" s="90">
        <v>30000.0</v>
      </c>
      <c r="N14" s="316" t="s">
        <v>2981</v>
      </c>
      <c r="O14" s="30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45386.0</v>
      </c>
      <c r="I15" s="68" t="s">
        <v>2971</v>
      </c>
      <c r="J15" s="69">
        <v>60000.0</v>
      </c>
      <c r="K15" s="314" t="s">
        <v>2553</v>
      </c>
      <c r="L15" s="315"/>
      <c r="M15" s="90"/>
      <c r="N15" s="131"/>
      <c r="O15" s="30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45386.0</v>
      </c>
      <c r="I16" s="68" t="s">
        <v>2975</v>
      </c>
      <c r="J16" s="69">
        <v>12500.0</v>
      </c>
      <c r="K16" s="314" t="s">
        <v>2982</v>
      </c>
      <c r="L16" s="315" t="s">
        <v>1841</v>
      </c>
      <c r="M16" s="90">
        <f>12500+25000</f>
        <v>37500</v>
      </c>
      <c r="N16" s="316" t="s">
        <v>2816</v>
      </c>
      <c r="O16" s="30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45386.0</v>
      </c>
      <c r="I17" s="68" t="s">
        <v>2975</v>
      </c>
      <c r="J17" s="69">
        <v>25000.0</v>
      </c>
      <c r="K17" s="314" t="s">
        <v>2983</v>
      </c>
      <c r="L17" s="315" t="s">
        <v>20</v>
      </c>
      <c r="M17" s="90">
        <v>25.8</v>
      </c>
      <c r="N17" s="316" t="s">
        <v>2984</v>
      </c>
      <c r="O17" s="30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30">
        <v>45386.0</v>
      </c>
      <c r="I18" s="154"/>
      <c r="J18" s="17"/>
      <c r="K18" s="326"/>
      <c r="L18" s="324" t="s">
        <v>2504</v>
      </c>
      <c r="M18" s="19">
        <v>30000.0</v>
      </c>
      <c r="N18" s="327" t="s">
        <v>2985</v>
      </c>
      <c r="O18" s="30"/>
      <c r="P18" s="29"/>
      <c r="R18" s="30"/>
      <c r="S18" s="30"/>
      <c r="T18" s="30"/>
      <c r="U18" s="30"/>
      <c r="V18" s="30"/>
      <c r="W18" s="30"/>
      <c r="X18" s="30"/>
      <c r="Y18" s="30"/>
      <c r="Z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30">
        <v>45387.0</v>
      </c>
      <c r="I19" s="84" t="s">
        <v>2971</v>
      </c>
      <c r="J19" s="17">
        <v>60000.0</v>
      </c>
      <c r="K19" s="133" t="s">
        <v>2297</v>
      </c>
      <c r="L19" s="324" t="s">
        <v>2504</v>
      </c>
      <c r="M19" s="19">
        <v>20000.0</v>
      </c>
      <c r="N19" s="131" t="s">
        <v>2986</v>
      </c>
      <c r="O19" s="3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45388.0</v>
      </c>
      <c r="I20" s="84"/>
      <c r="J20" s="17"/>
      <c r="K20" s="133"/>
      <c r="L20" s="315" t="s">
        <v>2504</v>
      </c>
      <c r="M20" s="90">
        <v>30000.0</v>
      </c>
      <c r="N20" s="316" t="s">
        <v>587</v>
      </c>
      <c r="O20" s="30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7.75" customHeight="1">
      <c r="A21" s="29"/>
      <c r="B21" s="30"/>
      <c r="C21" s="77">
        <f>SUMIFS(J:J,H:H,"&gt;="&amp;$C$17,H:H,"&lt;="&amp;$C$19)</f>
        <v>1264211.05</v>
      </c>
      <c r="D21" s="30"/>
      <c r="E21" s="29"/>
      <c r="F21" s="30"/>
      <c r="G21" s="66">
        <v>15.0</v>
      </c>
      <c r="H21" s="153">
        <v>45388.0</v>
      </c>
      <c r="I21" s="68" t="s">
        <v>2971</v>
      </c>
      <c r="J21" s="69">
        <v>50000.0</v>
      </c>
      <c r="K21" s="314" t="s">
        <v>2624</v>
      </c>
      <c r="L21" s="315"/>
      <c r="M21" s="90"/>
      <c r="N21" s="131"/>
      <c r="O21" s="30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45389.0</v>
      </c>
      <c r="I22" s="68"/>
      <c r="J22" s="69"/>
      <c r="K22" s="133"/>
      <c r="L22" s="315" t="s">
        <v>2504</v>
      </c>
      <c r="M22" s="90">
        <v>30000.0</v>
      </c>
      <c r="N22" s="316" t="s">
        <v>2987</v>
      </c>
      <c r="O22" s="30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7.75" customHeight="1">
      <c r="A23" s="29"/>
      <c r="B23" s="30"/>
      <c r="C23" s="79">
        <f>SUMIFS(M:M,H:H,"&gt;="&amp;$C$17,H:H,"&lt;="&amp;$C$19)</f>
        <v>1265104.162</v>
      </c>
      <c r="D23" s="30"/>
      <c r="E23" s="29"/>
      <c r="F23" s="30"/>
      <c r="G23" s="66">
        <v>17.0</v>
      </c>
      <c r="H23" s="153">
        <v>45389.0</v>
      </c>
      <c r="I23" s="68" t="s">
        <v>2971</v>
      </c>
      <c r="J23" s="69">
        <v>60000.0</v>
      </c>
      <c r="K23" s="314" t="s">
        <v>2592</v>
      </c>
      <c r="L23" s="315" t="s">
        <v>2393</v>
      </c>
      <c r="M23" s="90">
        <v>1514.0</v>
      </c>
      <c r="N23" s="316" t="s">
        <v>2988</v>
      </c>
      <c r="O23" s="30"/>
      <c r="P23" s="29"/>
      <c r="Q23" s="243" t="s">
        <v>2989</v>
      </c>
      <c r="R23" s="30"/>
      <c r="S23" s="30"/>
      <c r="T23" s="30"/>
      <c r="U23" s="30"/>
      <c r="V23" s="30"/>
      <c r="W23" s="30"/>
      <c r="X23" s="30"/>
      <c r="Y23" s="30"/>
      <c r="Z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45389.0</v>
      </c>
      <c r="I24" s="68"/>
      <c r="J24" s="69"/>
      <c r="K24" s="133"/>
      <c r="L24" s="315" t="s">
        <v>20</v>
      </c>
      <c r="M24" s="90">
        <v>240.0</v>
      </c>
      <c r="N24" s="316" t="s">
        <v>2990</v>
      </c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29"/>
      <c r="B25" s="30"/>
      <c r="C25" s="82">
        <f>C21-C23</f>
        <v>-893.112</v>
      </c>
      <c r="D25" s="30"/>
      <c r="E25" s="29"/>
      <c r="F25" s="30"/>
      <c r="G25" s="66">
        <v>19.0</v>
      </c>
      <c r="H25" s="153">
        <v>45389.0</v>
      </c>
      <c r="I25" s="68" t="s">
        <v>2975</v>
      </c>
      <c r="J25" s="69">
        <v>12500.0</v>
      </c>
      <c r="K25" s="314" t="s">
        <v>2991</v>
      </c>
      <c r="L25" s="315" t="s">
        <v>1841</v>
      </c>
      <c r="M25" s="90">
        <v>12500.0</v>
      </c>
      <c r="N25" s="316" t="s">
        <v>2816</v>
      </c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45389.0</v>
      </c>
      <c r="I26" s="68" t="s">
        <v>2975</v>
      </c>
      <c r="J26" s="69">
        <v>15000.0</v>
      </c>
      <c r="K26" s="314" t="s">
        <v>2992</v>
      </c>
      <c r="L26" s="315" t="s">
        <v>1841</v>
      </c>
      <c r="M26" s="90">
        <v>15000.0</v>
      </c>
      <c r="N26" s="316" t="s">
        <v>2816</v>
      </c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45389.0</v>
      </c>
      <c r="I27" s="68"/>
      <c r="J27" s="69"/>
      <c r="K27" s="133"/>
      <c r="L27" s="315" t="s">
        <v>1841</v>
      </c>
      <c r="M27" s="90">
        <v>50000.0</v>
      </c>
      <c r="N27" s="316" t="s">
        <v>2993</v>
      </c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45390.0</v>
      </c>
      <c r="I28" s="68"/>
      <c r="J28" s="69"/>
      <c r="K28" s="133"/>
      <c r="L28" s="315" t="s">
        <v>2504</v>
      </c>
      <c r="M28" s="90">
        <v>30000.0</v>
      </c>
      <c r="N28" s="316" t="s">
        <v>904</v>
      </c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45390.0</v>
      </c>
      <c r="I29" s="68" t="s">
        <v>2971</v>
      </c>
      <c r="J29" s="69">
        <v>50000.0</v>
      </c>
      <c r="K29" s="314" t="s">
        <v>2994</v>
      </c>
      <c r="L29" s="315"/>
      <c r="M29" s="90"/>
      <c r="N29" s="131"/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45391.0</v>
      </c>
      <c r="I30" s="68"/>
      <c r="J30" s="69"/>
      <c r="K30" s="133"/>
      <c r="L30" s="315" t="s">
        <v>2504</v>
      </c>
      <c r="M30" s="90">
        <v>30000.0</v>
      </c>
      <c r="N30" s="316" t="s">
        <v>2458</v>
      </c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45391.0</v>
      </c>
      <c r="I31" s="68" t="s">
        <v>2971</v>
      </c>
      <c r="J31" s="69">
        <v>50000.0</v>
      </c>
      <c r="K31" s="314" t="s">
        <v>2995</v>
      </c>
      <c r="L31" s="324" t="s">
        <v>1841</v>
      </c>
      <c r="M31" s="19">
        <v>50000.0</v>
      </c>
      <c r="N31" s="316" t="s">
        <v>2996</v>
      </c>
      <c r="O31" s="30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45391.0</v>
      </c>
      <c r="I32" s="84"/>
      <c r="J32" s="17"/>
      <c r="K32" s="133"/>
      <c r="L32" s="315" t="s">
        <v>2504</v>
      </c>
      <c r="M32" s="90">
        <v>30000.0</v>
      </c>
      <c r="N32" s="316" t="s">
        <v>2997</v>
      </c>
      <c r="O32" s="30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45391.0</v>
      </c>
      <c r="I33" s="68" t="s">
        <v>2975</v>
      </c>
      <c r="J33" s="69">
        <v>12500.0</v>
      </c>
      <c r="K33" s="314" t="s">
        <v>2998</v>
      </c>
      <c r="L33" s="315" t="s">
        <v>1841</v>
      </c>
      <c r="M33" s="90">
        <v>12500.0</v>
      </c>
      <c r="N33" s="316" t="s">
        <v>2816</v>
      </c>
      <c r="O33" s="30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45391.0</v>
      </c>
      <c r="I34" s="84"/>
      <c r="J34" s="17"/>
      <c r="K34" s="133"/>
      <c r="L34" s="315" t="s">
        <v>2504</v>
      </c>
      <c r="M34" s="90">
        <v>290.0</v>
      </c>
      <c r="N34" s="320">
        <v>0.9645833333333333</v>
      </c>
      <c r="O34" s="30"/>
      <c r="P34" s="29"/>
      <c r="Q34" s="243" t="s">
        <v>2579</v>
      </c>
      <c r="R34" s="30"/>
      <c r="S34" s="30"/>
      <c r="T34" s="30"/>
      <c r="U34" s="30"/>
      <c r="V34" s="30"/>
      <c r="W34" s="30"/>
      <c r="X34" s="30"/>
      <c r="Y34" s="30"/>
      <c r="Z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45392.0</v>
      </c>
      <c r="I35" s="68"/>
      <c r="J35" s="69"/>
      <c r="K35" s="133"/>
      <c r="L35" s="315" t="s">
        <v>2504</v>
      </c>
      <c r="M35" s="90">
        <v>30000.0</v>
      </c>
      <c r="N35" s="316" t="s">
        <v>2999</v>
      </c>
      <c r="O35" s="30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45392.0</v>
      </c>
      <c r="I36" s="84"/>
      <c r="J36" s="17"/>
      <c r="K36" s="133"/>
      <c r="L36" s="315" t="s">
        <v>20</v>
      </c>
      <c r="M36" s="90">
        <v>15.957</v>
      </c>
      <c r="N36" s="316" t="s">
        <v>3000</v>
      </c>
      <c r="O36" s="30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45392.0</v>
      </c>
      <c r="I37" s="68"/>
      <c r="J37" s="69"/>
      <c r="K37" s="133"/>
      <c r="L37" s="315" t="s">
        <v>20</v>
      </c>
      <c r="M37" s="90">
        <v>8.43</v>
      </c>
      <c r="N37" s="316" t="s">
        <v>3001</v>
      </c>
      <c r="O37" s="30"/>
      <c r="P37" s="29"/>
      <c r="R37" s="30"/>
      <c r="S37" s="30"/>
      <c r="T37" s="30"/>
      <c r="U37" s="30"/>
      <c r="V37" s="30"/>
      <c r="W37" s="30"/>
      <c r="X37" s="30"/>
      <c r="Y37" s="30"/>
      <c r="Z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45392.0</v>
      </c>
      <c r="I38" s="68"/>
      <c r="J38" s="69"/>
      <c r="K38" s="133"/>
      <c r="L38" s="315" t="s">
        <v>20</v>
      </c>
      <c r="M38" s="90">
        <v>39.904</v>
      </c>
      <c r="N38" s="316" t="s">
        <v>3002</v>
      </c>
      <c r="O38" s="30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45393.0</v>
      </c>
      <c r="I39" s="84"/>
      <c r="J39" s="17"/>
      <c r="K39" s="133"/>
      <c r="L39" s="315" t="s">
        <v>2393</v>
      </c>
      <c r="M39" s="90">
        <v>1217.0</v>
      </c>
      <c r="N39" s="316" t="s">
        <v>3003</v>
      </c>
      <c r="O39" s="30"/>
      <c r="P39" s="29"/>
      <c r="Q39" s="243" t="s">
        <v>3004</v>
      </c>
      <c r="R39" s="30"/>
      <c r="S39" s="30"/>
      <c r="T39" s="30"/>
      <c r="U39" s="30"/>
      <c r="V39" s="30"/>
      <c r="W39" s="30"/>
      <c r="X39" s="30"/>
      <c r="Y39" s="30"/>
      <c r="Z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45394.0</v>
      </c>
      <c r="I40" s="84"/>
      <c r="J40" s="17"/>
      <c r="K40" s="133"/>
      <c r="L40" s="315" t="s">
        <v>20</v>
      </c>
      <c r="M40" s="90">
        <v>39.923</v>
      </c>
      <c r="N40" s="316" t="s">
        <v>3005</v>
      </c>
      <c r="O40" s="30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45394.0</v>
      </c>
      <c r="I41" s="68" t="s">
        <v>1968</v>
      </c>
      <c r="J41" s="69">
        <v>30000.0</v>
      </c>
      <c r="K41" s="314" t="s">
        <v>2208</v>
      </c>
      <c r="L41" s="315" t="s">
        <v>2504</v>
      </c>
      <c r="M41" s="90">
        <v>30000.0</v>
      </c>
      <c r="N41" s="316" t="s">
        <v>3006</v>
      </c>
      <c r="O41" s="30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45395.0</v>
      </c>
      <c r="I42" s="68" t="s">
        <v>2978</v>
      </c>
      <c r="J42" s="69">
        <v>20000.0</v>
      </c>
      <c r="K42" s="314" t="s">
        <v>364</v>
      </c>
      <c r="L42" s="315" t="s">
        <v>20</v>
      </c>
      <c r="M42" s="90">
        <v>50.0</v>
      </c>
      <c r="N42" s="316" t="s">
        <v>3007</v>
      </c>
      <c r="O42" s="30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45395.0</v>
      </c>
      <c r="I43" s="68" t="s">
        <v>2978</v>
      </c>
      <c r="J43" s="69">
        <v>57620.0</v>
      </c>
      <c r="K43" s="318">
        <v>0.7131944444444445</v>
      </c>
      <c r="L43" s="315"/>
      <c r="M43" s="90"/>
      <c r="N43" s="316"/>
      <c r="O43" s="30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45396.0</v>
      </c>
      <c r="I44" s="84"/>
      <c r="J44" s="17"/>
      <c r="K44" s="133"/>
      <c r="L44" s="315" t="s">
        <v>2408</v>
      </c>
      <c r="M44" s="90">
        <v>30000.0</v>
      </c>
      <c r="N44" s="316" t="s">
        <v>3008</v>
      </c>
      <c r="O44" s="30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45396.0</v>
      </c>
      <c r="I45" s="68"/>
      <c r="J45" s="69"/>
      <c r="K45" s="133"/>
      <c r="L45" s="315" t="s">
        <v>2504</v>
      </c>
      <c r="M45" s="90">
        <v>10000.0</v>
      </c>
      <c r="N45" s="320">
        <v>0.027083333333333334</v>
      </c>
      <c r="O45" s="30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45396.0</v>
      </c>
      <c r="I46" s="84"/>
      <c r="J46" s="17"/>
      <c r="K46" s="133"/>
      <c r="L46" s="315" t="s">
        <v>2504</v>
      </c>
      <c r="M46" s="90">
        <v>10000.0</v>
      </c>
      <c r="N46" s="320">
        <v>0.5020833333333333</v>
      </c>
      <c r="O46" s="30"/>
      <c r="P46" s="29"/>
      <c r="R46" s="30"/>
      <c r="S46" s="30"/>
      <c r="T46" s="30"/>
      <c r="U46" s="30"/>
      <c r="V46" s="30"/>
      <c r="W46" s="30"/>
      <c r="X46" s="30"/>
      <c r="Y46" s="30"/>
      <c r="Z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45396.0</v>
      </c>
      <c r="I47" s="68" t="s">
        <v>2978</v>
      </c>
      <c r="J47" s="69">
        <v>12380.0</v>
      </c>
      <c r="K47" s="314" t="s">
        <v>1197</v>
      </c>
      <c r="L47" s="315"/>
      <c r="M47" s="90"/>
      <c r="N47" s="131"/>
      <c r="O47" s="30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45396.0</v>
      </c>
      <c r="I48" s="68" t="s">
        <v>2972</v>
      </c>
      <c r="J48" s="69">
        <v>30000.0</v>
      </c>
      <c r="K48" s="318">
        <v>0.7611111111111111</v>
      </c>
      <c r="L48" s="315" t="s">
        <v>2504</v>
      </c>
      <c r="M48" s="90">
        <v>1093.0</v>
      </c>
      <c r="N48" s="320">
        <v>0.8756944444444444</v>
      </c>
      <c r="O48" s="30"/>
      <c r="P48" s="29"/>
      <c r="Q48" s="243" t="s">
        <v>2579</v>
      </c>
      <c r="R48" s="30"/>
      <c r="S48" s="30"/>
      <c r="T48" s="30"/>
      <c r="U48" s="30"/>
      <c r="V48" s="30"/>
      <c r="W48" s="30"/>
      <c r="X48" s="30"/>
      <c r="Y48" s="30"/>
      <c r="Z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45397.0</v>
      </c>
      <c r="I49" s="68"/>
      <c r="J49" s="69"/>
      <c r="K49" s="133"/>
      <c r="L49" s="315" t="s">
        <v>20</v>
      </c>
      <c r="M49" s="90">
        <v>50.0</v>
      </c>
      <c r="N49" s="316" t="s">
        <v>3009</v>
      </c>
      <c r="O49" s="30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45397.0</v>
      </c>
      <c r="I50" s="84"/>
      <c r="J50" s="17"/>
      <c r="K50" s="133"/>
      <c r="L50" s="315" t="s">
        <v>20</v>
      </c>
      <c r="M50" s="90">
        <v>550.0</v>
      </c>
      <c r="N50" s="316" t="s">
        <v>3010</v>
      </c>
      <c r="O50" s="30"/>
      <c r="P50" s="29"/>
      <c r="R50" s="30"/>
      <c r="S50" s="30"/>
      <c r="T50" s="30"/>
      <c r="U50" s="30"/>
      <c r="V50" s="30"/>
      <c r="W50" s="30"/>
      <c r="X50" s="30"/>
      <c r="Y50" s="30"/>
      <c r="Z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45397.0</v>
      </c>
      <c r="I51" s="68"/>
      <c r="J51" s="69"/>
      <c r="K51" s="133"/>
      <c r="L51" s="315" t="s">
        <v>20</v>
      </c>
      <c r="M51" s="90">
        <v>550.0</v>
      </c>
      <c r="N51" s="316" t="s">
        <v>3011</v>
      </c>
      <c r="O51" s="30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45397.0</v>
      </c>
      <c r="I52" s="68"/>
      <c r="J52" s="69"/>
      <c r="K52" s="318"/>
      <c r="L52" s="315" t="s">
        <v>2504</v>
      </c>
      <c r="M52" s="90">
        <v>15000.0</v>
      </c>
      <c r="N52" s="316" t="s">
        <v>357</v>
      </c>
      <c r="O52" s="30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45398.0</v>
      </c>
      <c r="I53" s="68"/>
      <c r="J53" s="69"/>
      <c r="K53" s="314"/>
      <c r="L53" s="315" t="s">
        <v>2504</v>
      </c>
      <c r="M53" s="90">
        <v>50000.0</v>
      </c>
      <c r="N53" s="316" t="s">
        <v>812</v>
      </c>
      <c r="O53" s="30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45398.0</v>
      </c>
      <c r="I54" s="84"/>
      <c r="J54" s="17"/>
      <c r="K54" s="133"/>
      <c r="L54" s="315" t="s">
        <v>20</v>
      </c>
      <c r="M54" s="90">
        <v>4.0</v>
      </c>
      <c r="N54" s="316" t="s">
        <v>3012</v>
      </c>
      <c r="O54" s="30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45398.0</v>
      </c>
      <c r="I55" s="68"/>
      <c r="J55" s="69"/>
      <c r="K55" s="318"/>
      <c r="L55" s="315" t="s">
        <v>2393</v>
      </c>
      <c r="M55" s="90">
        <v>1217.0</v>
      </c>
      <c r="N55" s="316" t="s">
        <v>3013</v>
      </c>
      <c r="O55" s="30"/>
      <c r="P55" s="29"/>
      <c r="Q55" s="243" t="s">
        <v>3014</v>
      </c>
      <c r="R55" s="30"/>
      <c r="S55" s="30"/>
      <c r="T55" s="30"/>
      <c r="U55" s="30"/>
      <c r="V55" s="30"/>
      <c r="W55" s="30"/>
      <c r="X55" s="30"/>
      <c r="Y55" s="30"/>
      <c r="Z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45398.0</v>
      </c>
      <c r="I56" s="68"/>
      <c r="J56" s="69"/>
      <c r="K56" s="318"/>
      <c r="L56" s="315" t="s">
        <v>2393</v>
      </c>
      <c r="M56" s="90">
        <v>429.0</v>
      </c>
      <c r="N56" s="316" t="s">
        <v>3015</v>
      </c>
      <c r="O56" s="30"/>
      <c r="P56" s="29"/>
      <c r="Q56" s="243" t="s">
        <v>3016</v>
      </c>
      <c r="R56" s="30"/>
      <c r="S56" s="30"/>
      <c r="T56" s="30"/>
      <c r="U56" s="30"/>
      <c r="V56" s="30"/>
      <c r="W56" s="30"/>
      <c r="X56" s="30"/>
      <c r="Y56" s="30"/>
      <c r="Z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45399.0</v>
      </c>
      <c r="I57" s="68" t="s">
        <v>2972</v>
      </c>
      <c r="J57" s="69">
        <v>50000.0</v>
      </c>
      <c r="K57" s="314" t="s">
        <v>1013</v>
      </c>
      <c r="L57" s="315" t="s">
        <v>2504</v>
      </c>
      <c r="M57" s="90">
        <v>10000.0</v>
      </c>
      <c r="N57" s="320">
        <v>0.7166666666666667</v>
      </c>
      <c r="O57" s="30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45399.0</v>
      </c>
      <c r="I58" s="68"/>
      <c r="J58" s="69"/>
      <c r="K58" s="133"/>
      <c r="L58" s="315" t="s">
        <v>2393</v>
      </c>
      <c r="M58" s="90">
        <v>1199.0</v>
      </c>
      <c r="N58" s="316" t="s">
        <v>3017</v>
      </c>
      <c r="O58" s="30"/>
      <c r="P58" s="29"/>
      <c r="Q58" s="243" t="s">
        <v>3018</v>
      </c>
      <c r="R58" s="30"/>
      <c r="S58" s="30"/>
      <c r="T58" s="30"/>
      <c r="U58" s="30"/>
      <c r="V58" s="30"/>
      <c r="W58" s="30"/>
      <c r="X58" s="30"/>
      <c r="Y58" s="30"/>
      <c r="Z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45400.0</v>
      </c>
      <c r="I59" s="84"/>
      <c r="J59" s="17"/>
      <c r="K59" s="133"/>
      <c r="L59" s="315" t="s">
        <v>2504</v>
      </c>
      <c r="M59" s="90">
        <v>10000.0</v>
      </c>
      <c r="N59" s="320">
        <v>0.45208333333333334</v>
      </c>
      <c r="O59" s="30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45400.0</v>
      </c>
      <c r="I60" s="84"/>
      <c r="J60" s="17"/>
      <c r="K60" s="133"/>
      <c r="L60" s="315" t="s">
        <v>20</v>
      </c>
      <c r="M60" s="90">
        <v>51.5</v>
      </c>
      <c r="N60" s="316" t="s">
        <v>3019</v>
      </c>
      <c r="O60" s="30"/>
      <c r="P60" s="29"/>
      <c r="Q60" s="30">
        <f>SUMIF(I:I, "阿宝5期", J:J)
</f>
        <v>410000</v>
      </c>
      <c r="R60" s="30"/>
      <c r="S60" s="30"/>
      <c r="T60" s="30"/>
      <c r="U60" s="30"/>
      <c r="V60" s="30"/>
      <c r="W60" s="30"/>
      <c r="X60" s="30"/>
      <c r="Y60" s="30"/>
      <c r="Z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45400.0</v>
      </c>
      <c r="I61" s="84"/>
      <c r="J61" s="17"/>
      <c r="K61" s="133"/>
      <c r="L61" s="315" t="s">
        <v>20</v>
      </c>
      <c r="M61" s="90">
        <v>1500.0</v>
      </c>
      <c r="N61" s="316" t="s">
        <v>3020</v>
      </c>
      <c r="O61" s="3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45400.0</v>
      </c>
      <c r="I62" s="68"/>
      <c r="J62" s="69"/>
      <c r="K62" s="318"/>
      <c r="L62" s="315" t="s">
        <v>2504</v>
      </c>
      <c r="M62" s="90">
        <v>20000.0</v>
      </c>
      <c r="N62" s="316" t="s">
        <v>2740</v>
      </c>
      <c r="O62" s="30"/>
      <c r="P62" s="29"/>
      <c r="R62" s="30"/>
      <c r="S62" s="30"/>
      <c r="T62" s="30"/>
      <c r="U62" s="30"/>
      <c r="V62" s="30"/>
      <c r="W62" s="30"/>
      <c r="X62" s="30"/>
      <c r="Y62" s="30"/>
      <c r="Z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45400.0</v>
      </c>
      <c r="I63" s="68"/>
      <c r="J63" s="69"/>
      <c r="K63" s="314"/>
      <c r="L63" s="315" t="s">
        <v>20</v>
      </c>
      <c r="M63" s="90">
        <v>200.0</v>
      </c>
      <c r="N63" s="316" t="s">
        <v>3021</v>
      </c>
      <c r="O63" s="30"/>
      <c r="P63" s="29"/>
      <c r="Q63" s="243"/>
      <c r="R63" s="30"/>
      <c r="S63" s="30"/>
      <c r="T63" s="30"/>
      <c r="U63" s="30"/>
      <c r="V63" s="30"/>
      <c r="W63" s="30"/>
      <c r="X63" s="30"/>
      <c r="Y63" s="30"/>
      <c r="Z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45400.0</v>
      </c>
      <c r="I64" s="84"/>
      <c r="J64" s="17"/>
      <c r="K64" s="133"/>
      <c r="L64" s="315" t="s">
        <v>20</v>
      </c>
      <c r="M64" s="90">
        <v>14.0</v>
      </c>
      <c r="N64" s="316" t="s">
        <v>3022</v>
      </c>
      <c r="O64" s="30"/>
      <c r="P64" s="29"/>
      <c r="Q64" s="243"/>
      <c r="R64" s="30"/>
      <c r="S64" s="30"/>
      <c r="T64" s="30"/>
      <c r="U64" s="30"/>
      <c r="V64" s="30"/>
      <c r="W64" s="30"/>
      <c r="X64" s="30"/>
      <c r="Y64" s="30"/>
      <c r="Z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45400.0</v>
      </c>
      <c r="I65" s="68" t="s">
        <v>2972</v>
      </c>
      <c r="J65" s="69">
        <v>30000.0</v>
      </c>
      <c r="K65" s="314" t="s">
        <v>3023</v>
      </c>
      <c r="L65" s="315" t="s">
        <v>2504</v>
      </c>
      <c r="M65" s="90">
        <v>20000.0</v>
      </c>
      <c r="N65" s="316" t="s">
        <v>3024</v>
      </c>
      <c r="O65" s="30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45400.0</v>
      </c>
      <c r="I66" s="68"/>
      <c r="J66" s="69"/>
      <c r="K66" s="314"/>
      <c r="L66" s="315" t="s">
        <v>2504</v>
      </c>
      <c r="M66" s="90">
        <v>1575.0</v>
      </c>
      <c r="N66" s="316" t="s">
        <v>3025</v>
      </c>
      <c r="O66" s="30"/>
      <c r="P66" s="29"/>
      <c r="R66" s="30"/>
      <c r="S66" s="30"/>
      <c r="T66" s="30"/>
      <c r="U66" s="30"/>
      <c r="V66" s="30"/>
      <c r="W66" s="30"/>
      <c r="X66" s="30"/>
      <c r="Y66" s="30"/>
      <c r="Z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45401.0</v>
      </c>
      <c r="I67" s="68" t="s">
        <v>2972</v>
      </c>
      <c r="J67" s="69">
        <v>30000.0</v>
      </c>
      <c r="K67" s="318">
        <v>0.5770833333333333</v>
      </c>
      <c r="L67" s="315" t="s">
        <v>20</v>
      </c>
      <c r="M67" s="90">
        <v>2369.0</v>
      </c>
      <c r="N67" s="316" t="s">
        <v>3026</v>
      </c>
      <c r="O67" s="30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45401.0</v>
      </c>
      <c r="I68" s="84"/>
      <c r="J68" s="17"/>
      <c r="K68" s="133"/>
      <c r="L68" s="315" t="s">
        <v>20</v>
      </c>
      <c r="M68" s="90">
        <v>377.0</v>
      </c>
      <c r="N68" s="316" t="s">
        <v>3027</v>
      </c>
      <c r="O68" s="30"/>
      <c r="P68" s="29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45401.0</v>
      </c>
      <c r="I69" s="84"/>
      <c r="J69" s="17"/>
      <c r="K69" s="133"/>
      <c r="L69" s="315" t="s">
        <v>2504</v>
      </c>
      <c r="M69" s="90">
        <v>10000.0</v>
      </c>
      <c r="N69" s="316" t="s">
        <v>3028</v>
      </c>
      <c r="O69" s="30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45403.0</v>
      </c>
      <c r="I70" s="68"/>
      <c r="J70" s="69"/>
      <c r="K70" s="133"/>
      <c r="L70" s="315" t="s">
        <v>2504</v>
      </c>
      <c r="M70" s="90">
        <v>20000.0</v>
      </c>
      <c r="N70" s="316" t="s">
        <v>2209</v>
      </c>
      <c r="O70" s="30"/>
      <c r="P70" s="29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45403.0</v>
      </c>
      <c r="I71" s="68"/>
      <c r="J71" s="69"/>
      <c r="K71" s="318"/>
      <c r="L71" s="315" t="s">
        <v>20</v>
      </c>
      <c r="M71" s="90">
        <v>51.5</v>
      </c>
      <c r="N71" s="316" t="s">
        <v>3029</v>
      </c>
      <c r="O71" s="30"/>
      <c r="P71" s="29"/>
      <c r="Q71" s="243"/>
      <c r="R71" s="30"/>
      <c r="S71" s="30"/>
      <c r="T71" s="30"/>
      <c r="U71" s="30"/>
      <c r="V71" s="30"/>
      <c r="W71" s="30"/>
      <c r="X71" s="30"/>
      <c r="Y71" s="30"/>
      <c r="Z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45403.0</v>
      </c>
      <c r="I72" s="68"/>
      <c r="J72" s="69"/>
      <c r="K72" s="133"/>
      <c r="L72" s="315" t="s">
        <v>20</v>
      </c>
      <c r="M72" s="90">
        <v>339.0</v>
      </c>
      <c r="N72" s="316" t="s">
        <v>3030</v>
      </c>
      <c r="O72" s="30"/>
      <c r="P72" s="29"/>
      <c r="R72" s="30"/>
      <c r="S72" s="30"/>
      <c r="T72" s="30"/>
      <c r="U72" s="30"/>
      <c r="V72" s="30"/>
      <c r="W72" s="30"/>
      <c r="X72" s="30"/>
      <c r="Y72" s="30"/>
      <c r="Z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45403.0</v>
      </c>
      <c r="I73" s="154"/>
      <c r="J73" s="17"/>
      <c r="K73" s="328"/>
      <c r="L73" s="315" t="s">
        <v>20</v>
      </c>
      <c r="M73" s="19">
        <v>441.968</v>
      </c>
      <c r="N73" s="316" t="s">
        <v>3031</v>
      </c>
      <c r="O73" s="30"/>
      <c r="P73" s="29"/>
      <c r="Q73" s="243"/>
      <c r="R73" s="30"/>
      <c r="S73" s="30"/>
      <c r="T73" s="30"/>
      <c r="U73" s="30"/>
      <c r="V73" s="30"/>
      <c r="W73" s="30"/>
      <c r="X73" s="30"/>
      <c r="Y73" s="30"/>
      <c r="Z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45403.0</v>
      </c>
      <c r="I74" s="84" t="s">
        <v>2972</v>
      </c>
      <c r="J74" s="17">
        <v>30000.0</v>
      </c>
      <c r="K74" s="328">
        <v>0.7625</v>
      </c>
      <c r="L74" s="315" t="s">
        <v>20</v>
      </c>
      <c r="M74" s="19">
        <v>103.44</v>
      </c>
      <c r="N74" s="316" t="s">
        <v>3032</v>
      </c>
      <c r="O74" s="30"/>
      <c r="P74" s="29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45403.0</v>
      </c>
      <c r="I75" s="68"/>
      <c r="J75" s="69"/>
      <c r="K75" s="318"/>
      <c r="L75" s="315" t="s">
        <v>2504</v>
      </c>
      <c r="M75" s="90">
        <v>5000.0</v>
      </c>
      <c r="N75" s="316" t="s">
        <v>3033</v>
      </c>
      <c r="O75" s="30"/>
      <c r="P75" s="29"/>
      <c r="Q75" s="243" t="s">
        <v>3034</v>
      </c>
      <c r="R75" s="30"/>
      <c r="S75" s="30"/>
      <c r="T75" s="30"/>
      <c r="U75" s="30"/>
      <c r="V75" s="30"/>
      <c r="W75" s="30"/>
      <c r="X75" s="30"/>
      <c r="Y75" s="30"/>
      <c r="Z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45403.0</v>
      </c>
      <c r="I76" s="84"/>
      <c r="J76" s="17"/>
      <c r="K76" s="133"/>
      <c r="L76" s="315" t="s">
        <v>20</v>
      </c>
      <c r="M76" s="90">
        <v>60.0</v>
      </c>
      <c r="N76" s="316" t="s">
        <v>3035</v>
      </c>
      <c r="O76" s="30"/>
      <c r="P76" s="29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45403.0</v>
      </c>
      <c r="I77" s="68"/>
      <c r="J77" s="69"/>
      <c r="K77" s="318"/>
      <c r="L77" s="315" t="s">
        <v>2504</v>
      </c>
      <c r="M77" s="90">
        <v>10000.0</v>
      </c>
      <c r="N77" s="316" t="s">
        <v>2767</v>
      </c>
      <c r="O77" s="30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45403.0</v>
      </c>
      <c r="I78" s="84"/>
      <c r="J78" s="17"/>
      <c r="K78" s="133"/>
      <c r="L78" s="315" t="s">
        <v>2504</v>
      </c>
      <c r="M78" s="90">
        <v>6000.0</v>
      </c>
      <c r="N78" s="320">
        <v>0.9458333333333333</v>
      </c>
      <c r="O78" s="30"/>
      <c r="P78" s="29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45404.0</v>
      </c>
      <c r="I79" s="68"/>
      <c r="J79" s="69"/>
      <c r="K79" s="314"/>
      <c r="L79" s="315" t="s">
        <v>2504</v>
      </c>
      <c r="M79" s="90">
        <v>3764.0</v>
      </c>
      <c r="N79" s="316" t="s">
        <v>3036</v>
      </c>
      <c r="O79" s="30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45404.0</v>
      </c>
      <c r="I80" s="154" t="s">
        <v>2972</v>
      </c>
      <c r="J80" s="17">
        <v>40000.0</v>
      </c>
      <c r="K80" s="326" t="s">
        <v>352</v>
      </c>
      <c r="L80" s="324" t="s">
        <v>2504</v>
      </c>
      <c r="M80" s="19">
        <v>10000.0</v>
      </c>
      <c r="N80" s="327" t="s">
        <v>3037</v>
      </c>
      <c r="O80" s="30"/>
      <c r="P80" s="29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45404.0</v>
      </c>
      <c r="I81" s="154"/>
      <c r="J81" s="17"/>
      <c r="K81" s="326"/>
      <c r="L81" s="315" t="s">
        <v>2504</v>
      </c>
      <c r="M81" s="90">
        <v>20000.0</v>
      </c>
      <c r="N81" s="316" t="s">
        <v>2677</v>
      </c>
      <c r="O81" s="30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45404.0</v>
      </c>
      <c r="I82" s="84"/>
      <c r="J82" s="17"/>
      <c r="K82" s="133"/>
      <c r="L82" s="315" t="s">
        <v>2504</v>
      </c>
      <c r="M82" s="90">
        <v>377.0</v>
      </c>
      <c r="N82" s="320">
        <v>0.7416666666666667</v>
      </c>
      <c r="O82" s="30"/>
      <c r="P82" s="29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45404.0</v>
      </c>
      <c r="I83" s="84"/>
      <c r="J83" s="17"/>
      <c r="K83" s="133"/>
      <c r="L83" s="315" t="s">
        <v>2504</v>
      </c>
      <c r="M83" s="90">
        <v>51.5</v>
      </c>
      <c r="N83" s="320">
        <v>0.7541666666666667</v>
      </c>
      <c r="O83" s="30"/>
      <c r="P83" s="29"/>
      <c r="Q83" s="243"/>
      <c r="R83" s="30"/>
      <c r="S83" s="30"/>
      <c r="T83" s="30"/>
      <c r="U83" s="30"/>
      <c r="V83" s="30"/>
      <c r="W83" s="30"/>
      <c r="X83" s="30"/>
      <c r="Y83" s="30"/>
      <c r="Z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45404.0</v>
      </c>
      <c r="I84" s="68"/>
      <c r="J84" s="69"/>
      <c r="K84" s="314"/>
      <c r="L84" s="315" t="s">
        <v>2504</v>
      </c>
      <c r="M84" s="90">
        <v>9675.0</v>
      </c>
      <c r="N84" s="316" t="s">
        <v>3038</v>
      </c>
      <c r="O84" s="30"/>
      <c r="P84" s="29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45405.0</v>
      </c>
      <c r="I85" s="68" t="s">
        <v>2972</v>
      </c>
      <c r="J85" s="69">
        <v>50000.0</v>
      </c>
      <c r="K85" s="314" t="s">
        <v>352</v>
      </c>
      <c r="L85" s="315" t="s">
        <v>2504</v>
      </c>
      <c r="M85" s="90">
        <v>20000.0</v>
      </c>
      <c r="N85" s="316" t="s">
        <v>2683</v>
      </c>
      <c r="O85" s="30"/>
      <c r="P85" s="29"/>
      <c r="R85" s="30"/>
      <c r="S85" s="30"/>
      <c r="T85" s="30"/>
      <c r="U85" s="30"/>
      <c r="V85" s="30"/>
      <c r="W85" s="30"/>
      <c r="X85" s="30"/>
      <c r="Y85" s="30"/>
      <c r="Z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45405.0</v>
      </c>
      <c r="I86" s="84"/>
      <c r="J86" s="17"/>
      <c r="K86" s="133"/>
      <c r="L86" s="315" t="s">
        <v>2504</v>
      </c>
      <c r="M86" s="90">
        <v>1000.0</v>
      </c>
      <c r="N86" s="316" t="s">
        <v>3039</v>
      </c>
      <c r="O86" s="30"/>
      <c r="P86" s="29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45405.0</v>
      </c>
      <c r="I87" s="84"/>
      <c r="J87" s="17"/>
      <c r="K87" s="133"/>
      <c r="L87" s="315" t="s">
        <v>2504</v>
      </c>
      <c r="M87" s="90">
        <v>20000.0</v>
      </c>
      <c r="N87" s="316" t="s">
        <v>309</v>
      </c>
      <c r="O87" s="30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45405.0</v>
      </c>
      <c r="I88" s="84"/>
      <c r="J88" s="17"/>
      <c r="K88" s="133"/>
      <c r="L88" s="315" t="s">
        <v>2504</v>
      </c>
      <c r="M88" s="90">
        <v>15000.0</v>
      </c>
      <c r="N88" s="316" t="s">
        <v>701</v>
      </c>
      <c r="O88" s="30"/>
      <c r="P88" s="29"/>
      <c r="Q88" s="243"/>
      <c r="R88" s="30"/>
      <c r="S88" s="30"/>
      <c r="T88" s="30"/>
      <c r="U88" s="30"/>
      <c r="V88" s="30"/>
      <c r="W88" s="30"/>
      <c r="X88" s="30"/>
      <c r="Y88" s="30"/>
      <c r="Z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45405.0</v>
      </c>
      <c r="I89" s="68"/>
      <c r="J89" s="69"/>
      <c r="K89" s="314"/>
      <c r="L89" s="315" t="s">
        <v>2504</v>
      </c>
      <c r="M89" s="90">
        <v>1010.0</v>
      </c>
      <c r="N89" s="316" t="s">
        <v>3040</v>
      </c>
      <c r="O89" s="30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45405.0</v>
      </c>
      <c r="I90" s="84"/>
      <c r="J90" s="17"/>
      <c r="K90" s="133"/>
      <c r="L90" s="315" t="s">
        <v>2504</v>
      </c>
      <c r="M90" s="90">
        <v>5000.0</v>
      </c>
      <c r="N90" s="316" t="s">
        <v>3041</v>
      </c>
      <c r="O90" s="30"/>
      <c r="P90" s="29"/>
      <c r="R90" s="30"/>
      <c r="S90" s="30"/>
      <c r="T90" s="30"/>
      <c r="U90" s="30"/>
      <c r="V90" s="30"/>
      <c r="W90" s="30"/>
      <c r="X90" s="30"/>
      <c r="Y90" s="30"/>
      <c r="Z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45406.0</v>
      </c>
      <c r="I91" s="68"/>
      <c r="J91" s="69"/>
      <c r="K91" s="318"/>
      <c r="L91" s="315" t="s">
        <v>2504</v>
      </c>
      <c r="M91" s="90">
        <v>1515.0</v>
      </c>
      <c r="N91" s="316" t="s">
        <v>3042</v>
      </c>
      <c r="O91" s="30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45406.0</v>
      </c>
      <c r="I92" s="84"/>
      <c r="J92" s="17"/>
      <c r="K92" s="133"/>
      <c r="L92" s="315" t="s">
        <v>2504</v>
      </c>
      <c r="M92" s="90">
        <v>10000.0</v>
      </c>
      <c r="N92" s="316" t="s">
        <v>3043</v>
      </c>
      <c r="O92" s="30"/>
      <c r="P92" s="29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45406.0</v>
      </c>
      <c r="I93" s="68" t="s">
        <v>2972</v>
      </c>
      <c r="J93" s="69">
        <v>50000.0</v>
      </c>
      <c r="K93" s="314" t="s">
        <v>3044</v>
      </c>
      <c r="L93" s="315" t="s">
        <v>20</v>
      </c>
      <c r="M93" s="90">
        <v>60.0</v>
      </c>
      <c r="N93" s="316" t="s">
        <v>3045</v>
      </c>
      <c r="O93" s="30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45406.0</v>
      </c>
      <c r="I94" s="84"/>
      <c r="J94" s="17"/>
      <c r="K94" s="133"/>
      <c r="L94" s="315" t="s">
        <v>2504</v>
      </c>
      <c r="M94" s="90">
        <v>1515.0</v>
      </c>
      <c r="N94" s="320">
        <v>0.5715277777777777</v>
      </c>
      <c r="O94" s="30"/>
      <c r="P94" s="29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45406.0</v>
      </c>
      <c r="I95" s="84"/>
      <c r="J95" s="17"/>
      <c r="K95" s="133"/>
      <c r="L95" s="315" t="s">
        <v>2504</v>
      </c>
      <c r="M95" s="90">
        <v>25000.0</v>
      </c>
      <c r="N95" s="316" t="s">
        <v>792</v>
      </c>
      <c r="O95" s="30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45406.0</v>
      </c>
      <c r="I96" s="68"/>
      <c r="J96" s="69"/>
      <c r="K96" s="314"/>
      <c r="L96" s="315" t="s">
        <v>2504</v>
      </c>
      <c r="M96" s="90">
        <v>3030.0</v>
      </c>
      <c r="N96" s="316" t="s">
        <v>3046</v>
      </c>
      <c r="O96" s="30"/>
      <c r="P96" s="29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45406.0</v>
      </c>
      <c r="I97" s="84"/>
      <c r="J97" s="17"/>
      <c r="K97" s="133"/>
      <c r="L97" s="315" t="s">
        <v>20</v>
      </c>
      <c r="M97" s="90">
        <v>51.5</v>
      </c>
      <c r="N97" s="316" t="s">
        <v>3047</v>
      </c>
      <c r="O97" s="30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45406.0</v>
      </c>
      <c r="I98" s="84"/>
      <c r="J98" s="17"/>
      <c r="K98" s="133"/>
      <c r="L98" s="315" t="s">
        <v>2504</v>
      </c>
      <c r="M98" s="90">
        <v>3051.13</v>
      </c>
      <c r="N98" s="316" t="s">
        <v>604</v>
      </c>
      <c r="O98" s="30"/>
      <c r="P98" s="29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45406.0</v>
      </c>
      <c r="I99" s="68"/>
      <c r="J99" s="69"/>
      <c r="K99" s="314"/>
      <c r="L99" s="315" t="s">
        <v>2504</v>
      </c>
      <c r="M99" s="90">
        <v>5250.0</v>
      </c>
      <c r="N99" s="316" t="s">
        <v>626</v>
      </c>
      <c r="O99" s="30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45406.0</v>
      </c>
      <c r="I100" s="84"/>
      <c r="J100" s="17"/>
      <c r="K100" s="133"/>
      <c r="L100" s="315" t="s">
        <v>2504</v>
      </c>
      <c r="M100" s="90">
        <v>2020.0</v>
      </c>
      <c r="N100" s="316" t="s">
        <v>971</v>
      </c>
      <c r="O100" s="30"/>
      <c r="P100" s="29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45406.0</v>
      </c>
      <c r="I101" s="68"/>
      <c r="J101" s="69"/>
      <c r="K101" s="314"/>
      <c r="L101" s="315" t="s">
        <v>2504</v>
      </c>
      <c r="M101" s="90">
        <v>6300.0</v>
      </c>
      <c r="N101" s="320">
        <v>0.8819444444444444</v>
      </c>
      <c r="O101" s="30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45407.0</v>
      </c>
      <c r="I102" s="84"/>
      <c r="J102" s="17"/>
      <c r="K102" s="133"/>
      <c r="L102" s="315" t="s">
        <v>2504</v>
      </c>
      <c r="M102" s="90">
        <v>3030.0</v>
      </c>
      <c r="N102" s="316" t="s">
        <v>3048</v>
      </c>
      <c r="O102" s="30"/>
      <c r="P102" s="29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45407.0</v>
      </c>
      <c r="I103" s="154"/>
      <c r="J103" s="17"/>
      <c r="K103" s="328"/>
      <c r="L103" s="324" t="s">
        <v>2504</v>
      </c>
      <c r="M103" s="19">
        <v>1300.0</v>
      </c>
      <c r="N103" s="327" t="s">
        <v>3049</v>
      </c>
      <c r="O103" s="30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45407.0</v>
      </c>
      <c r="I104" s="84" t="s">
        <v>2972</v>
      </c>
      <c r="J104" s="17">
        <v>50000.0</v>
      </c>
      <c r="K104" s="328">
        <v>0.61875</v>
      </c>
      <c r="L104" s="324" t="s">
        <v>2504</v>
      </c>
      <c r="M104" s="19">
        <v>5000.0</v>
      </c>
      <c r="N104" s="327" t="s">
        <v>2526</v>
      </c>
      <c r="O104" s="30"/>
      <c r="P104" s="29"/>
      <c r="Q104" s="208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45407.0</v>
      </c>
      <c r="I105" s="154"/>
      <c r="J105" s="17"/>
      <c r="K105" s="328"/>
      <c r="L105" s="324" t="s">
        <v>2504</v>
      </c>
      <c r="M105" s="19">
        <v>15000.0</v>
      </c>
      <c r="N105" s="327" t="s">
        <v>3050</v>
      </c>
      <c r="O105" s="30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45407.0</v>
      </c>
      <c r="I106" s="154"/>
      <c r="J106" s="17"/>
      <c r="K106" s="328"/>
      <c r="L106" s="315" t="s">
        <v>20</v>
      </c>
      <c r="M106" s="19">
        <v>51.5</v>
      </c>
      <c r="N106" s="316" t="s">
        <v>3051</v>
      </c>
      <c r="O106" s="30"/>
      <c r="P106" s="29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45407.0</v>
      </c>
      <c r="I107" s="84"/>
      <c r="J107" s="17"/>
      <c r="K107" s="328"/>
      <c r="L107" s="324" t="s">
        <v>2504</v>
      </c>
      <c r="M107" s="19">
        <v>2525.0</v>
      </c>
      <c r="N107" s="331" t="s">
        <v>3052</v>
      </c>
      <c r="O107" s="30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45407.0</v>
      </c>
      <c r="I108" s="84"/>
      <c r="J108" s="17"/>
      <c r="K108" s="133"/>
      <c r="L108" s="315" t="s">
        <v>2393</v>
      </c>
      <c r="M108" s="90">
        <v>1362.0</v>
      </c>
      <c r="N108" s="333" t="s">
        <v>3053</v>
      </c>
      <c r="O108" s="30"/>
      <c r="P108" s="29"/>
      <c r="Q108" s="243" t="s">
        <v>3054</v>
      </c>
      <c r="R108" s="30"/>
      <c r="S108" s="30"/>
      <c r="T108" s="30"/>
      <c r="U108" s="30"/>
      <c r="V108" s="30"/>
      <c r="W108" s="30"/>
      <c r="X108" s="30"/>
      <c r="Y108" s="30"/>
      <c r="Z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45408.0</v>
      </c>
      <c r="I109" s="68"/>
      <c r="J109" s="69"/>
      <c r="K109" s="314"/>
      <c r="L109" s="315" t="s">
        <v>2504</v>
      </c>
      <c r="M109" s="90">
        <v>2020.0</v>
      </c>
      <c r="N109" s="316" t="s">
        <v>2979</v>
      </c>
      <c r="O109" s="30"/>
      <c r="P109" s="29"/>
      <c r="T109" s="30"/>
      <c r="U109" s="30"/>
      <c r="V109" s="30"/>
      <c r="W109" s="30"/>
      <c r="X109" s="30"/>
      <c r="Y109" s="30"/>
      <c r="Z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45408.0</v>
      </c>
      <c r="I110" s="84"/>
      <c r="J110" s="17"/>
      <c r="K110" s="133"/>
      <c r="L110" s="315" t="s">
        <v>2504</v>
      </c>
      <c r="M110" s="90">
        <v>6000.0</v>
      </c>
      <c r="N110" s="316" t="s">
        <v>2537</v>
      </c>
      <c r="O110" s="30"/>
      <c r="P110" s="29"/>
      <c r="T110" s="30"/>
      <c r="U110" s="30"/>
      <c r="V110" s="30"/>
      <c r="W110" s="30"/>
      <c r="X110" s="30"/>
      <c r="Y110" s="30"/>
      <c r="Z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45408.0</v>
      </c>
      <c r="I111" s="68" t="s">
        <v>2972</v>
      </c>
      <c r="J111" s="69">
        <v>50000.0</v>
      </c>
      <c r="K111" s="314" t="s">
        <v>3055</v>
      </c>
      <c r="L111" s="315" t="s">
        <v>2504</v>
      </c>
      <c r="M111" s="90">
        <v>40000.0</v>
      </c>
      <c r="N111" s="316" t="s">
        <v>3056</v>
      </c>
      <c r="O111" s="30"/>
      <c r="P111" s="29"/>
      <c r="T111" s="30"/>
      <c r="U111" s="30"/>
      <c r="V111" s="30"/>
      <c r="W111" s="30"/>
      <c r="X111" s="30"/>
      <c r="Y111" s="30"/>
      <c r="Z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45408.0</v>
      </c>
      <c r="I112" s="84"/>
      <c r="J112" s="17"/>
      <c r="K112" s="133"/>
      <c r="L112" s="315" t="s">
        <v>2504</v>
      </c>
      <c r="M112" s="90">
        <v>1050.0</v>
      </c>
      <c r="N112" s="316" t="s">
        <v>3057</v>
      </c>
      <c r="O112" s="30"/>
      <c r="P112" s="29"/>
      <c r="T112" s="30"/>
      <c r="U112" s="30"/>
      <c r="V112" s="30"/>
      <c r="W112" s="30"/>
      <c r="X112" s="30"/>
      <c r="Y112" s="30"/>
      <c r="Z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45409.0</v>
      </c>
      <c r="I113" s="68" t="s">
        <v>2973</v>
      </c>
      <c r="J113" s="69">
        <v>20000.0</v>
      </c>
      <c r="K113" s="314" t="s">
        <v>357</v>
      </c>
      <c r="L113" s="315" t="s">
        <v>2504</v>
      </c>
      <c r="M113" s="90">
        <v>6000.0</v>
      </c>
      <c r="N113" s="320">
        <v>0.9368055555555556</v>
      </c>
      <c r="O113" s="30"/>
      <c r="P113" s="29"/>
      <c r="T113" s="30"/>
      <c r="U113" s="30"/>
      <c r="V113" s="30"/>
      <c r="W113" s="30"/>
      <c r="X113" s="30"/>
      <c r="Y113" s="30"/>
      <c r="Z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45410.0</v>
      </c>
      <c r="I114" s="68" t="s">
        <v>2973</v>
      </c>
      <c r="J114" s="69">
        <v>10000.0</v>
      </c>
      <c r="K114" s="314" t="s">
        <v>3058</v>
      </c>
      <c r="L114" s="315" t="s">
        <v>2504</v>
      </c>
      <c r="M114" s="90">
        <v>3991.61</v>
      </c>
      <c r="N114" s="316" t="s">
        <v>3059</v>
      </c>
      <c r="O114" s="30"/>
      <c r="P114" s="29"/>
      <c r="T114" s="30"/>
      <c r="U114" s="30"/>
      <c r="V114" s="30"/>
      <c r="W114" s="30"/>
      <c r="X114" s="30"/>
      <c r="Y114" s="30"/>
      <c r="Z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45410.0</v>
      </c>
      <c r="I115" s="84"/>
      <c r="J115" s="17"/>
      <c r="K115" s="133"/>
      <c r="L115" s="315" t="s">
        <v>2504</v>
      </c>
      <c r="M115" s="90">
        <v>30000.0</v>
      </c>
      <c r="N115" s="316" t="s">
        <v>528</v>
      </c>
      <c r="O115" s="30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45410.0</v>
      </c>
      <c r="I116" s="68" t="s">
        <v>2973</v>
      </c>
      <c r="J116" s="69">
        <v>5000.0</v>
      </c>
      <c r="K116" s="314" t="s">
        <v>680</v>
      </c>
      <c r="L116" s="315" t="s">
        <v>20</v>
      </c>
      <c r="M116" s="90">
        <v>51.5</v>
      </c>
      <c r="N116" s="316" t="s">
        <v>3060</v>
      </c>
      <c r="O116" s="30"/>
      <c r="P116" s="29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45410.0</v>
      </c>
      <c r="I117" s="84"/>
      <c r="J117" s="17"/>
      <c r="K117" s="133"/>
      <c r="L117" s="315" t="s">
        <v>2504</v>
      </c>
      <c r="M117" s="90">
        <v>3030.0</v>
      </c>
      <c r="N117" s="316" t="s">
        <v>697</v>
      </c>
      <c r="O117" s="30"/>
      <c r="P117" s="29"/>
      <c r="Q117" s="30">
        <f>SUMIF(I:I,"阿特",J:J)</f>
        <v>167000</v>
      </c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45410.0</v>
      </c>
      <c r="I118" s="84"/>
      <c r="J118" s="17"/>
      <c r="K118" s="133"/>
      <c r="L118" s="315" t="s">
        <v>2504</v>
      </c>
      <c r="M118" s="90">
        <v>18000.0</v>
      </c>
      <c r="N118" s="316" t="s">
        <v>1160</v>
      </c>
      <c r="O118" s="30"/>
      <c r="P118" s="29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45410.0</v>
      </c>
      <c r="I119" s="68" t="s">
        <v>2973</v>
      </c>
      <c r="J119" s="69">
        <v>9000.0</v>
      </c>
      <c r="K119" s="314" t="s">
        <v>2211</v>
      </c>
      <c r="L119" s="315" t="s">
        <v>2504</v>
      </c>
      <c r="M119" s="90">
        <v>3030.0</v>
      </c>
      <c r="N119" s="316" t="s">
        <v>788</v>
      </c>
      <c r="O119" s="30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45410.0</v>
      </c>
      <c r="I120" s="84"/>
      <c r="J120" s="17"/>
      <c r="K120" s="133"/>
      <c r="L120" s="315" t="s">
        <v>2504</v>
      </c>
      <c r="M120" s="90">
        <v>5003.0</v>
      </c>
      <c r="N120" s="316" t="s">
        <v>2757</v>
      </c>
      <c r="O120" s="30"/>
      <c r="P120" s="29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45410.0</v>
      </c>
      <c r="I121" s="68" t="s">
        <v>1841</v>
      </c>
      <c r="J121" s="69">
        <v>5000.0</v>
      </c>
      <c r="K121" s="314" t="s">
        <v>3061</v>
      </c>
      <c r="L121" s="315" t="s">
        <v>2504</v>
      </c>
      <c r="M121" s="90">
        <v>2525.0</v>
      </c>
      <c r="N121" s="320">
        <v>0.9465277777777777</v>
      </c>
      <c r="O121" s="30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45411.0</v>
      </c>
      <c r="I122" s="84"/>
      <c r="J122" s="17"/>
      <c r="K122" s="133"/>
      <c r="L122" s="315" t="s">
        <v>2504</v>
      </c>
      <c r="M122" s="90">
        <v>4300.0</v>
      </c>
      <c r="N122" s="316" t="s">
        <v>2676</v>
      </c>
      <c r="O122" s="30"/>
      <c r="P122" s="29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45411.0</v>
      </c>
      <c r="I123" s="68" t="s">
        <v>1841</v>
      </c>
      <c r="J123" s="69">
        <v>10000.0</v>
      </c>
      <c r="K123" s="314" t="s">
        <v>2333</v>
      </c>
      <c r="L123" s="315" t="s">
        <v>2504</v>
      </c>
      <c r="M123" s="90">
        <v>2100.0</v>
      </c>
      <c r="N123" s="316" t="s">
        <v>3062</v>
      </c>
      <c r="O123" s="30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45411.0</v>
      </c>
      <c r="I124" s="68" t="s">
        <v>2973</v>
      </c>
      <c r="J124" s="69">
        <v>19665.0</v>
      </c>
      <c r="K124" s="314" t="s">
        <v>494</v>
      </c>
      <c r="L124" s="315" t="s">
        <v>2504</v>
      </c>
      <c r="M124" s="90">
        <v>7000.0</v>
      </c>
      <c r="N124" s="316" t="s">
        <v>3063</v>
      </c>
      <c r="O124" s="30"/>
      <c r="P124" s="29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45411.0</v>
      </c>
      <c r="I125" s="84"/>
      <c r="J125" s="17"/>
      <c r="K125" s="133"/>
      <c r="L125" s="315" t="s">
        <v>2504</v>
      </c>
      <c r="M125" s="90">
        <v>20000.0</v>
      </c>
      <c r="N125" s="316" t="s">
        <v>2745</v>
      </c>
      <c r="O125" s="30"/>
      <c r="P125" s="29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45411.0</v>
      </c>
      <c r="I126" s="84"/>
      <c r="J126" s="17"/>
      <c r="K126" s="133"/>
      <c r="L126" s="315" t="s">
        <v>20</v>
      </c>
      <c r="M126" s="90">
        <v>51.5</v>
      </c>
      <c r="N126" s="316" t="s">
        <v>3064</v>
      </c>
      <c r="O126" s="30"/>
      <c r="P126" s="29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45411.0</v>
      </c>
      <c r="I127" s="68" t="s">
        <v>1841</v>
      </c>
      <c r="J127" s="69">
        <v>5000.0</v>
      </c>
      <c r="K127" s="318">
        <v>0.7083333333333334</v>
      </c>
      <c r="L127" s="315" t="s">
        <v>2504</v>
      </c>
      <c r="M127" s="90">
        <v>2020.0</v>
      </c>
      <c r="N127" s="316" t="s">
        <v>454</v>
      </c>
      <c r="O127" s="30"/>
      <c r="P127" s="29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45411.0</v>
      </c>
      <c r="I128" s="84"/>
      <c r="J128" s="17"/>
      <c r="K128" s="133"/>
      <c r="L128" s="315" t="s">
        <v>2504</v>
      </c>
      <c r="M128" s="90">
        <v>2100.0</v>
      </c>
      <c r="N128" s="316" t="s">
        <v>697</v>
      </c>
      <c r="O128" s="30"/>
      <c r="P128" s="29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45411.0</v>
      </c>
      <c r="I129" s="68" t="s">
        <v>2973</v>
      </c>
      <c r="J129" s="69">
        <f>30000+10000+335</f>
        <v>40335</v>
      </c>
      <c r="K129" s="318">
        <v>0.8604166666666667</v>
      </c>
      <c r="L129" s="315" t="s">
        <v>2504</v>
      </c>
      <c r="M129" s="90">
        <v>30000.0</v>
      </c>
      <c r="N129" s="320">
        <v>0.8680555555555556</v>
      </c>
      <c r="O129" s="30"/>
      <c r="P129" s="29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45411.0</v>
      </c>
      <c r="I130" s="84"/>
      <c r="J130" s="17"/>
      <c r="K130" s="133"/>
      <c r="L130" s="315" t="s">
        <v>2504</v>
      </c>
      <c r="M130" s="90">
        <v>4040.0</v>
      </c>
      <c r="N130" s="320">
        <v>0.8736111111111111</v>
      </c>
      <c r="O130" s="30"/>
      <c r="P130" s="29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45411.0</v>
      </c>
      <c r="I131" s="68" t="s">
        <v>2973</v>
      </c>
      <c r="J131" s="69">
        <v>30000.0</v>
      </c>
      <c r="K131" s="318">
        <v>0.9104166666666667</v>
      </c>
      <c r="L131" s="315" t="s">
        <v>2504</v>
      </c>
      <c r="M131" s="90">
        <v>30000.0</v>
      </c>
      <c r="N131" s="320">
        <v>0.9236111111111112</v>
      </c>
      <c r="O131" s="30"/>
      <c r="P131" s="29"/>
      <c r="Q131" s="243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45412.0</v>
      </c>
      <c r="I132" s="84"/>
      <c r="J132" s="17"/>
      <c r="K132" s="133"/>
      <c r="L132" s="315" t="s">
        <v>20</v>
      </c>
      <c r="M132" s="90">
        <v>51.5</v>
      </c>
      <c r="N132" s="316" t="s">
        <v>3065</v>
      </c>
      <c r="O132" s="30"/>
      <c r="P132" s="29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45412.0</v>
      </c>
      <c r="I133" s="68" t="s">
        <v>2973</v>
      </c>
      <c r="J133" s="69">
        <v>21000.0</v>
      </c>
      <c r="K133" s="314" t="s">
        <v>3066</v>
      </c>
      <c r="L133" s="315" t="s">
        <v>2504</v>
      </c>
      <c r="M133" s="90">
        <v>10000.0</v>
      </c>
      <c r="N133" s="316" t="s">
        <v>2210</v>
      </c>
      <c r="O133" s="30"/>
      <c r="P133" s="29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45412.0</v>
      </c>
      <c r="I134" s="68" t="s">
        <v>2973</v>
      </c>
      <c r="J134" s="69">
        <v>12000.0</v>
      </c>
      <c r="K134" s="314" t="s">
        <v>292</v>
      </c>
      <c r="L134" s="315" t="s">
        <v>2504</v>
      </c>
      <c r="M134" s="90">
        <v>30000.0</v>
      </c>
      <c r="N134" s="316" t="s">
        <v>2318</v>
      </c>
      <c r="O134" s="30"/>
      <c r="P134" s="29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45415.0</v>
      </c>
      <c r="I135" s="84"/>
      <c r="J135" s="17"/>
      <c r="K135" s="133"/>
      <c r="L135" s="315" t="s">
        <v>2393</v>
      </c>
      <c r="M135" s="90">
        <v>1636.0</v>
      </c>
      <c r="N135" s="316" t="s">
        <v>2997</v>
      </c>
      <c r="O135" s="30"/>
      <c r="P135" s="29"/>
      <c r="Q135" s="243" t="s">
        <v>3067</v>
      </c>
      <c r="R135" s="30"/>
      <c r="S135" s="30"/>
      <c r="T135" s="30"/>
      <c r="U135" s="30"/>
      <c r="V135" s="30"/>
      <c r="W135" s="30"/>
      <c r="X135" s="30"/>
      <c r="Y135" s="30"/>
      <c r="Z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/>
      <c r="I136" s="68"/>
      <c r="J136" s="69"/>
      <c r="K136" s="314"/>
      <c r="L136" s="315"/>
      <c r="M136" s="90"/>
      <c r="N136" s="316"/>
      <c r="O136" s="30"/>
      <c r="P136" s="29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/>
      <c r="I137" s="84"/>
      <c r="J137" s="17"/>
      <c r="K137" s="133"/>
      <c r="L137" s="315"/>
      <c r="M137" s="90"/>
      <c r="N137" s="320"/>
      <c r="O137" s="30"/>
      <c r="P137" s="29"/>
      <c r="Q137" s="243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/>
      <c r="I138" s="84"/>
      <c r="J138" s="17"/>
      <c r="K138" s="133"/>
      <c r="L138" s="315"/>
      <c r="M138" s="90"/>
      <c r="N138" s="316"/>
      <c r="O138" s="30"/>
      <c r="P138" s="29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/>
      <c r="I139" s="84"/>
      <c r="J139" s="17"/>
      <c r="K139" s="133"/>
      <c r="L139" s="315"/>
      <c r="M139" s="90"/>
      <c r="N139" s="316"/>
      <c r="O139" s="30"/>
      <c r="P139" s="29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/>
      <c r="I140" s="68"/>
      <c r="J140" s="69"/>
      <c r="K140" s="314"/>
      <c r="L140" s="315"/>
      <c r="M140" s="90"/>
      <c r="N140" s="316"/>
      <c r="O140" s="30"/>
      <c r="P140" s="29"/>
      <c r="Q140" s="243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30"/>
      <c r="I141" s="84"/>
      <c r="J141" s="17"/>
      <c r="K141" s="133"/>
      <c r="L141" s="135"/>
      <c r="M141" s="19"/>
      <c r="N141" s="131"/>
      <c r="O141" s="30"/>
      <c r="P141" s="29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30"/>
      <c r="I142" s="84"/>
      <c r="J142" s="17"/>
      <c r="K142" s="133"/>
      <c r="L142" s="135"/>
      <c r="M142" s="19"/>
      <c r="N142" s="131"/>
      <c r="O142" s="30"/>
      <c r="P142" s="29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30"/>
      <c r="I143" s="84"/>
      <c r="J143" s="17"/>
      <c r="K143" s="133"/>
      <c r="L143" s="135"/>
      <c r="M143" s="19"/>
      <c r="N143" s="131"/>
      <c r="O143" s="30"/>
      <c r="P143" s="29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30"/>
      <c r="I144" s="84"/>
      <c r="J144" s="17"/>
      <c r="K144" s="133"/>
      <c r="L144" s="135"/>
      <c r="M144" s="19"/>
      <c r="N144" s="131"/>
      <c r="O144" s="30"/>
      <c r="P144" s="29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30"/>
      <c r="I145" s="84"/>
      <c r="J145" s="17"/>
      <c r="K145" s="133"/>
      <c r="L145" s="135"/>
      <c r="M145" s="19"/>
      <c r="N145" s="131"/>
      <c r="O145" s="30"/>
      <c r="P145" s="29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30"/>
      <c r="I146" s="84"/>
      <c r="J146" s="17"/>
      <c r="K146" s="133"/>
      <c r="L146" s="135"/>
      <c r="M146" s="19"/>
      <c r="N146" s="131"/>
      <c r="O146" s="30"/>
      <c r="P146" s="29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30"/>
      <c r="I147" s="84"/>
      <c r="J147" s="17"/>
      <c r="K147" s="133"/>
      <c r="L147" s="135"/>
      <c r="M147" s="19"/>
      <c r="N147" s="131"/>
      <c r="O147" s="30"/>
      <c r="P147" s="29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30"/>
      <c r="I148" s="84"/>
      <c r="J148" s="17"/>
      <c r="K148" s="133"/>
      <c r="L148" s="135"/>
      <c r="M148" s="19"/>
      <c r="N148" s="131"/>
      <c r="O148" s="30"/>
      <c r="P148" s="29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30"/>
      <c r="I149" s="84"/>
      <c r="J149" s="17"/>
      <c r="K149" s="133"/>
      <c r="L149" s="135"/>
      <c r="M149" s="19"/>
      <c r="N149" s="131"/>
      <c r="O149" s="30"/>
      <c r="P149" s="29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30"/>
      <c r="I150" s="84"/>
      <c r="J150" s="17"/>
      <c r="K150" s="133"/>
      <c r="L150" s="135"/>
      <c r="M150" s="19"/>
      <c r="N150" s="131"/>
      <c r="O150" s="30"/>
      <c r="P150" s="29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30"/>
      <c r="I151" s="84"/>
      <c r="J151" s="17"/>
      <c r="K151" s="133"/>
      <c r="L151" s="135"/>
      <c r="M151" s="19"/>
      <c r="N151" s="131"/>
      <c r="O151" s="30"/>
      <c r="P151" s="29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30"/>
      <c r="I152" s="84"/>
      <c r="J152" s="17"/>
      <c r="K152" s="133"/>
      <c r="L152" s="135"/>
      <c r="M152" s="19"/>
      <c r="N152" s="131"/>
      <c r="O152" s="30"/>
      <c r="P152" s="29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30"/>
      <c r="I153" s="84"/>
      <c r="J153" s="17"/>
      <c r="K153" s="133"/>
      <c r="L153" s="135"/>
      <c r="M153" s="19"/>
      <c r="N153" s="131"/>
      <c r="O153" s="30"/>
      <c r="P153" s="29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30"/>
      <c r="I154" s="84"/>
      <c r="J154" s="17"/>
      <c r="K154" s="133"/>
      <c r="L154" s="135"/>
      <c r="M154" s="19"/>
      <c r="N154" s="131"/>
      <c r="O154" s="30"/>
      <c r="P154" s="29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30"/>
      <c r="I155" s="84"/>
      <c r="J155" s="17"/>
      <c r="K155" s="133"/>
      <c r="L155" s="135"/>
      <c r="M155" s="19"/>
      <c r="N155" s="131"/>
      <c r="O155" s="30"/>
      <c r="P155" s="29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30"/>
      <c r="I156" s="84"/>
      <c r="J156" s="17"/>
      <c r="K156" s="133"/>
      <c r="L156" s="135"/>
      <c r="M156" s="19"/>
      <c r="N156" s="131"/>
      <c r="O156" s="30"/>
      <c r="P156" s="29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30"/>
      <c r="I157" s="84"/>
      <c r="J157" s="17"/>
      <c r="K157" s="133"/>
      <c r="L157" s="135"/>
      <c r="M157" s="19"/>
      <c r="N157" s="131"/>
      <c r="O157" s="30"/>
      <c r="P157" s="29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30"/>
      <c r="I158" s="84"/>
      <c r="J158" s="17"/>
      <c r="K158" s="133"/>
      <c r="L158" s="135"/>
      <c r="M158" s="19"/>
      <c r="N158" s="131"/>
      <c r="O158" s="30"/>
      <c r="P158" s="29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30"/>
      <c r="I159" s="84"/>
      <c r="J159" s="17"/>
      <c r="K159" s="133"/>
      <c r="L159" s="135"/>
      <c r="M159" s="19"/>
      <c r="N159" s="131"/>
      <c r="O159" s="30"/>
      <c r="P159" s="29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30"/>
      <c r="I160" s="84"/>
      <c r="J160" s="17"/>
      <c r="K160" s="133"/>
      <c r="L160" s="135"/>
      <c r="M160" s="19"/>
      <c r="N160" s="131"/>
      <c r="O160" s="30"/>
      <c r="P160" s="29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30"/>
      <c r="I161" s="84"/>
      <c r="J161" s="17"/>
      <c r="K161" s="133"/>
      <c r="L161" s="135"/>
      <c r="M161" s="19"/>
      <c r="N161" s="131"/>
      <c r="O161" s="30"/>
      <c r="P161" s="29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30"/>
      <c r="I162" s="84"/>
      <c r="J162" s="17"/>
      <c r="K162" s="133"/>
      <c r="L162" s="135"/>
      <c r="M162" s="19"/>
      <c r="N162" s="131"/>
      <c r="O162" s="30"/>
      <c r="P162" s="29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30"/>
      <c r="I163" s="84"/>
      <c r="J163" s="17"/>
      <c r="K163" s="133"/>
      <c r="L163" s="135"/>
      <c r="M163" s="19"/>
      <c r="N163" s="131"/>
      <c r="O163" s="30"/>
      <c r="P163" s="29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30"/>
      <c r="I164" s="84"/>
      <c r="J164" s="17"/>
      <c r="K164" s="133"/>
      <c r="L164" s="135"/>
      <c r="M164" s="19"/>
      <c r="N164" s="131"/>
      <c r="O164" s="30"/>
      <c r="P164" s="29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30"/>
      <c r="I165" s="84"/>
      <c r="J165" s="17"/>
      <c r="K165" s="133"/>
      <c r="L165" s="135"/>
      <c r="M165" s="19"/>
      <c r="N165" s="131"/>
      <c r="O165" s="30"/>
      <c r="P165" s="29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30"/>
      <c r="I166" s="84"/>
      <c r="J166" s="17"/>
      <c r="K166" s="133"/>
      <c r="L166" s="135"/>
      <c r="M166" s="19"/>
      <c r="N166" s="131"/>
      <c r="O166" s="30"/>
      <c r="P166" s="29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30"/>
      <c r="I167" s="84"/>
      <c r="J167" s="17"/>
      <c r="K167" s="133"/>
      <c r="L167" s="135"/>
      <c r="M167" s="19"/>
      <c r="N167" s="131"/>
      <c r="O167" s="30"/>
      <c r="P167" s="29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30"/>
      <c r="I168" s="84"/>
      <c r="J168" s="17"/>
      <c r="K168" s="133"/>
      <c r="L168" s="135"/>
      <c r="M168" s="19"/>
      <c r="N168" s="131"/>
      <c r="O168" s="30"/>
      <c r="P168" s="29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30"/>
      <c r="I169" s="84"/>
      <c r="J169" s="17"/>
      <c r="K169" s="133"/>
      <c r="L169" s="135"/>
      <c r="M169" s="19"/>
      <c r="N169" s="131"/>
      <c r="O169" s="30"/>
      <c r="P169" s="29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30"/>
      <c r="I170" s="84"/>
      <c r="J170" s="17"/>
      <c r="K170" s="133"/>
      <c r="L170" s="135"/>
      <c r="M170" s="19"/>
      <c r="N170" s="131"/>
      <c r="O170" s="30"/>
      <c r="P170" s="29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30"/>
      <c r="I171" s="84"/>
      <c r="J171" s="17"/>
      <c r="K171" s="133"/>
      <c r="L171" s="135"/>
      <c r="M171" s="19"/>
      <c r="N171" s="131"/>
      <c r="O171" s="30"/>
      <c r="P171" s="29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30"/>
      <c r="I172" s="84"/>
      <c r="J172" s="17"/>
      <c r="K172" s="133"/>
      <c r="L172" s="135"/>
      <c r="M172" s="19"/>
      <c r="N172" s="131"/>
      <c r="O172" s="30"/>
      <c r="P172" s="29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30"/>
      <c r="I173" s="84"/>
      <c r="J173" s="17"/>
      <c r="K173" s="133"/>
      <c r="L173" s="135"/>
      <c r="M173" s="19"/>
      <c r="N173" s="131"/>
      <c r="O173" s="30"/>
      <c r="P173" s="29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30"/>
      <c r="I174" s="84"/>
      <c r="J174" s="17"/>
      <c r="K174" s="133"/>
      <c r="L174" s="135"/>
      <c r="M174" s="19"/>
      <c r="N174" s="131"/>
      <c r="O174" s="30"/>
      <c r="P174" s="29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30"/>
      <c r="I175" s="84"/>
      <c r="J175" s="17"/>
      <c r="K175" s="133"/>
      <c r="L175" s="135"/>
      <c r="M175" s="19"/>
      <c r="N175" s="131"/>
      <c r="O175" s="30"/>
      <c r="P175" s="29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30"/>
      <c r="I176" s="84"/>
      <c r="J176" s="17"/>
      <c r="K176" s="133"/>
      <c r="L176" s="135"/>
      <c r="M176" s="19"/>
      <c r="N176" s="131"/>
      <c r="O176" s="30"/>
      <c r="P176" s="29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30"/>
      <c r="I177" s="84"/>
      <c r="J177" s="17"/>
      <c r="K177" s="133"/>
      <c r="L177" s="135"/>
      <c r="M177" s="19"/>
      <c r="N177" s="131"/>
      <c r="O177" s="30"/>
      <c r="P177" s="29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30"/>
      <c r="I178" s="84"/>
      <c r="J178" s="17"/>
      <c r="K178" s="133"/>
      <c r="L178" s="135"/>
      <c r="M178" s="19"/>
      <c r="N178" s="131"/>
      <c r="O178" s="30"/>
      <c r="P178" s="29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30"/>
      <c r="I179" s="84"/>
      <c r="J179" s="17"/>
      <c r="K179" s="133"/>
      <c r="L179" s="135"/>
      <c r="M179" s="19"/>
      <c r="N179" s="131"/>
      <c r="O179" s="30"/>
      <c r="P179" s="29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30"/>
      <c r="I180" s="84"/>
      <c r="J180" s="17"/>
      <c r="K180" s="133"/>
      <c r="L180" s="135"/>
      <c r="M180" s="19"/>
      <c r="N180" s="131"/>
      <c r="O180" s="30"/>
      <c r="P180" s="29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30"/>
      <c r="I181" s="84"/>
      <c r="J181" s="17"/>
      <c r="K181" s="133"/>
      <c r="L181" s="135"/>
      <c r="M181" s="19"/>
      <c r="N181" s="131"/>
      <c r="O181" s="30"/>
      <c r="P181" s="29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30"/>
      <c r="I182" s="84"/>
      <c r="J182" s="17"/>
      <c r="K182" s="133"/>
      <c r="L182" s="135"/>
      <c r="M182" s="19"/>
      <c r="N182" s="131"/>
      <c r="O182" s="30"/>
      <c r="P182" s="29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30"/>
      <c r="I183" s="84"/>
      <c r="J183" s="17"/>
      <c r="K183" s="133"/>
      <c r="L183" s="135"/>
      <c r="M183" s="19"/>
      <c r="N183" s="131"/>
      <c r="O183" s="30"/>
      <c r="P183" s="29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30"/>
      <c r="I184" s="84"/>
      <c r="J184" s="17"/>
      <c r="K184" s="133"/>
      <c r="L184" s="135"/>
      <c r="M184" s="19"/>
      <c r="N184" s="131"/>
      <c r="O184" s="30"/>
      <c r="P184" s="29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30"/>
      <c r="I185" s="84"/>
      <c r="J185" s="17"/>
      <c r="K185" s="133"/>
      <c r="L185" s="135"/>
      <c r="M185" s="19"/>
      <c r="N185" s="131"/>
      <c r="O185" s="30"/>
      <c r="P185" s="29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30"/>
      <c r="I186" s="84"/>
      <c r="J186" s="17"/>
      <c r="K186" s="133"/>
      <c r="L186" s="135"/>
      <c r="M186" s="19"/>
      <c r="N186" s="131"/>
      <c r="O186" s="30"/>
      <c r="P186" s="29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30"/>
      <c r="I187" s="84"/>
      <c r="J187" s="17"/>
      <c r="K187" s="133"/>
      <c r="L187" s="135"/>
      <c r="M187" s="19"/>
      <c r="N187" s="131"/>
      <c r="O187" s="30"/>
      <c r="P187" s="29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30"/>
      <c r="I188" s="84"/>
      <c r="J188" s="17"/>
      <c r="K188" s="133"/>
      <c r="L188" s="135"/>
      <c r="M188" s="19"/>
      <c r="N188" s="131"/>
      <c r="O188" s="30"/>
      <c r="P188" s="29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30"/>
      <c r="I189" s="84"/>
      <c r="J189" s="17"/>
      <c r="K189" s="133"/>
      <c r="L189" s="135"/>
      <c r="M189" s="19"/>
      <c r="N189" s="131"/>
      <c r="O189" s="30"/>
      <c r="P189" s="29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30"/>
      <c r="I190" s="84"/>
      <c r="J190" s="17"/>
      <c r="K190" s="133"/>
      <c r="L190" s="135"/>
      <c r="M190" s="19"/>
      <c r="N190" s="131"/>
      <c r="O190" s="30"/>
      <c r="P190" s="29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30"/>
      <c r="I191" s="84"/>
      <c r="J191" s="17"/>
      <c r="K191" s="133"/>
      <c r="L191" s="135"/>
      <c r="M191" s="19"/>
      <c r="N191" s="131"/>
      <c r="O191" s="30"/>
      <c r="P191" s="29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133"/>
      <c r="L192" s="135"/>
      <c r="M192" s="19"/>
      <c r="N192" s="131"/>
      <c r="O192" s="30"/>
      <c r="P192" s="29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133"/>
      <c r="L193" s="135"/>
      <c r="M193" s="19"/>
      <c r="N193" s="131"/>
      <c r="O193" s="30"/>
      <c r="P193" s="29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133"/>
      <c r="L194" s="135"/>
      <c r="M194" s="19"/>
      <c r="N194" s="131"/>
      <c r="O194" s="30"/>
      <c r="P194" s="29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133"/>
      <c r="L195" s="135"/>
      <c r="M195" s="19"/>
      <c r="N195" s="131"/>
      <c r="O195" s="30"/>
      <c r="P195" s="29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133"/>
      <c r="L196" s="135"/>
      <c r="M196" s="19"/>
      <c r="N196" s="131"/>
      <c r="O196" s="30"/>
      <c r="P196" s="29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133"/>
      <c r="L197" s="135"/>
      <c r="M197" s="19"/>
      <c r="N197" s="131"/>
      <c r="O197" s="30"/>
      <c r="P197" s="29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133"/>
      <c r="L198" s="135"/>
      <c r="M198" s="19"/>
      <c r="N198" s="131"/>
      <c r="O198" s="30"/>
      <c r="P198" s="29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133"/>
      <c r="L199" s="135"/>
      <c r="M199" s="19"/>
      <c r="N199" s="131"/>
      <c r="O199" s="30"/>
      <c r="P199" s="29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133"/>
      <c r="L200" s="135"/>
      <c r="M200" s="19"/>
      <c r="N200" s="131"/>
      <c r="O200" s="30"/>
      <c r="P200" s="29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133"/>
      <c r="L201" s="135"/>
      <c r="M201" s="19"/>
      <c r="N201" s="131"/>
      <c r="O201" s="30"/>
      <c r="P201" s="29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133"/>
      <c r="L202" s="135"/>
      <c r="M202" s="19"/>
      <c r="N202" s="131"/>
      <c r="O202" s="30"/>
      <c r="P202" s="29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133"/>
      <c r="L203" s="135"/>
      <c r="M203" s="19"/>
      <c r="N203" s="131"/>
      <c r="O203" s="30"/>
      <c r="P203" s="29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133"/>
      <c r="L204" s="135"/>
      <c r="M204" s="19"/>
      <c r="N204" s="131"/>
      <c r="O204" s="30"/>
      <c r="P204" s="29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133"/>
      <c r="L205" s="135"/>
      <c r="M205" s="19"/>
      <c r="N205" s="131"/>
      <c r="O205" s="30"/>
      <c r="P205" s="29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133"/>
      <c r="L206" s="135"/>
      <c r="M206" s="19"/>
      <c r="N206" s="131"/>
      <c r="O206" s="30"/>
      <c r="P206" s="29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133"/>
      <c r="L207" s="135"/>
      <c r="M207" s="19"/>
      <c r="N207" s="131"/>
      <c r="O207" s="30"/>
      <c r="P207" s="29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133"/>
      <c r="L208" s="135"/>
      <c r="M208" s="19"/>
      <c r="N208" s="131"/>
      <c r="O208" s="30"/>
      <c r="P208" s="29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133"/>
      <c r="L209" s="135"/>
      <c r="M209" s="19"/>
      <c r="N209" s="131"/>
      <c r="O209" s="30"/>
      <c r="P209" s="29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133"/>
      <c r="L210" s="135"/>
      <c r="M210" s="19"/>
      <c r="N210" s="131"/>
      <c r="O210" s="30"/>
      <c r="P210" s="29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133"/>
      <c r="L211" s="135"/>
      <c r="M211" s="19"/>
      <c r="N211" s="131"/>
      <c r="O211" s="30"/>
      <c r="P211" s="29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133"/>
      <c r="L212" s="135"/>
      <c r="M212" s="19"/>
      <c r="N212" s="131"/>
      <c r="O212" s="30"/>
      <c r="P212" s="29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133"/>
      <c r="L213" s="135"/>
      <c r="M213" s="19"/>
      <c r="N213" s="131"/>
      <c r="O213" s="30"/>
      <c r="P213" s="29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133"/>
      <c r="L214" s="135"/>
      <c r="M214" s="19"/>
      <c r="N214" s="131"/>
      <c r="O214" s="30"/>
      <c r="P214" s="29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133"/>
      <c r="L215" s="135"/>
      <c r="M215" s="19"/>
      <c r="N215" s="131"/>
      <c r="O215" s="30"/>
      <c r="P215" s="29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133"/>
      <c r="L216" s="135"/>
      <c r="M216" s="19"/>
      <c r="N216" s="131"/>
      <c r="O216" s="30"/>
      <c r="P216" s="29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133"/>
      <c r="L217" s="135"/>
      <c r="M217" s="19"/>
      <c r="N217" s="131"/>
      <c r="O217" s="30"/>
      <c r="P217" s="29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133"/>
      <c r="L218" s="135"/>
      <c r="M218" s="19"/>
      <c r="N218" s="131"/>
      <c r="O218" s="30"/>
      <c r="P218" s="29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133"/>
      <c r="L219" s="135"/>
      <c r="M219" s="19"/>
      <c r="N219" s="131"/>
      <c r="O219" s="30"/>
      <c r="P219" s="29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133"/>
      <c r="L220" s="135"/>
      <c r="M220" s="19"/>
      <c r="N220" s="131"/>
      <c r="O220" s="30"/>
      <c r="P220" s="29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133"/>
      <c r="L221" s="135"/>
      <c r="M221" s="19"/>
      <c r="N221" s="131"/>
      <c r="O221" s="30"/>
      <c r="P221" s="29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133"/>
      <c r="L222" s="135"/>
      <c r="M222" s="19"/>
      <c r="N222" s="131"/>
      <c r="O222" s="30"/>
      <c r="P222" s="29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133"/>
      <c r="L223" s="135"/>
      <c r="M223" s="19"/>
      <c r="N223" s="131"/>
      <c r="O223" s="30"/>
      <c r="P223" s="29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133"/>
      <c r="L224" s="135"/>
      <c r="M224" s="19"/>
      <c r="N224" s="131"/>
      <c r="O224" s="30"/>
      <c r="P224" s="29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133"/>
      <c r="L225" s="135"/>
      <c r="M225" s="19"/>
      <c r="N225" s="131"/>
      <c r="O225" s="30"/>
      <c r="P225" s="29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133"/>
      <c r="L226" s="135"/>
      <c r="M226" s="19"/>
      <c r="N226" s="131"/>
      <c r="O226" s="30"/>
      <c r="P226" s="29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133"/>
      <c r="L227" s="135"/>
      <c r="M227" s="19"/>
      <c r="N227" s="131"/>
      <c r="O227" s="30"/>
      <c r="P227" s="29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133"/>
      <c r="L228" s="135"/>
      <c r="M228" s="19"/>
      <c r="N228" s="131"/>
      <c r="O228" s="30"/>
      <c r="P228" s="29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133"/>
      <c r="L229" s="135"/>
      <c r="M229" s="19"/>
      <c r="N229" s="131"/>
      <c r="O229" s="30"/>
      <c r="P229" s="29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133"/>
      <c r="L230" s="135"/>
      <c r="M230" s="19"/>
      <c r="N230" s="131"/>
      <c r="O230" s="30"/>
      <c r="P230" s="29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133"/>
      <c r="L231" s="135"/>
      <c r="M231" s="19"/>
      <c r="N231" s="131"/>
      <c r="O231" s="30"/>
      <c r="P231" s="29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133"/>
      <c r="L232" s="135"/>
      <c r="M232" s="19"/>
      <c r="N232" s="131"/>
      <c r="O232" s="30"/>
      <c r="P232" s="29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133"/>
      <c r="L233" s="135"/>
      <c r="M233" s="19"/>
      <c r="N233" s="131"/>
      <c r="O233" s="30"/>
      <c r="P233" s="29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133"/>
      <c r="L234" s="135"/>
      <c r="M234" s="19"/>
      <c r="N234" s="131"/>
      <c r="O234" s="30"/>
      <c r="P234" s="29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133"/>
      <c r="L235" s="135"/>
      <c r="M235" s="19"/>
      <c r="N235" s="131"/>
      <c r="O235" s="30"/>
      <c r="P235" s="29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133"/>
      <c r="L236" s="135"/>
      <c r="M236" s="19"/>
      <c r="N236" s="131"/>
      <c r="O236" s="30"/>
      <c r="P236" s="29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133"/>
      <c r="L237" s="135"/>
      <c r="M237" s="19"/>
      <c r="N237" s="131"/>
      <c r="O237" s="30"/>
      <c r="P237" s="29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133"/>
      <c r="L238" s="135"/>
      <c r="M238" s="19"/>
      <c r="N238" s="131"/>
      <c r="O238" s="30"/>
      <c r="P238" s="29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133"/>
      <c r="L239" s="135"/>
      <c r="M239" s="19"/>
      <c r="N239" s="131"/>
      <c r="O239" s="30"/>
      <c r="P239" s="29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133"/>
      <c r="L240" s="135"/>
      <c r="M240" s="19"/>
      <c r="N240" s="131"/>
      <c r="O240" s="30"/>
      <c r="P240" s="29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133"/>
      <c r="L241" s="135"/>
      <c r="M241" s="19"/>
      <c r="N241" s="131"/>
      <c r="O241" s="30"/>
      <c r="P241" s="29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133"/>
      <c r="L242" s="135"/>
      <c r="M242" s="19"/>
      <c r="N242" s="131"/>
      <c r="O242" s="30"/>
      <c r="P242" s="29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133"/>
      <c r="L243" s="135"/>
      <c r="M243" s="19"/>
      <c r="N243" s="131"/>
      <c r="O243" s="30"/>
      <c r="P243" s="29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133"/>
      <c r="L244" s="135"/>
      <c r="M244" s="19"/>
      <c r="N244" s="131"/>
      <c r="O244" s="30"/>
      <c r="P244" s="29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133"/>
      <c r="L245" s="135"/>
      <c r="M245" s="19"/>
      <c r="N245" s="131"/>
      <c r="O245" s="30"/>
      <c r="P245" s="29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133"/>
      <c r="L246" s="135"/>
      <c r="M246" s="19"/>
      <c r="N246" s="131"/>
      <c r="O246" s="30"/>
      <c r="P246" s="29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133"/>
      <c r="L247" s="135"/>
      <c r="M247" s="19"/>
      <c r="N247" s="131"/>
      <c r="O247" s="30"/>
      <c r="P247" s="29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133"/>
      <c r="L248" s="135"/>
      <c r="M248" s="19"/>
      <c r="N248" s="131"/>
      <c r="O248" s="30"/>
      <c r="P248" s="29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133"/>
      <c r="L249" s="135"/>
      <c r="M249" s="19"/>
      <c r="N249" s="131"/>
      <c r="O249" s="30"/>
      <c r="P249" s="29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133"/>
      <c r="L250" s="135"/>
      <c r="M250" s="19"/>
      <c r="N250" s="131"/>
      <c r="O250" s="30"/>
      <c r="P250" s="29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133"/>
      <c r="L251" s="135"/>
      <c r="M251" s="19"/>
      <c r="N251" s="131"/>
      <c r="O251" s="30"/>
      <c r="P251" s="29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133"/>
      <c r="L252" s="135"/>
      <c r="M252" s="19"/>
      <c r="N252" s="131"/>
      <c r="O252" s="30"/>
      <c r="P252" s="29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133"/>
      <c r="L253" s="135"/>
      <c r="M253" s="19"/>
      <c r="N253" s="131"/>
      <c r="O253" s="30"/>
      <c r="P253" s="29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133"/>
      <c r="L254" s="135"/>
      <c r="M254" s="19"/>
      <c r="N254" s="131"/>
      <c r="O254" s="30"/>
      <c r="P254" s="29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133"/>
      <c r="L255" s="135"/>
      <c r="M255" s="19"/>
      <c r="N255" s="131"/>
      <c r="O255" s="30"/>
      <c r="P255" s="29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133"/>
      <c r="L256" s="135"/>
      <c r="M256" s="19"/>
      <c r="N256" s="131"/>
      <c r="O256" s="30"/>
      <c r="P256" s="29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133"/>
      <c r="L257" s="135"/>
      <c r="M257" s="19"/>
      <c r="N257" s="131"/>
      <c r="O257" s="30"/>
      <c r="P257" s="29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133"/>
      <c r="L258" s="135"/>
      <c r="M258" s="19"/>
      <c r="N258" s="131"/>
      <c r="O258" s="30"/>
      <c r="P258" s="29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133"/>
      <c r="L259" s="135"/>
      <c r="M259" s="19"/>
      <c r="N259" s="131"/>
      <c r="O259" s="30"/>
      <c r="P259" s="29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133"/>
      <c r="L260" s="135"/>
      <c r="M260" s="19"/>
      <c r="N260" s="131"/>
      <c r="O260" s="30"/>
      <c r="P260" s="29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133"/>
      <c r="L261" s="135"/>
      <c r="M261" s="19"/>
      <c r="N261" s="131"/>
      <c r="O261" s="30"/>
      <c r="P261" s="29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133"/>
      <c r="L262" s="135"/>
      <c r="M262" s="19"/>
      <c r="N262" s="131"/>
      <c r="O262" s="30"/>
      <c r="P262" s="29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133"/>
      <c r="L263" s="135"/>
      <c r="M263" s="19"/>
      <c r="N263" s="131"/>
      <c r="O263" s="30"/>
      <c r="P263" s="2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133"/>
      <c r="L264" s="135"/>
      <c r="M264" s="19"/>
      <c r="N264" s="131"/>
      <c r="O264" s="30"/>
      <c r="P264" s="29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133"/>
      <c r="L265" s="135"/>
      <c r="M265" s="19"/>
      <c r="N265" s="131"/>
      <c r="O265" s="30"/>
      <c r="P265" s="29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133"/>
      <c r="L266" s="135"/>
      <c r="M266" s="19"/>
      <c r="N266" s="131"/>
      <c r="O266" s="30"/>
      <c r="P266" s="29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133"/>
      <c r="L267" s="135"/>
      <c r="M267" s="19"/>
      <c r="N267" s="131"/>
      <c r="O267" s="30"/>
      <c r="P267" s="29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133"/>
      <c r="L268" s="135"/>
      <c r="M268" s="19"/>
      <c r="N268" s="131"/>
      <c r="O268" s="30"/>
      <c r="P268" s="29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133"/>
      <c r="L269" s="135"/>
      <c r="M269" s="19"/>
      <c r="N269" s="131"/>
      <c r="O269" s="30"/>
      <c r="P269" s="29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133"/>
      <c r="L270" s="135"/>
      <c r="M270" s="19"/>
      <c r="N270" s="131"/>
      <c r="O270" s="30"/>
      <c r="P270" s="29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133"/>
      <c r="L271" s="135"/>
      <c r="M271" s="19"/>
      <c r="N271" s="131"/>
      <c r="O271" s="30"/>
      <c r="P271" s="29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133"/>
      <c r="L272" s="135"/>
      <c r="M272" s="19"/>
      <c r="N272" s="131"/>
      <c r="O272" s="30"/>
      <c r="P272" s="29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133"/>
      <c r="L273" s="135"/>
      <c r="M273" s="19"/>
      <c r="N273" s="131"/>
      <c r="O273" s="30"/>
      <c r="P273" s="29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133"/>
      <c r="L274" s="135"/>
      <c r="M274" s="19"/>
      <c r="N274" s="131"/>
      <c r="O274" s="30"/>
      <c r="P274" s="29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133"/>
      <c r="L275" s="135"/>
      <c r="M275" s="19"/>
      <c r="N275" s="131"/>
      <c r="O275" s="30"/>
      <c r="P275" s="29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133"/>
      <c r="L276" s="135"/>
      <c r="M276" s="19"/>
      <c r="N276" s="131"/>
      <c r="O276" s="30"/>
      <c r="P276" s="29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133"/>
      <c r="L277" s="135"/>
      <c r="M277" s="19"/>
      <c r="N277" s="131"/>
      <c r="O277" s="30"/>
      <c r="P277" s="29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133"/>
      <c r="L278" s="135"/>
      <c r="M278" s="19"/>
      <c r="N278" s="131"/>
      <c r="O278" s="30"/>
      <c r="P278" s="29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133"/>
      <c r="L279" s="135"/>
      <c r="M279" s="19"/>
      <c r="N279" s="131"/>
      <c r="O279" s="30"/>
      <c r="P279" s="29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133"/>
      <c r="L280" s="135"/>
      <c r="M280" s="19"/>
      <c r="N280" s="131"/>
      <c r="O280" s="30"/>
      <c r="P280" s="29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133"/>
      <c r="L281" s="135"/>
      <c r="M281" s="19"/>
      <c r="N281" s="131"/>
      <c r="O281" s="30"/>
      <c r="P281" s="29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133"/>
      <c r="L282" s="135"/>
      <c r="M282" s="19"/>
      <c r="N282" s="131"/>
      <c r="O282" s="30"/>
      <c r="P282" s="29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133"/>
      <c r="L283" s="135"/>
      <c r="M283" s="19"/>
      <c r="N283" s="131"/>
      <c r="O283" s="30"/>
      <c r="P283" s="29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133"/>
      <c r="L284" s="135"/>
      <c r="M284" s="19"/>
      <c r="N284" s="131"/>
      <c r="O284" s="30"/>
      <c r="P284" s="29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133"/>
      <c r="L285" s="135"/>
      <c r="M285" s="19"/>
      <c r="N285" s="131"/>
      <c r="O285" s="30"/>
      <c r="P285" s="29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133"/>
      <c r="L286" s="135"/>
      <c r="M286" s="19"/>
      <c r="N286" s="131"/>
      <c r="O286" s="30"/>
      <c r="P286" s="29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133"/>
      <c r="L287" s="135"/>
      <c r="M287" s="19"/>
      <c r="N287" s="131"/>
      <c r="O287" s="30"/>
      <c r="P287" s="29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133"/>
      <c r="L288" s="135"/>
      <c r="M288" s="19"/>
      <c r="N288" s="131"/>
      <c r="O288" s="30"/>
      <c r="P288" s="29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133"/>
      <c r="L289" s="135"/>
      <c r="M289" s="19"/>
      <c r="N289" s="131"/>
      <c r="O289" s="30"/>
      <c r="P289" s="29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133"/>
      <c r="L290" s="135"/>
      <c r="M290" s="19"/>
      <c r="N290" s="131"/>
      <c r="O290" s="30"/>
      <c r="P290" s="29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133"/>
      <c r="L291" s="135"/>
      <c r="M291" s="19"/>
      <c r="N291" s="131"/>
      <c r="O291" s="30"/>
      <c r="P291" s="29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133"/>
      <c r="L292" s="135"/>
      <c r="M292" s="19"/>
      <c r="N292" s="131"/>
      <c r="O292" s="30"/>
      <c r="P292" s="29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133"/>
      <c r="L293" s="135"/>
      <c r="M293" s="19"/>
      <c r="N293" s="131"/>
      <c r="O293" s="30"/>
      <c r="P293" s="29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133"/>
      <c r="L294" s="135"/>
      <c r="M294" s="19"/>
      <c r="N294" s="131"/>
      <c r="O294" s="30"/>
      <c r="P294" s="29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133"/>
      <c r="L295" s="135"/>
      <c r="M295" s="19"/>
      <c r="N295" s="131"/>
      <c r="O295" s="30"/>
      <c r="P295" s="29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133"/>
      <c r="L296" s="135"/>
      <c r="M296" s="19"/>
      <c r="N296" s="131"/>
      <c r="O296" s="30"/>
      <c r="P296" s="29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133"/>
      <c r="L297" s="135"/>
      <c r="M297" s="19"/>
      <c r="N297" s="131"/>
      <c r="O297" s="30"/>
      <c r="P297" s="29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133"/>
      <c r="L298" s="135"/>
      <c r="M298" s="19"/>
      <c r="N298" s="131"/>
      <c r="O298" s="30"/>
      <c r="P298" s="29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133"/>
      <c r="L299" s="135"/>
      <c r="M299" s="19"/>
      <c r="N299" s="131"/>
      <c r="O299" s="30"/>
      <c r="P299" s="29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133"/>
      <c r="L300" s="135"/>
      <c r="M300" s="19"/>
      <c r="N300" s="131"/>
      <c r="O300" s="30"/>
      <c r="P300" s="29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133"/>
      <c r="L301" s="135"/>
      <c r="M301" s="19"/>
      <c r="N301" s="131"/>
      <c r="O301" s="30"/>
      <c r="P301" s="29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133"/>
      <c r="L302" s="135"/>
      <c r="M302" s="19"/>
      <c r="N302" s="131"/>
      <c r="O302" s="30"/>
      <c r="P302" s="29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133"/>
      <c r="L303" s="135"/>
      <c r="M303" s="19"/>
      <c r="N303" s="131"/>
      <c r="O303" s="30"/>
      <c r="P303" s="29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133"/>
      <c r="L304" s="135"/>
      <c r="M304" s="19"/>
      <c r="N304" s="131"/>
      <c r="O304" s="30"/>
      <c r="P304" s="29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133"/>
      <c r="L305" s="135"/>
      <c r="M305" s="19"/>
      <c r="N305" s="131"/>
      <c r="O305" s="30"/>
      <c r="P305" s="29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133"/>
      <c r="L306" s="135"/>
      <c r="M306" s="19"/>
      <c r="N306" s="131"/>
      <c r="O306" s="30"/>
      <c r="P306" s="29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133"/>
      <c r="L307" s="135"/>
      <c r="M307" s="19"/>
      <c r="N307" s="131"/>
      <c r="O307" s="30"/>
      <c r="P307" s="29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133"/>
      <c r="L308" s="135"/>
      <c r="M308" s="19"/>
      <c r="N308" s="131"/>
      <c r="O308" s="30"/>
      <c r="P308" s="29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133"/>
      <c r="L309" s="135"/>
      <c r="M309" s="19"/>
      <c r="N309" s="131"/>
      <c r="O309" s="30"/>
      <c r="P309" s="29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133"/>
      <c r="L310" s="135"/>
      <c r="M310" s="19"/>
      <c r="N310" s="131"/>
      <c r="O310" s="30"/>
      <c r="P310" s="29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133"/>
      <c r="L311" s="135"/>
      <c r="M311" s="19"/>
      <c r="N311" s="131"/>
      <c r="O311" s="30"/>
      <c r="P311" s="29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133"/>
      <c r="L312" s="135"/>
      <c r="M312" s="19"/>
      <c r="N312" s="131"/>
      <c r="O312" s="30"/>
      <c r="P312" s="29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133"/>
      <c r="L313" s="135"/>
      <c r="M313" s="19"/>
      <c r="N313" s="131"/>
      <c r="O313" s="30"/>
      <c r="P313" s="29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133"/>
      <c r="L314" s="135"/>
      <c r="M314" s="19"/>
      <c r="N314" s="131"/>
      <c r="O314" s="30"/>
      <c r="P314" s="29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133"/>
      <c r="L315" s="135"/>
      <c r="M315" s="19"/>
      <c r="N315" s="131"/>
      <c r="O315" s="30"/>
      <c r="P315" s="29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133"/>
      <c r="L316" s="135"/>
      <c r="M316" s="19"/>
      <c r="N316" s="131"/>
      <c r="O316" s="30"/>
      <c r="P316" s="29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133"/>
      <c r="L317" s="135"/>
      <c r="M317" s="19"/>
      <c r="N317" s="131"/>
      <c r="O317" s="30"/>
      <c r="P317" s="29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133"/>
      <c r="L318" s="135"/>
      <c r="M318" s="19"/>
      <c r="N318" s="131"/>
      <c r="O318" s="30"/>
      <c r="P318" s="29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133"/>
      <c r="L319" s="135"/>
      <c r="M319" s="19"/>
      <c r="N319" s="131"/>
      <c r="O319" s="30"/>
      <c r="P319" s="29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133"/>
      <c r="L320" s="135"/>
      <c r="M320" s="19"/>
      <c r="N320" s="131"/>
      <c r="O320" s="30"/>
      <c r="P320" s="29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133"/>
      <c r="L321" s="135"/>
      <c r="M321" s="19"/>
      <c r="N321" s="131"/>
      <c r="O321" s="30"/>
      <c r="P321" s="29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133"/>
      <c r="L322" s="135"/>
      <c r="M322" s="19"/>
      <c r="N322" s="131"/>
      <c r="O322" s="30"/>
      <c r="P322" s="29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133"/>
      <c r="L323" s="135"/>
      <c r="M323" s="19"/>
      <c r="N323" s="131"/>
      <c r="O323" s="30"/>
      <c r="P323" s="29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133"/>
      <c r="L324" s="135"/>
      <c r="M324" s="19"/>
      <c r="N324" s="131"/>
      <c r="O324" s="30"/>
      <c r="P324" s="29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133"/>
      <c r="L325" s="135"/>
      <c r="M325" s="19"/>
      <c r="N325" s="131"/>
      <c r="O325" s="30"/>
      <c r="P325" s="29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133"/>
      <c r="L326" s="135"/>
      <c r="M326" s="19"/>
      <c r="N326" s="131"/>
      <c r="O326" s="30"/>
      <c r="P326" s="29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133"/>
      <c r="L327" s="135"/>
      <c r="M327" s="19"/>
      <c r="N327" s="131"/>
      <c r="O327" s="30"/>
      <c r="P327" s="29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133"/>
      <c r="L328" s="135"/>
      <c r="M328" s="19"/>
      <c r="N328" s="131"/>
      <c r="O328" s="30"/>
      <c r="P328" s="29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133"/>
      <c r="L329" s="135"/>
      <c r="M329" s="19"/>
      <c r="N329" s="131"/>
      <c r="O329" s="30"/>
      <c r="P329" s="29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133"/>
      <c r="L330" s="135"/>
      <c r="M330" s="19"/>
      <c r="N330" s="131"/>
      <c r="O330" s="30"/>
      <c r="P330" s="29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133"/>
      <c r="L331" s="135"/>
      <c r="M331" s="19"/>
      <c r="N331" s="131"/>
      <c r="O331" s="30"/>
      <c r="P331" s="29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133"/>
      <c r="L332" s="135"/>
      <c r="M332" s="19"/>
      <c r="N332" s="131"/>
      <c r="O332" s="30"/>
      <c r="P332" s="29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133"/>
      <c r="L333" s="135"/>
      <c r="M333" s="19"/>
      <c r="N333" s="131"/>
      <c r="O333" s="30"/>
      <c r="P333" s="29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133"/>
      <c r="L334" s="135"/>
      <c r="M334" s="19"/>
      <c r="N334" s="131"/>
      <c r="O334" s="30"/>
      <c r="P334" s="29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133"/>
      <c r="L335" s="135"/>
      <c r="M335" s="19"/>
      <c r="N335" s="131"/>
      <c r="O335" s="30"/>
      <c r="P335" s="29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133"/>
      <c r="L336" s="135"/>
      <c r="M336" s="19"/>
      <c r="N336" s="131"/>
      <c r="O336" s="30"/>
      <c r="P336" s="29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133"/>
      <c r="L337" s="135"/>
      <c r="M337" s="19"/>
      <c r="N337" s="131"/>
      <c r="O337" s="30"/>
      <c r="P337" s="29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133"/>
      <c r="L338" s="135"/>
      <c r="M338" s="19"/>
      <c r="N338" s="131"/>
      <c r="O338" s="30"/>
      <c r="P338" s="29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133"/>
      <c r="L339" s="135"/>
      <c r="M339" s="19"/>
      <c r="N339" s="131"/>
      <c r="O339" s="30"/>
      <c r="P339" s="29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133"/>
      <c r="L340" s="135"/>
      <c r="M340" s="19"/>
      <c r="N340" s="131"/>
      <c r="O340" s="30"/>
      <c r="P340" s="29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133"/>
      <c r="L341" s="135"/>
      <c r="M341" s="19"/>
      <c r="N341" s="131"/>
      <c r="O341" s="30"/>
      <c r="P341" s="29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133"/>
      <c r="L342" s="135"/>
      <c r="M342" s="19"/>
      <c r="N342" s="131"/>
      <c r="O342" s="30"/>
      <c r="P342" s="29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133"/>
      <c r="L343" s="135"/>
      <c r="M343" s="19"/>
      <c r="N343" s="131"/>
      <c r="O343" s="30"/>
      <c r="P343" s="29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133"/>
      <c r="L344" s="135"/>
      <c r="M344" s="19"/>
      <c r="N344" s="131"/>
      <c r="O344" s="30"/>
      <c r="P344" s="29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133"/>
      <c r="L345" s="135"/>
      <c r="M345" s="19"/>
      <c r="N345" s="131"/>
      <c r="O345" s="30"/>
      <c r="P345" s="29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133"/>
      <c r="L346" s="135"/>
      <c r="M346" s="19"/>
      <c r="N346" s="131"/>
      <c r="O346" s="30"/>
      <c r="P346" s="29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133"/>
      <c r="L347" s="135"/>
      <c r="M347" s="19"/>
      <c r="N347" s="131"/>
      <c r="O347" s="30"/>
      <c r="P347" s="29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133"/>
      <c r="L348" s="135"/>
      <c r="M348" s="19"/>
      <c r="N348" s="131"/>
      <c r="O348" s="30"/>
      <c r="P348" s="29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133"/>
      <c r="L349" s="135"/>
      <c r="M349" s="19"/>
      <c r="N349" s="131"/>
      <c r="O349" s="30"/>
      <c r="P349" s="29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133"/>
      <c r="L350" s="135"/>
      <c r="M350" s="19"/>
      <c r="N350" s="131"/>
      <c r="O350" s="30"/>
      <c r="P350" s="29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133"/>
      <c r="L351" s="135"/>
      <c r="M351" s="19"/>
      <c r="N351" s="131"/>
      <c r="O351" s="30"/>
      <c r="P351" s="29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133"/>
      <c r="L352" s="135"/>
      <c r="M352" s="19"/>
      <c r="N352" s="131"/>
      <c r="O352" s="30"/>
      <c r="P352" s="29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133"/>
      <c r="L353" s="135"/>
      <c r="M353" s="19"/>
      <c r="N353" s="131"/>
      <c r="O353" s="30"/>
      <c r="P353" s="29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133"/>
      <c r="L354" s="135"/>
      <c r="M354" s="19"/>
      <c r="N354" s="131"/>
      <c r="O354" s="30"/>
      <c r="P354" s="29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133"/>
      <c r="L355" s="135"/>
      <c r="M355" s="19"/>
      <c r="N355" s="131"/>
      <c r="O355" s="30"/>
      <c r="P355" s="29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133"/>
      <c r="L356" s="135"/>
      <c r="M356" s="19"/>
      <c r="N356" s="131"/>
      <c r="O356" s="30"/>
      <c r="P356" s="29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133"/>
      <c r="L357" s="135"/>
      <c r="M357" s="19"/>
      <c r="N357" s="131"/>
      <c r="O357" s="30"/>
      <c r="P357" s="29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133"/>
      <c r="L358" s="135"/>
      <c r="M358" s="19"/>
      <c r="N358" s="131"/>
      <c r="O358" s="30"/>
      <c r="P358" s="29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133"/>
      <c r="L359" s="135"/>
      <c r="M359" s="19"/>
      <c r="N359" s="131"/>
      <c r="O359" s="30"/>
      <c r="P359" s="29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133"/>
      <c r="L360" s="135"/>
      <c r="M360" s="19"/>
      <c r="N360" s="131"/>
      <c r="O360" s="30"/>
      <c r="P360" s="29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133"/>
      <c r="L361" s="135"/>
      <c r="M361" s="19"/>
      <c r="N361" s="131"/>
      <c r="O361" s="30"/>
      <c r="P361" s="29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133"/>
      <c r="L362" s="135"/>
      <c r="M362" s="19"/>
      <c r="N362" s="131"/>
      <c r="O362" s="30"/>
      <c r="P362" s="29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133"/>
      <c r="L363" s="135"/>
      <c r="M363" s="19"/>
      <c r="N363" s="131"/>
      <c r="O363" s="30"/>
      <c r="P363" s="29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133"/>
      <c r="L364" s="135"/>
      <c r="M364" s="19"/>
      <c r="N364" s="131"/>
      <c r="O364" s="30"/>
      <c r="P364" s="29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133"/>
      <c r="L365" s="135"/>
      <c r="M365" s="19"/>
      <c r="N365" s="131"/>
      <c r="O365" s="30"/>
      <c r="P365" s="29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133"/>
      <c r="L366" s="135"/>
      <c r="M366" s="19"/>
      <c r="N366" s="131"/>
      <c r="O366" s="30"/>
      <c r="P366" s="29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133"/>
      <c r="L367" s="135"/>
      <c r="M367" s="19"/>
      <c r="N367" s="131"/>
      <c r="O367" s="30"/>
      <c r="P367" s="29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133"/>
      <c r="L368" s="135"/>
      <c r="M368" s="19"/>
      <c r="N368" s="131"/>
      <c r="O368" s="30"/>
      <c r="P368" s="29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133"/>
      <c r="L369" s="135"/>
      <c r="M369" s="19"/>
      <c r="N369" s="131"/>
      <c r="O369" s="30"/>
      <c r="P369" s="29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133"/>
      <c r="L370" s="135"/>
      <c r="M370" s="19"/>
      <c r="N370" s="131"/>
      <c r="O370" s="30"/>
      <c r="P370" s="29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133"/>
      <c r="L371" s="135"/>
      <c r="M371" s="19"/>
      <c r="N371" s="131"/>
      <c r="O371" s="30"/>
      <c r="P371" s="29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133"/>
      <c r="L372" s="135"/>
      <c r="M372" s="19"/>
      <c r="N372" s="131"/>
      <c r="O372" s="30"/>
      <c r="P372" s="29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133"/>
      <c r="L373" s="135"/>
      <c r="M373" s="19"/>
      <c r="N373" s="131"/>
      <c r="O373" s="30"/>
      <c r="P373" s="29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133"/>
      <c r="L374" s="135"/>
      <c r="M374" s="19"/>
      <c r="N374" s="131"/>
      <c r="O374" s="30"/>
      <c r="P374" s="29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133"/>
      <c r="L375" s="135"/>
      <c r="M375" s="19"/>
      <c r="N375" s="131"/>
      <c r="O375" s="30"/>
      <c r="P375" s="29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133"/>
      <c r="L376" s="135"/>
      <c r="M376" s="19"/>
      <c r="N376" s="131"/>
      <c r="O376" s="30"/>
      <c r="P376" s="29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133"/>
      <c r="L377" s="135"/>
      <c r="M377" s="19"/>
      <c r="N377" s="131"/>
      <c r="O377" s="30"/>
      <c r="P377" s="29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133"/>
      <c r="L378" s="135"/>
      <c r="M378" s="19"/>
      <c r="N378" s="131"/>
      <c r="O378" s="30"/>
      <c r="P378" s="29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133"/>
      <c r="L379" s="135"/>
      <c r="M379" s="19"/>
      <c r="N379" s="131"/>
      <c r="O379" s="30"/>
      <c r="P379" s="29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133"/>
      <c r="L380" s="135"/>
      <c r="M380" s="19"/>
      <c r="N380" s="131"/>
      <c r="O380" s="30"/>
      <c r="P380" s="29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133"/>
      <c r="L381" s="135"/>
      <c r="M381" s="19"/>
      <c r="N381" s="131"/>
      <c r="O381" s="30"/>
      <c r="P381" s="29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133"/>
      <c r="L382" s="135"/>
      <c r="M382" s="19"/>
      <c r="N382" s="131"/>
      <c r="O382" s="30"/>
      <c r="P382" s="29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133"/>
      <c r="L383" s="135"/>
      <c r="M383" s="19"/>
      <c r="N383" s="131"/>
      <c r="O383" s="30"/>
      <c r="P383" s="29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133"/>
      <c r="L384" s="135"/>
      <c r="M384" s="19"/>
      <c r="N384" s="131"/>
      <c r="O384" s="30"/>
      <c r="P384" s="29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133"/>
      <c r="L385" s="135"/>
      <c r="M385" s="19"/>
      <c r="N385" s="131"/>
      <c r="O385" s="30"/>
      <c r="P385" s="29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133"/>
      <c r="L386" s="135"/>
      <c r="M386" s="19"/>
      <c r="N386" s="131"/>
      <c r="O386" s="30"/>
      <c r="P386" s="29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133"/>
      <c r="L387" s="135"/>
      <c r="M387" s="19"/>
      <c r="N387" s="131"/>
      <c r="O387" s="30"/>
      <c r="P387" s="29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133"/>
      <c r="L388" s="135"/>
      <c r="M388" s="19"/>
      <c r="N388" s="131"/>
      <c r="O388" s="30"/>
      <c r="P388" s="29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133"/>
      <c r="L389" s="135"/>
      <c r="M389" s="19"/>
      <c r="N389" s="131"/>
      <c r="O389" s="30"/>
      <c r="P389" s="29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133"/>
      <c r="L390" s="135"/>
      <c r="M390" s="19"/>
      <c r="N390" s="131"/>
      <c r="O390" s="30"/>
      <c r="P390" s="29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133"/>
      <c r="L391" s="135"/>
      <c r="M391" s="19"/>
      <c r="N391" s="131"/>
      <c r="O391" s="30"/>
      <c r="P391" s="29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133"/>
      <c r="L392" s="135"/>
      <c r="M392" s="19"/>
      <c r="N392" s="131"/>
      <c r="O392" s="30"/>
      <c r="P392" s="29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133"/>
      <c r="L393" s="135"/>
      <c r="M393" s="19"/>
      <c r="N393" s="131"/>
      <c r="O393" s="30"/>
      <c r="P393" s="29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133"/>
      <c r="L394" s="135"/>
      <c r="M394" s="19"/>
      <c r="N394" s="131"/>
      <c r="O394" s="30"/>
      <c r="P394" s="29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133"/>
      <c r="L395" s="135"/>
      <c r="M395" s="19"/>
      <c r="N395" s="131"/>
      <c r="O395" s="30"/>
      <c r="P395" s="29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133"/>
      <c r="L396" s="135"/>
      <c r="M396" s="19"/>
      <c r="N396" s="131"/>
      <c r="O396" s="30"/>
      <c r="P396" s="29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133"/>
      <c r="L397" s="135"/>
      <c r="M397" s="19"/>
      <c r="N397" s="131"/>
      <c r="O397" s="30"/>
      <c r="P397" s="29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133"/>
      <c r="L398" s="135"/>
      <c r="M398" s="19"/>
      <c r="N398" s="131"/>
      <c r="O398" s="30"/>
      <c r="P398" s="29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133"/>
      <c r="L399" s="135"/>
      <c r="M399" s="19"/>
      <c r="N399" s="131"/>
      <c r="O399" s="30"/>
      <c r="P399" s="29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133"/>
      <c r="L400" s="135"/>
      <c r="M400" s="19"/>
      <c r="N400" s="131"/>
      <c r="O400" s="30"/>
      <c r="P400" s="29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133"/>
      <c r="L401" s="135"/>
      <c r="M401" s="19"/>
      <c r="N401" s="131"/>
      <c r="O401" s="30"/>
      <c r="P401" s="29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133"/>
      <c r="L402" s="135"/>
      <c r="M402" s="19"/>
      <c r="N402" s="131"/>
      <c r="O402" s="30"/>
      <c r="P402" s="29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133"/>
      <c r="L403" s="135"/>
      <c r="M403" s="19"/>
      <c r="N403" s="131"/>
      <c r="O403" s="30"/>
      <c r="P403" s="29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133"/>
      <c r="L404" s="135"/>
      <c r="M404" s="19"/>
      <c r="N404" s="131"/>
      <c r="O404" s="30"/>
      <c r="P404" s="29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133"/>
      <c r="L405" s="135"/>
      <c r="M405" s="19"/>
      <c r="N405" s="131"/>
      <c r="O405" s="30"/>
      <c r="P405" s="29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133"/>
      <c r="L406" s="135"/>
      <c r="M406" s="19"/>
      <c r="N406" s="131"/>
      <c r="O406" s="30"/>
      <c r="P406" s="29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133"/>
      <c r="L407" s="135"/>
      <c r="M407" s="19"/>
      <c r="N407" s="131"/>
      <c r="O407" s="30"/>
      <c r="P407" s="29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133"/>
      <c r="L408" s="135"/>
      <c r="M408" s="19"/>
      <c r="N408" s="131"/>
      <c r="O408" s="30"/>
      <c r="P408" s="29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133"/>
      <c r="L409" s="135"/>
      <c r="M409" s="19"/>
      <c r="N409" s="131"/>
      <c r="O409" s="30"/>
      <c r="P409" s="29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133"/>
      <c r="L410" s="135"/>
      <c r="M410" s="19"/>
      <c r="N410" s="131"/>
      <c r="O410" s="30"/>
      <c r="P410" s="29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133"/>
      <c r="L411" s="135"/>
      <c r="M411" s="19"/>
      <c r="N411" s="131"/>
      <c r="O411" s="30"/>
      <c r="P411" s="29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133"/>
      <c r="L412" s="135"/>
      <c r="M412" s="19"/>
      <c r="N412" s="131"/>
      <c r="O412" s="30"/>
      <c r="P412" s="29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133"/>
      <c r="L413" s="135"/>
      <c r="M413" s="19"/>
      <c r="N413" s="131"/>
      <c r="O413" s="30"/>
      <c r="P413" s="29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133"/>
      <c r="L414" s="135"/>
      <c r="M414" s="19"/>
      <c r="N414" s="131"/>
      <c r="O414" s="30"/>
      <c r="P414" s="29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133"/>
      <c r="L415" s="135"/>
      <c r="M415" s="19"/>
      <c r="N415" s="131"/>
      <c r="O415" s="30"/>
      <c r="P415" s="29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133"/>
      <c r="L416" s="135"/>
      <c r="M416" s="19"/>
      <c r="N416" s="131"/>
      <c r="O416" s="30"/>
      <c r="P416" s="29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133"/>
      <c r="L417" s="135"/>
      <c r="M417" s="19"/>
      <c r="N417" s="131"/>
      <c r="O417" s="30"/>
      <c r="P417" s="29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5"/>
      <c r="M418" s="19"/>
      <c r="N418" s="131"/>
      <c r="O418" s="30"/>
      <c r="P418" s="29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135"/>
      <c r="M419" s="19"/>
      <c r="N419" s="131"/>
      <c r="O419" s="30"/>
      <c r="P419" s="29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135"/>
      <c r="M420" s="19"/>
      <c r="N420" s="131"/>
      <c r="O420" s="30"/>
      <c r="P420" s="29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135"/>
      <c r="M421" s="19"/>
      <c r="N421" s="131"/>
      <c r="O421" s="30"/>
      <c r="P421" s="29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135"/>
      <c r="M422" s="19"/>
      <c r="N422" s="131"/>
      <c r="O422" s="30"/>
      <c r="P422" s="29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135"/>
      <c r="M423" s="19"/>
      <c r="N423" s="131"/>
      <c r="O423" s="30"/>
      <c r="P423" s="29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135"/>
      <c r="M424" s="19"/>
      <c r="N424" s="131"/>
      <c r="O424" s="30"/>
      <c r="P424" s="29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135"/>
      <c r="M425" s="19"/>
      <c r="N425" s="131"/>
      <c r="O425" s="30"/>
      <c r="P425" s="29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135"/>
      <c r="M426" s="19"/>
      <c r="N426" s="131"/>
      <c r="O426" s="30"/>
      <c r="P426" s="29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135"/>
      <c r="M427" s="19"/>
      <c r="N427" s="131"/>
      <c r="O427" s="30"/>
      <c r="P427" s="29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135"/>
      <c r="M428" s="19"/>
      <c r="N428" s="131"/>
      <c r="O428" s="30"/>
      <c r="P428" s="29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135"/>
      <c r="M429" s="19"/>
      <c r="N429" s="131"/>
      <c r="O429" s="30"/>
      <c r="P429" s="29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135"/>
      <c r="M430" s="19"/>
      <c r="N430" s="131"/>
      <c r="O430" s="30"/>
      <c r="P430" s="29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135"/>
      <c r="M431" s="19"/>
      <c r="N431" s="131"/>
      <c r="O431" s="30"/>
      <c r="P431" s="29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135"/>
      <c r="M432" s="19"/>
      <c r="N432" s="131"/>
      <c r="O432" s="30"/>
      <c r="P432" s="29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135"/>
      <c r="M433" s="19"/>
      <c r="N433" s="131"/>
      <c r="O433" s="30"/>
      <c r="P433" s="29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135"/>
      <c r="M434" s="19"/>
      <c r="N434" s="131"/>
      <c r="O434" s="30"/>
      <c r="P434" s="29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135"/>
      <c r="M435" s="19"/>
      <c r="N435" s="131"/>
      <c r="O435" s="30"/>
      <c r="P435" s="29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135"/>
      <c r="M436" s="19"/>
      <c r="N436" s="131"/>
      <c r="O436" s="30"/>
      <c r="P436" s="29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135"/>
      <c r="M437" s="19"/>
      <c r="N437" s="131"/>
      <c r="O437" s="30"/>
      <c r="P437" s="29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135"/>
      <c r="M438" s="19"/>
      <c r="N438" s="131"/>
      <c r="O438" s="30"/>
      <c r="P438" s="29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135"/>
      <c r="M439" s="19"/>
      <c r="N439" s="131"/>
      <c r="O439" s="30"/>
      <c r="P439" s="29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135"/>
      <c r="M440" s="19"/>
      <c r="N440" s="131"/>
      <c r="O440" s="30"/>
      <c r="P440" s="29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135"/>
      <c r="M441" s="19"/>
      <c r="N441" s="131"/>
      <c r="O441" s="30"/>
      <c r="P441" s="29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135"/>
      <c r="M442" s="19"/>
      <c r="N442" s="131"/>
      <c r="O442" s="30"/>
      <c r="P442" s="29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135"/>
      <c r="M443" s="19"/>
      <c r="N443" s="131"/>
      <c r="O443" s="30"/>
      <c r="P443" s="29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135"/>
      <c r="M444" s="19"/>
      <c r="N444" s="131"/>
      <c r="O444" s="30"/>
      <c r="P444" s="29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135"/>
      <c r="M445" s="19"/>
      <c r="N445" s="131"/>
      <c r="O445" s="30"/>
      <c r="P445" s="29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135"/>
      <c r="M446" s="19"/>
      <c r="N446" s="131"/>
      <c r="O446" s="30"/>
      <c r="P446" s="29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135"/>
      <c r="M447" s="19"/>
      <c r="N447" s="131"/>
      <c r="O447" s="30"/>
      <c r="P447" s="29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135"/>
      <c r="M448" s="19"/>
      <c r="N448" s="131"/>
      <c r="O448" s="30"/>
      <c r="P448" s="29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135"/>
      <c r="M449" s="19"/>
      <c r="N449" s="131"/>
      <c r="O449" s="30"/>
      <c r="P449" s="29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135"/>
      <c r="M450" s="19"/>
      <c r="N450" s="131"/>
      <c r="O450" s="30"/>
      <c r="P450" s="29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135"/>
      <c r="M451" s="19"/>
      <c r="N451" s="131"/>
      <c r="O451" s="30"/>
      <c r="P451" s="29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135"/>
      <c r="M452" s="19"/>
      <c r="N452" s="131"/>
      <c r="O452" s="30"/>
      <c r="P452" s="29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135"/>
      <c r="M453" s="19"/>
      <c r="N453" s="131"/>
      <c r="O453" s="30"/>
      <c r="P453" s="29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135"/>
      <c r="M454" s="19"/>
      <c r="N454" s="131"/>
      <c r="O454" s="30"/>
      <c r="P454" s="29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135"/>
      <c r="M455" s="19"/>
      <c r="N455" s="131"/>
      <c r="O455" s="30"/>
      <c r="P455" s="29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135"/>
      <c r="M456" s="19"/>
      <c r="N456" s="131"/>
      <c r="O456" s="30"/>
      <c r="P456" s="29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135"/>
      <c r="M457" s="19"/>
      <c r="N457" s="131"/>
      <c r="O457" s="30"/>
      <c r="P457" s="29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135"/>
      <c r="M458" s="19"/>
      <c r="N458" s="131"/>
      <c r="O458" s="30"/>
      <c r="P458" s="29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135"/>
      <c r="M459" s="19"/>
      <c r="N459" s="131"/>
      <c r="O459" s="30"/>
      <c r="P459" s="29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135"/>
      <c r="M460" s="19"/>
      <c r="N460" s="131"/>
      <c r="O460" s="30"/>
      <c r="P460" s="29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135"/>
      <c r="M461" s="19"/>
      <c r="N461" s="131"/>
      <c r="O461" s="30"/>
      <c r="P461" s="29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135"/>
      <c r="M462" s="19"/>
      <c r="N462" s="131"/>
      <c r="O462" s="30"/>
      <c r="P462" s="29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135"/>
      <c r="M463" s="19"/>
      <c r="N463" s="131"/>
      <c r="O463" s="30"/>
      <c r="P463" s="29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135"/>
      <c r="M464" s="19"/>
      <c r="N464" s="131"/>
      <c r="O464" s="30"/>
      <c r="P464" s="29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135"/>
      <c r="M465" s="19"/>
      <c r="N465" s="131"/>
      <c r="O465" s="30"/>
      <c r="P465" s="29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135"/>
      <c r="M466" s="19"/>
      <c r="N466" s="131"/>
      <c r="O466" s="30"/>
      <c r="P466" s="29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135"/>
      <c r="M467" s="19"/>
      <c r="N467" s="131"/>
      <c r="O467" s="30"/>
      <c r="P467" s="29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135"/>
      <c r="M468" s="19"/>
      <c r="N468" s="131"/>
      <c r="O468" s="30"/>
      <c r="P468" s="29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135"/>
      <c r="M469" s="19"/>
      <c r="N469" s="131"/>
      <c r="O469" s="30"/>
      <c r="P469" s="29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135"/>
      <c r="M470" s="19"/>
      <c r="N470" s="131"/>
      <c r="O470" s="30"/>
      <c r="P470" s="29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135"/>
      <c r="M471" s="19"/>
      <c r="N471" s="131"/>
      <c r="O471" s="30"/>
      <c r="P471" s="29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135"/>
      <c r="M472" s="19"/>
      <c r="N472" s="131"/>
      <c r="O472" s="30"/>
      <c r="P472" s="29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135"/>
      <c r="M473" s="19"/>
      <c r="N473" s="131"/>
      <c r="O473" s="30"/>
      <c r="P473" s="29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135"/>
      <c r="M474" s="19"/>
      <c r="N474" s="131"/>
      <c r="O474" s="30"/>
      <c r="P474" s="29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135"/>
      <c r="M475" s="19"/>
      <c r="N475" s="131"/>
      <c r="O475" s="30"/>
      <c r="P475" s="29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135"/>
      <c r="M476" s="19"/>
      <c r="N476" s="131"/>
      <c r="O476" s="30"/>
      <c r="P476" s="29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135"/>
      <c r="M477" s="19"/>
      <c r="N477" s="131"/>
      <c r="O477" s="30"/>
      <c r="P477" s="29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135"/>
      <c r="M478" s="19"/>
      <c r="N478" s="131"/>
      <c r="O478" s="30"/>
      <c r="P478" s="29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135"/>
      <c r="M479" s="19"/>
      <c r="N479" s="131"/>
      <c r="O479" s="30"/>
      <c r="P479" s="29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135"/>
      <c r="M480" s="19"/>
      <c r="N480" s="131"/>
      <c r="O480" s="30"/>
      <c r="P480" s="29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135"/>
      <c r="M481" s="19"/>
      <c r="N481" s="131"/>
      <c r="O481" s="30"/>
      <c r="P481" s="29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135"/>
      <c r="M482" s="19"/>
      <c r="N482" s="131"/>
      <c r="O482" s="30"/>
      <c r="P482" s="29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135"/>
      <c r="M483" s="19"/>
      <c r="N483" s="131"/>
      <c r="O483" s="30"/>
      <c r="P483" s="29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135"/>
      <c r="M484" s="19"/>
      <c r="N484" s="131"/>
      <c r="O484" s="30"/>
      <c r="P484" s="29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135"/>
      <c r="M485" s="19"/>
      <c r="N485" s="131"/>
      <c r="O485" s="30"/>
      <c r="P485" s="29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135"/>
      <c r="M486" s="19"/>
      <c r="N486" s="131"/>
      <c r="O486" s="30"/>
      <c r="P486" s="29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135"/>
      <c r="M487" s="19"/>
      <c r="N487" s="131"/>
      <c r="O487" s="30"/>
      <c r="P487" s="29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135"/>
      <c r="M488" s="19"/>
      <c r="N488" s="131"/>
      <c r="O488" s="30"/>
      <c r="P488" s="29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135"/>
      <c r="M489" s="19"/>
      <c r="N489" s="131"/>
      <c r="O489" s="30"/>
      <c r="P489" s="29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135"/>
      <c r="M490" s="19"/>
      <c r="N490" s="131"/>
      <c r="O490" s="30"/>
      <c r="P490" s="29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135"/>
      <c r="M491" s="19"/>
      <c r="N491" s="131"/>
      <c r="O491" s="30"/>
      <c r="P491" s="29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135"/>
      <c r="M492" s="19"/>
      <c r="N492" s="131"/>
      <c r="O492" s="30"/>
      <c r="P492" s="29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135"/>
      <c r="M493" s="19"/>
      <c r="N493" s="131"/>
      <c r="O493" s="30"/>
      <c r="P493" s="29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135"/>
      <c r="M494" s="19"/>
      <c r="N494" s="131"/>
      <c r="O494" s="30"/>
      <c r="P494" s="29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135"/>
      <c r="M495" s="19"/>
      <c r="N495" s="131"/>
      <c r="O495" s="30"/>
      <c r="P495" s="29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135"/>
      <c r="M496" s="19"/>
      <c r="N496" s="131"/>
      <c r="O496" s="30"/>
      <c r="P496" s="29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135"/>
      <c r="M497" s="19"/>
      <c r="N497" s="131"/>
      <c r="O497" s="30"/>
      <c r="P497" s="29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135"/>
      <c r="M498" s="19"/>
      <c r="N498" s="131"/>
      <c r="O498" s="30"/>
      <c r="P498" s="29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135"/>
      <c r="M499" s="19"/>
      <c r="N499" s="131"/>
      <c r="O499" s="30"/>
      <c r="P499" s="29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135"/>
      <c r="M500" s="19"/>
      <c r="N500" s="131"/>
      <c r="O500" s="30"/>
      <c r="P500" s="29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135"/>
      <c r="M501" s="19"/>
      <c r="N501" s="131"/>
      <c r="O501" s="30"/>
      <c r="P501" s="29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135"/>
      <c r="M502" s="19"/>
      <c r="N502" s="131"/>
      <c r="O502" s="30"/>
      <c r="P502" s="29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135"/>
      <c r="M503" s="19"/>
      <c r="N503" s="131"/>
      <c r="O503" s="30"/>
      <c r="P503" s="29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135"/>
      <c r="M504" s="19"/>
      <c r="N504" s="131"/>
      <c r="O504" s="30"/>
      <c r="P504" s="29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135"/>
      <c r="M505" s="19"/>
      <c r="N505" s="131"/>
      <c r="O505" s="30"/>
      <c r="P505" s="29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135"/>
      <c r="M506" s="19"/>
      <c r="N506" s="131"/>
      <c r="O506" s="30"/>
      <c r="P506" s="29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135"/>
      <c r="M507" s="19"/>
      <c r="N507" s="131"/>
      <c r="O507" s="30"/>
      <c r="P507" s="29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135"/>
      <c r="M508" s="19"/>
      <c r="N508" s="131"/>
      <c r="O508" s="30"/>
      <c r="P508" s="29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135"/>
      <c r="M509" s="19"/>
      <c r="N509" s="131"/>
      <c r="O509" s="30"/>
      <c r="P509" s="29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135"/>
      <c r="M510" s="19"/>
      <c r="N510" s="131"/>
      <c r="O510" s="30"/>
      <c r="P510" s="29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135"/>
      <c r="M511" s="19"/>
      <c r="N511" s="131"/>
      <c r="O511" s="30"/>
      <c r="P511" s="29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135"/>
      <c r="M512" s="19"/>
      <c r="N512" s="131"/>
      <c r="O512" s="30"/>
      <c r="P512" s="29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135"/>
      <c r="M513" s="19"/>
      <c r="N513" s="131"/>
      <c r="O513" s="30"/>
      <c r="P513" s="29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135"/>
      <c r="M514" s="19"/>
      <c r="N514" s="131"/>
      <c r="O514" s="30"/>
      <c r="P514" s="29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135"/>
      <c r="M515" s="19"/>
      <c r="N515" s="131"/>
      <c r="O515" s="30"/>
      <c r="P515" s="29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135"/>
      <c r="M516" s="19"/>
      <c r="N516" s="131"/>
      <c r="O516" s="30"/>
      <c r="P516" s="29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135"/>
      <c r="M517" s="19"/>
      <c r="N517" s="131"/>
      <c r="O517" s="30"/>
      <c r="P517" s="29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135"/>
      <c r="M518" s="19"/>
      <c r="N518" s="131"/>
      <c r="O518" s="30"/>
      <c r="P518" s="29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135"/>
      <c r="M519" s="19"/>
      <c r="N519" s="131"/>
      <c r="O519" s="30"/>
      <c r="P519" s="29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135"/>
      <c r="M520" s="19"/>
      <c r="N520" s="131"/>
      <c r="O520" s="30"/>
      <c r="P520" s="29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135"/>
      <c r="M521" s="19"/>
      <c r="N521" s="131"/>
      <c r="O521" s="30"/>
      <c r="P521" s="29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135"/>
      <c r="M522" s="19"/>
      <c r="N522" s="131"/>
      <c r="O522" s="30"/>
      <c r="P522" s="29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135"/>
      <c r="M523" s="19"/>
      <c r="N523" s="131"/>
      <c r="O523" s="30"/>
      <c r="P523" s="29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135"/>
      <c r="M524" s="19"/>
      <c r="N524" s="131"/>
      <c r="O524" s="30"/>
      <c r="P524" s="29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135"/>
      <c r="M525" s="19"/>
      <c r="N525" s="131"/>
      <c r="O525" s="30"/>
      <c r="P525" s="29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135"/>
      <c r="M526" s="19"/>
      <c r="N526" s="131"/>
      <c r="O526" s="30"/>
      <c r="P526" s="29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135"/>
      <c r="M527" s="19"/>
      <c r="N527" s="131"/>
      <c r="O527" s="30"/>
      <c r="P527" s="29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135"/>
      <c r="M528" s="19"/>
      <c r="N528" s="131"/>
      <c r="O528" s="30"/>
      <c r="P528" s="29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135"/>
      <c r="M529" s="19"/>
      <c r="N529" s="131"/>
      <c r="O529" s="30"/>
      <c r="P529" s="29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135"/>
      <c r="M530" s="19"/>
      <c r="N530" s="131"/>
      <c r="O530" s="30"/>
      <c r="P530" s="29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135"/>
      <c r="M531" s="19"/>
      <c r="N531" s="131"/>
      <c r="O531" s="30"/>
      <c r="P531" s="29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135"/>
      <c r="M532" s="19"/>
      <c r="N532" s="131"/>
      <c r="O532" s="30"/>
      <c r="P532" s="29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135"/>
      <c r="M533" s="19"/>
      <c r="N533" s="131"/>
      <c r="O533" s="30"/>
      <c r="P533" s="29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135"/>
      <c r="M534" s="19"/>
      <c r="N534" s="131"/>
      <c r="O534" s="30"/>
      <c r="P534" s="29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135"/>
      <c r="M535" s="19"/>
      <c r="N535" s="131"/>
      <c r="O535" s="30"/>
      <c r="P535" s="29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135"/>
      <c r="M536" s="19"/>
      <c r="N536" s="131"/>
      <c r="O536" s="30"/>
      <c r="P536" s="29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135"/>
      <c r="M537" s="19"/>
      <c r="N537" s="131"/>
      <c r="O537" s="30"/>
      <c r="P537" s="29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135"/>
      <c r="M538" s="19"/>
      <c r="N538" s="131"/>
      <c r="O538" s="30"/>
      <c r="P538" s="29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135"/>
      <c r="M539" s="19"/>
      <c r="N539" s="131"/>
      <c r="O539" s="30"/>
      <c r="P539" s="29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135"/>
      <c r="M540" s="19"/>
      <c r="N540" s="131"/>
      <c r="O540" s="30"/>
      <c r="P540" s="29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135"/>
      <c r="M541" s="19"/>
      <c r="N541" s="131"/>
      <c r="O541" s="30"/>
      <c r="P541" s="29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135"/>
      <c r="M542" s="19"/>
      <c r="N542" s="131"/>
      <c r="O542" s="30"/>
      <c r="P542" s="29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135"/>
      <c r="M543" s="19"/>
      <c r="N543" s="131"/>
      <c r="O543" s="30"/>
      <c r="P543" s="29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135"/>
      <c r="M544" s="19"/>
      <c r="N544" s="131"/>
      <c r="O544" s="30"/>
      <c r="P544" s="29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135"/>
      <c r="M545" s="19"/>
      <c r="N545" s="131"/>
      <c r="O545" s="30"/>
      <c r="P545" s="29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135"/>
      <c r="M546" s="19"/>
      <c r="N546" s="131"/>
      <c r="O546" s="30"/>
      <c r="P546" s="29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135"/>
      <c r="M547" s="19"/>
      <c r="N547" s="131"/>
      <c r="O547" s="30"/>
      <c r="P547" s="29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135"/>
      <c r="M548" s="19"/>
      <c r="N548" s="131"/>
      <c r="O548" s="30"/>
      <c r="P548" s="29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135"/>
      <c r="M549" s="19"/>
      <c r="N549" s="131"/>
      <c r="O549" s="30"/>
      <c r="P549" s="29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135"/>
      <c r="M550" s="19"/>
      <c r="N550" s="131"/>
      <c r="O550" s="30"/>
      <c r="P550" s="29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135"/>
      <c r="M551" s="19"/>
      <c r="N551" s="131"/>
      <c r="O551" s="30"/>
      <c r="P551" s="29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135"/>
      <c r="M552" s="19"/>
      <c r="N552" s="131"/>
      <c r="O552" s="30"/>
      <c r="P552" s="29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135"/>
      <c r="M553" s="19"/>
      <c r="N553" s="131"/>
      <c r="O553" s="30"/>
      <c r="P553" s="29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135"/>
      <c r="M554" s="19"/>
      <c r="N554" s="131"/>
      <c r="O554" s="30"/>
      <c r="P554" s="29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135"/>
      <c r="M555" s="19"/>
      <c r="N555" s="131"/>
      <c r="O555" s="30"/>
      <c r="P555" s="29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135"/>
      <c r="M556" s="19"/>
      <c r="N556" s="131"/>
      <c r="O556" s="30"/>
      <c r="P556" s="29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135"/>
      <c r="M557" s="19"/>
      <c r="N557" s="131"/>
      <c r="O557" s="30"/>
      <c r="P557" s="29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135"/>
      <c r="M558" s="19"/>
      <c r="N558" s="131"/>
      <c r="O558" s="30"/>
      <c r="P558" s="29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135"/>
      <c r="M559" s="19"/>
      <c r="N559" s="131"/>
      <c r="O559" s="30"/>
      <c r="P559" s="29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135"/>
      <c r="M560" s="19"/>
      <c r="N560" s="131"/>
      <c r="O560" s="30"/>
      <c r="P560" s="29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135"/>
      <c r="M561" s="19"/>
      <c r="N561" s="131"/>
      <c r="O561" s="30"/>
      <c r="P561" s="29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135"/>
      <c r="M562" s="19"/>
      <c r="N562" s="131"/>
      <c r="O562" s="30"/>
      <c r="P562" s="29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135"/>
      <c r="M563" s="19"/>
      <c r="N563" s="131"/>
      <c r="O563" s="30"/>
      <c r="P563" s="29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135"/>
      <c r="M564" s="19"/>
      <c r="N564" s="131"/>
      <c r="O564" s="30"/>
      <c r="P564" s="29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135"/>
      <c r="M565" s="19"/>
      <c r="N565" s="131"/>
      <c r="O565" s="30"/>
      <c r="P565" s="29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135"/>
      <c r="M566" s="19"/>
      <c r="N566" s="131"/>
      <c r="O566" s="30"/>
      <c r="P566" s="29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135"/>
      <c r="M567" s="19"/>
      <c r="N567" s="131"/>
      <c r="O567" s="30"/>
      <c r="P567" s="29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135"/>
      <c r="M568" s="19"/>
      <c r="N568" s="131"/>
      <c r="O568" s="30"/>
      <c r="P568" s="29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135"/>
      <c r="M569" s="19"/>
      <c r="N569" s="131"/>
      <c r="O569" s="30"/>
      <c r="P569" s="29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135"/>
      <c r="M570" s="19"/>
      <c r="N570" s="131"/>
      <c r="O570" s="30"/>
      <c r="P570" s="29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135"/>
      <c r="M571" s="19"/>
      <c r="N571" s="131"/>
      <c r="O571" s="30"/>
      <c r="P571" s="29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135"/>
      <c r="M572" s="19"/>
      <c r="N572" s="131"/>
      <c r="O572" s="30"/>
      <c r="P572" s="29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135"/>
      <c r="M573" s="19"/>
      <c r="N573" s="131"/>
      <c r="O573" s="30"/>
      <c r="P573" s="29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135"/>
      <c r="M574" s="19"/>
      <c r="N574" s="131"/>
      <c r="O574" s="30"/>
      <c r="P574" s="29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135"/>
      <c r="M575" s="19"/>
      <c r="N575" s="131"/>
      <c r="O575" s="30"/>
      <c r="P575" s="29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135"/>
      <c r="M576" s="19"/>
      <c r="N576" s="131"/>
      <c r="O576" s="30"/>
      <c r="P576" s="29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135"/>
      <c r="M577" s="19"/>
      <c r="N577" s="131"/>
      <c r="O577" s="30"/>
      <c r="P577" s="29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135"/>
      <c r="M578" s="19"/>
      <c r="N578" s="131"/>
      <c r="O578" s="30"/>
      <c r="P578" s="29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135"/>
      <c r="M579" s="19"/>
      <c r="N579" s="131"/>
      <c r="O579" s="30"/>
      <c r="P579" s="29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135"/>
      <c r="M580" s="19"/>
      <c r="N580" s="131"/>
      <c r="O580" s="30"/>
      <c r="P580" s="29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135"/>
      <c r="M581" s="19"/>
      <c r="N581" s="131"/>
      <c r="O581" s="30"/>
      <c r="P581" s="29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135"/>
      <c r="M582" s="19"/>
      <c r="N582" s="131"/>
      <c r="O582" s="30"/>
      <c r="P582" s="29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135"/>
      <c r="M583" s="19"/>
      <c r="N583" s="131"/>
      <c r="O583" s="30"/>
      <c r="P583" s="29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135"/>
      <c r="M584" s="19"/>
      <c r="N584" s="131"/>
      <c r="O584" s="30"/>
      <c r="P584" s="29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135"/>
      <c r="M585" s="19"/>
      <c r="N585" s="131"/>
      <c r="O585" s="30"/>
      <c r="P585" s="29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135"/>
      <c r="M586" s="19"/>
      <c r="N586" s="131"/>
      <c r="O586" s="30"/>
      <c r="P586" s="29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135"/>
      <c r="M587" s="19"/>
      <c r="N587" s="131"/>
      <c r="O587" s="30"/>
      <c r="P587" s="29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135"/>
      <c r="M588" s="19"/>
      <c r="N588" s="131"/>
      <c r="O588" s="30"/>
      <c r="P588" s="29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135"/>
      <c r="M589" s="19"/>
      <c r="N589" s="131"/>
      <c r="O589" s="30"/>
      <c r="P589" s="29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135"/>
      <c r="M590" s="19"/>
      <c r="N590" s="131"/>
      <c r="O590" s="30"/>
      <c r="P590" s="29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135"/>
      <c r="M591" s="19"/>
      <c r="N591" s="131"/>
      <c r="O591" s="30"/>
      <c r="P591" s="29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135"/>
      <c r="M592" s="19"/>
      <c r="N592" s="131"/>
      <c r="O592" s="30"/>
      <c r="P592" s="29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135"/>
      <c r="M593" s="19"/>
      <c r="N593" s="131"/>
      <c r="O593" s="30"/>
      <c r="P593" s="29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135"/>
      <c r="M594" s="19"/>
      <c r="N594" s="131"/>
      <c r="O594" s="30"/>
      <c r="P594" s="29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135"/>
      <c r="M595" s="19"/>
      <c r="N595" s="131"/>
      <c r="O595" s="30"/>
      <c r="P595" s="29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135"/>
      <c r="M596" s="19"/>
      <c r="N596" s="131"/>
      <c r="O596" s="30"/>
      <c r="P596" s="29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135"/>
      <c r="M597" s="19"/>
      <c r="N597" s="131"/>
      <c r="O597" s="30"/>
      <c r="P597" s="29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135"/>
      <c r="M598" s="19"/>
      <c r="N598" s="131"/>
      <c r="O598" s="30"/>
      <c r="P598" s="29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135"/>
      <c r="M599" s="19"/>
      <c r="N599" s="131"/>
      <c r="O599" s="30"/>
      <c r="P599" s="29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135"/>
      <c r="M600" s="19"/>
      <c r="N600" s="131"/>
      <c r="O600" s="30"/>
      <c r="P600" s="29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135"/>
      <c r="M601" s="19"/>
      <c r="N601" s="131"/>
      <c r="O601" s="30"/>
      <c r="P601" s="29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135"/>
      <c r="M602" s="19"/>
      <c r="N602" s="131"/>
      <c r="O602" s="30"/>
      <c r="P602" s="29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135"/>
      <c r="M603" s="19"/>
      <c r="N603" s="131"/>
      <c r="O603" s="30"/>
      <c r="P603" s="29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135"/>
      <c r="M604" s="19"/>
      <c r="N604" s="131"/>
      <c r="O604" s="30"/>
      <c r="P604" s="29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135"/>
      <c r="M605" s="19"/>
      <c r="N605" s="131"/>
      <c r="O605" s="30"/>
      <c r="P605" s="29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135"/>
      <c r="M606" s="19"/>
      <c r="N606" s="131"/>
      <c r="O606" s="30"/>
      <c r="P606" s="29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135"/>
      <c r="M607" s="19"/>
      <c r="N607" s="131"/>
      <c r="O607" s="30"/>
      <c r="P607" s="29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135"/>
      <c r="M608" s="19"/>
      <c r="N608" s="131"/>
      <c r="O608" s="30"/>
      <c r="P608" s="29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135"/>
      <c r="M609" s="19"/>
      <c r="N609" s="131"/>
      <c r="O609" s="30"/>
      <c r="P609" s="29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135"/>
      <c r="M610" s="19"/>
      <c r="N610" s="131"/>
      <c r="O610" s="30"/>
      <c r="P610" s="29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135"/>
      <c r="M611" s="19"/>
      <c r="N611" s="131"/>
      <c r="O611" s="30"/>
      <c r="P611" s="29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135"/>
      <c r="M612" s="19"/>
      <c r="N612" s="131"/>
      <c r="O612" s="30"/>
      <c r="P612" s="29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135"/>
      <c r="M613" s="19"/>
      <c r="N613" s="131"/>
      <c r="O613" s="30"/>
      <c r="P613" s="29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135"/>
      <c r="M614" s="19"/>
      <c r="N614" s="131"/>
      <c r="O614" s="30"/>
      <c r="P614" s="29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135"/>
      <c r="M615" s="19"/>
      <c r="N615" s="131"/>
      <c r="O615" s="30"/>
      <c r="P615" s="29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135"/>
      <c r="M616" s="19"/>
      <c r="N616" s="131"/>
      <c r="O616" s="30"/>
      <c r="P616" s="29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135"/>
      <c r="M617" s="19"/>
      <c r="N617" s="131"/>
      <c r="O617" s="30"/>
      <c r="P617" s="29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135"/>
      <c r="M618" s="19"/>
      <c r="N618" s="131"/>
      <c r="O618" s="30"/>
      <c r="P618" s="29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135"/>
      <c r="M619" s="19"/>
      <c r="N619" s="131"/>
      <c r="O619" s="30"/>
      <c r="P619" s="29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135"/>
      <c r="M620" s="19"/>
      <c r="N620" s="131"/>
      <c r="O620" s="30"/>
      <c r="P620" s="29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135"/>
      <c r="M621" s="19"/>
      <c r="N621" s="131"/>
      <c r="O621" s="30"/>
      <c r="P621" s="29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135"/>
      <c r="M622" s="19"/>
      <c r="N622" s="131"/>
      <c r="O622" s="30"/>
      <c r="P622" s="29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135"/>
      <c r="M623" s="19"/>
      <c r="N623" s="131"/>
      <c r="O623" s="30"/>
      <c r="P623" s="29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135"/>
      <c r="M624" s="19"/>
      <c r="N624" s="131"/>
      <c r="O624" s="30"/>
      <c r="P624" s="29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135"/>
      <c r="M625" s="19"/>
      <c r="N625" s="131"/>
      <c r="O625" s="30"/>
      <c r="P625" s="29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135"/>
      <c r="M626" s="19"/>
      <c r="N626" s="131"/>
      <c r="O626" s="30"/>
      <c r="P626" s="29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135"/>
      <c r="M627" s="19"/>
      <c r="N627" s="131"/>
      <c r="O627" s="30"/>
      <c r="P627" s="29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135"/>
      <c r="M628" s="19"/>
      <c r="N628" s="131"/>
      <c r="O628" s="30"/>
      <c r="P628" s="29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135"/>
      <c r="M629" s="19"/>
      <c r="N629" s="131"/>
      <c r="O629" s="30"/>
      <c r="P629" s="29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135"/>
      <c r="M630" s="19"/>
      <c r="N630" s="131"/>
      <c r="O630" s="30"/>
      <c r="P630" s="29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135"/>
      <c r="M631" s="19"/>
      <c r="N631" s="131"/>
      <c r="O631" s="30"/>
      <c r="P631" s="29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135"/>
      <c r="M632" s="19"/>
      <c r="N632" s="131"/>
      <c r="O632" s="30"/>
      <c r="P632" s="29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135"/>
      <c r="M633" s="19"/>
      <c r="N633" s="131"/>
      <c r="O633" s="30"/>
      <c r="P633" s="29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135"/>
      <c r="M634" s="19"/>
      <c r="N634" s="131"/>
      <c r="O634" s="30"/>
      <c r="P634" s="29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135"/>
      <c r="M635" s="19"/>
      <c r="N635" s="131"/>
      <c r="O635" s="30"/>
      <c r="P635" s="29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135"/>
      <c r="M636" s="19"/>
      <c r="N636" s="131"/>
      <c r="O636" s="30"/>
      <c r="P636" s="29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135"/>
      <c r="M637" s="19"/>
      <c r="N637" s="131"/>
      <c r="O637" s="30"/>
      <c r="P637" s="29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135"/>
      <c r="M638" s="19"/>
      <c r="N638" s="131"/>
      <c r="O638" s="30"/>
      <c r="P638" s="29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135"/>
      <c r="M639" s="19"/>
      <c r="N639" s="131"/>
      <c r="O639" s="30"/>
      <c r="P639" s="29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135"/>
      <c r="M640" s="19"/>
      <c r="N640" s="131"/>
      <c r="O640" s="30"/>
      <c r="P640" s="29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135"/>
      <c r="M641" s="19"/>
      <c r="N641" s="131"/>
      <c r="O641" s="30"/>
      <c r="P641" s="29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135"/>
      <c r="M642" s="19"/>
      <c r="N642" s="131"/>
      <c r="O642" s="30"/>
      <c r="P642" s="29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135"/>
      <c r="M643" s="19"/>
      <c r="N643" s="131"/>
      <c r="O643" s="30"/>
      <c r="P643" s="29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135"/>
      <c r="M644" s="19"/>
      <c r="N644" s="131"/>
      <c r="O644" s="30"/>
      <c r="P644" s="29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135"/>
      <c r="M645" s="19"/>
      <c r="N645" s="131"/>
      <c r="O645" s="30"/>
      <c r="P645" s="29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135"/>
      <c r="M646" s="19"/>
      <c r="N646" s="131"/>
      <c r="O646" s="30"/>
      <c r="P646" s="29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135"/>
      <c r="M647" s="19"/>
      <c r="N647" s="131"/>
      <c r="O647" s="30"/>
      <c r="P647" s="29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135"/>
      <c r="M648" s="19"/>
      <c r="N648" s="131"/>
      <c r="O648" s="30"/>
      <c r="P648" s="29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135"/>
      <c r="M649" s="19"/>
      <c r="N649" s="131"/>
      <c r="O649" s="30"/>
      <c r="P649" s="29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135"/>
      <c r="M650" s="19"/>
      <c r="N650" s="131"/>
      <c r="O650" s="30"/>
      <c r="P650" s="29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135"/>
      <c r="M651" s="19"/>
      <c r="N651" s="131"/>
      <c r="O651" s="30"/>
      <c r="P651" s="29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135"/>
      <c r="M652" s="19"/>
      <c r="N652" s="131"/>
      <c r="O652" s="30"/>
      <c r="P652" s="29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135"/>
      <c r="M653" s="19"/>
      <c r="N653" s="131"/>
      <c r="O653" s="30"/>
      <c r="P653" s="29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135"/>
      <c r="M654" s="19"/>
      <c r="N654" s="131"/>
      <c r="O654" s="30"/>
      <c r="P654" s="29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135"/>
      <c r="M655" s="19"/>
      <c r="N655" s="131"/>
      <c r="O655" s="30"/>
      <c r="P655" s="29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135"/>
      <c r="M656" s="19"/>
      <c r="N656" s="131"/>
      <c r="O656" s="30"/>
      <c r="P656" s="29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135"/>
      <c r="M657" s="19"/>
      <c r="N657" s="131"/>
      <c r="O657" s="30"/>
      <c r="P657" s="29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135"/>
      <c r="M658" s="19"/>
      <c r="N658" s="131"/>
      <c r="O658" s="30"/>
      <c r="P658" s="29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135"/>
      <c r="M659" s="19"/>
      <c r="N659" s="131"/>
      <c r="O659" s="30"/>
      <c r="P659" s="29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135"/>
      <c r="M660" s="19"/>
      <c r="N660" s="131"/>
      <c r="O660" s="30"/>
      <c r="P660" s="29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135"/>
      <c r="M661" s="19"/>
      <c r="N661" s="131"/>
      <c r="O661" s="30"/>
      <c r="P661" s="29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135"/>
      <c r="M662" s="19"/>
      <c r="N662" s="131"/>
      <c r="O662" s="30"/>
      <c r="P662" s="29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135"/>
      <c r="M663" s="19"/>
      <c r="N663" s="131"/>
      <c r="O663" s="30"/>
      <c r="P663" s="29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135"/>
      <c r="M664" s="19"/>
      <c r="N664" s="131"/>
      <c r="O664" s="30"/>
      <c r="P664" s="29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135"/>
      <c r="M665" s="19"/>
      <c r="N665" s="131"/>
      <c r="O665" s="30"/>
      <c r="P665" s="29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135"/>
      <c r="M666" s="19"/>
      <c r="N666" s="131"/>
      <c r="O666" s="30"/>
      <c r="P666" s="29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135"/>
      <c r="M667" s="19"/>
      <c r="N667" s="131"/>
      <c r="O667" s="30"/>
      <c r="P667" s="29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135"/>
      <c r="M668" s="19"/>
      <c r="N668" s="131"/>
      <c r="O668" s="30"/>
      <c r="P668" s="29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135"/>
      <c r="M669" s="19"/>
      <c r="N669" s="131"/>
      <c r="O669" s="30"/>
      <c r="P669" s="29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135"/>
      <c r="M670" s="19"/>
      <c r="N670" s="131"/>
      <c r="O670" s="30"/>
      <c r="P670" s="29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135"/>
      <c r="M671" s="19"/>
      <c r="N671" s="131"/>
      <c r="O671" s="30"/>
      <c r="P671" s="29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135"/>
      <c r="M672" s="19"/>
      <c r="N672" s="131"/>
      <c r="O672" s="30"/>
      <c r="P672" s="29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135"/>
      <c r="M673" s="19"/>
      <c r="N673" s="131"/>
      <c r="O673" s="30"/>
      <c r="P673" s="29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135"/>
      <c r="M674" s="19"/>
      <c r="N674" s="131"/>
      <c r="O674" s="30"/>
      <c r="P674" s="29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135"/>
      <c r="M675" s="19"/>
      <c r="N675" s="131"/>
      <c r="O675" s="30"/>
      <c r="P675" s="29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135"/>
      <c r="M676" s="19"/>
      <c r="N676" s="131"/>
      <c r="O676" s="30"/>
      <c r="P676" s="29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135"/>
      <c r="M677" s="19"/>
      <c r="N677" s="131"/>
      <c r="O677" s="30"/>
      <c r="P677" s="29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135"/>
      <c r="M678" s="19"/>
      <c r="N678" s="131"/>
      <c r="O678" s="30"/>
      <c r="P678" s="29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135"/>
      <c r="M679" s="19"/>
      <c r="N679" s="131"/>
      <c r="O679" s="30"/>
      <c r="P679" s="29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135"/>
      <c r="M680" s="19"/>
      <c r="N680" s="131"/>
      <c r="O680" s="30"/>
      <c r="P680" s="29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135"/>
      <c r="M681" s="19"/>
      <c r="N681" s="131"/>
      <c r="O681" s="30"/>
      <c r="P681" s="29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135"/>
      <c r="M682" s="19"/>
      <c r="N682" s="131"/>
      <c r="O682" s="30"/>
      <c r="P682" s="29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135"/>
      <c r="M683" s="19"/>
      <c r="N683" s="131"/>
      <c r="O683" s="30"/>
      <c r="P683" s="29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135"/>
      <c r="M684" s="19"/>
      <c r="N684" s="131"/>
      <c r="O684" s="30"/>
      <c r="P684" s="29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135"/>
      <c r="M685" s="19"/>
      <c r="N685" s="131"/>
      <c r="O685" s="30"/>
      <c r="P685" s="29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135"/>
      <c r="M686" s="19"/>
      <c r="N686" s="131"/>
      <c r="O686" s="30"/>
      <c r="P686" s="29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135"/>
      <c r="M687" s="19"/>
      <c r="N687" s="131"/>
      <c r="O687" s="30"/>
      <c r="P687" s="29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135"/>
      <c r="M688" s="19"/>
      <c r="N688" s="131"/>
      <c r="O688" s="30"/>
      <c r="P688" s="29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135"/>
      <c r="M689" s="19"/>
      <c r="N689" s="131"/>
      <c r="O689" s="30"/>
      <c r="P689" s="29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135"/>
      <c r="M690" s="19"/>
      <c r="N690" s="131"/>
      <c r="O690" s="30"/>
      <c r="P690" s="29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135"/>
      <c r="M691" s="19"/>
      <c r="N691" s="131"/>
      <c r="O691" s="30"/>
      <c r="P691" s="29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135"/>
      <c r="M692" s="19"/>
      <c r="N692" s="131"/>
      <c r="O692" s="30"/>
      <c r="P692" s="29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135"/>
      <c r="M693" s="19"/>
      <c r="N693" s="131"/>
      <c r="O693" s="30"/>
      <c r="P693" s="29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135"/>
      <c r="M694" s="19"/>
      <c r="N694" s="131"/>
      <c r="O694" s="30"/>
      <c r="P694" s="29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135"/>
      <c r="M695" s="19"/>
      <c r="N695" s="131"/>
      <c r="O695" s="30"/>
      <c r="P695" s="29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135"/>
      <c r="M696" s="19"/>
      <c r="N696" s="131"/>
      <c r="O696" s="30"/>
      <c r="P696" s="29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135"/>
      <c r="M697" s="19"/>
      <c r="N697" s="131"/>
      <c r="O697" s="30"/>
      <c r="P697" s="29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135"/>
      <c r="M698" s="19"/>
      <c r="N698" s="131"/>
      <c r="O698" s="30"/>
      <c r="P698" s="29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135"/>
      <c r="M699" s="19"/>
      <c r="N699" s="131"/>
      <c r="O699" s="30"/>
      <c r="P699" s="29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135"/>
      <c r="M700" s="19"/>
      <c r="N700" s="131"/>
      <c r="O700" s="30"/>
      <c r="P700" s="29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135"/>
      <c r="M701" s="19"/>
      <c r="N701" s="131"/>
      <c r="O701" s="30"/>
      <c r="P701" s="29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135"/>
      <c r="M702" s="19"/>
      <c r="N702" s="131"/>
      <c r="O702" s="30"/>
      <c r="P702" s="29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135"/>
      <c r="M703" s="19"/>
      <c r="N703" s="131"/>
      <c r="O703" s="30"/>
      <c r="P703" s="29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135"/>
      <c r="M704" s="19"/>
      <c r="N704" s="131"/>
      <c r="O704" s="30"/>
      <c r="P704" s="29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135"/>
      <c r="M705" s="19"/>
      <c r="N705" s="131"/>
      <c r="O705" s="30"/>
      <c r="P705" s="29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135"/>
      <c r="M706" s="19"/>
      <c r="N706" s="131"/>
      <c r="O706" s="30"/>
      <c r="P706" s="29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135"/>
      <c r="M707" s="19"/>
      <c r="N707" s="131"/>
      <c r="O707" s="30"/>
      <c r="P707" s="29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135"/>
      <c r="M708" s="19"/>
      <c r="N708" s="131"/>
      <c r="O708" s="30"/>
      <c r="P708" s="29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135"/>
      <c r="M709" s="19"/>
      <c r="N709" s="131"/>
      <c r="O709" s="30"/>
      <c r="P709" s="29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135"/>
      <c r="M710" s="19"/>
      <c r="N710" s="131"/>
      <c r="O710" s="30"/>
      <c r="P710" s="29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135"/>
      <c r="M711" s="19"/>
      <c r="N711" s="131"/>
      <c r="O711" s="30"/>
      <c r="P711" s="29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135"/>
      <c r="M712" s="19"/>
      <c r="N712" s="131"/>
      <c r="O712" s="30"/>
      <c r="P712" s="29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135"/>
      <c r="M713" s="19"/>
      <c r="N713" s="131"/>
      <c r="O713" s="30"/>
      <c r="P713" s="29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135"/>
      <c r="M714" s="19"/>
      <c r="N714" s="131"/>
      <c r="O714" s="30"/>
      <c r="P714" s="29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135"/>
      <c r="M715" s="19"/>
      <c r="N715" s="131"/>
      <c r="O715" s="30"/>
      <c r="P715" s="29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135"/>
      <c r="M716" s="19"/>
      <c r="N716" s="131"/>
      <c r="O716" s="30"/>
      <c r="P716" s="29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135"/>
      <c r="M717" s="19"/>
      <c r="N717" s="131"/>
      <c r="O717" s="30"/>
      <c r="P717" s="29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135"/>
      <c r="M718" s="19"/>
      <c r="N718" s="131"/>
      <c r="O718" s="30"/>
      <c r="P718" s="29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135"/>
      <c r="M719" s="19"/>
      <c r="N719" s="131"/>
      <c r="O719" s="30"/>
      <c r="P719" s="29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135"/>
      <c r="M720" s="19"/>
      <c r="N720" s="131"/>
      <c r="O720" s="30"/>
      <c r="P720" s="29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135"/>
      <c r="M721" s="19"/>
      <c r="N721" s="131"/>
      <c r="O721" s="30"/>
      <c r="P721" s="29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135"/>
      <c r="M722" s="19"/>
      <c r="N722" s="131"/>
      <c r="O722" s="30"/>
      <c r="P722" s="29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135"/>
      <c r="M723" s="19"/>
      <c r="N723" s="131"/>
      <c r="O723" s="30"/>
      <c r="P723" s="29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135"/>
      <c r="M724" s="19"/>
      <c r="N724" s="131"/>
      <c r="O724" s="30"/>
      <c r="P724" s="29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135"/>
      <c r="M725" s="19"/>
      <c r="N725" s="131"/>
      <c r="O725" s="30"/>
      <c r="P725" s="29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135"/>
      <c r="M726" s="19"/>
      <c r="N726" s="131"/>
      <c r="O726" s="30"/>
      <c r="P726" s="29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135"/>
      <c r="M727" s="19"/>
      <c r="N727" s="131"/>
      <c r="O727" s="30"/>
      <c r="P727" s="29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135"/>
      <c r="M728" s="19"/>
      <c r="N728" s="131"/>
      <c r="O728" s="30"/>
      <c r="P728" s="29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135"/>
      <c r="M729" s="19"/>
      <c r="N729" s="131"/>
      <c r="O729" s="30"/>
      <c r="P729" s="29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135"/>
      <c r="M730" s="19"/>
      <c r="N730" s="131"/>
      <c r="O730" s="30"/>
      <c r="P730" s="29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135"/>
      <c r="M731" s="19"/>
      <c r="N731" s="131"/>
      <c r="O731" s="30"/>
      <c r="P731" s="29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135"/>
      <c r="M732" s="19"/>
      <c r="N732" s="131"/>
      <c r="O732" s="30"/>
      <c r="P732" s="29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135"/>
      <c r="M733" s="19"/>
      <c r="N733" s="131"/>
      <c r="O733" s="30"/>
      <c r="P733" s="29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135"/>
      <c r="M734" s="19"/>
      <c r="N734" s="131"/>
      <c r="O734" s="30"/>
      <c r="P734" s="29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135"/>
      <c r="M735" s="19"/>
      <c r="N735" s="131"/>
      <c r="O735" s="30"/>
      <c r="P735" s="29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135"/>
      <c r="M736" s="19"/>
      <c r="N736" s="131"/>
      <c r="O736" s="30"/>
      <c r="P736" s="29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135"/>
      <c r="M737" s="19"/>
      <c r="N737" s="131"/>
      <c r="O737" s="30"/>
      <c r="P737" s="29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135"/>
      <c r="M738" s="19"/>
      <c r="N738" s="131"/>
      <c r="O738" s="30"/>
      <c r="P738" s="29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135"/>
      <c r="M739" s="19"/>
      <c r="N739" s="131"/>
      <c r="O739" s="30"/>
      <c r="P739" s="29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135"/>
      <c r="M740" s="19"/>
      <c r="N740" s="131"/>
      <c r="O740" s="30"/>
      <c r="P740" s="29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135"/>
      <c r="M741" s="19"/>
      <c r="N741" s="131"/>
      <c r="O741" s="30"/>
      <c r="P741" s="29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135"/>
      <c r="M742" s="19"/>
      <c r="N742" s="131"/>
      <c r="O742" s="30"/>
      <c r="P742" s="29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135"/>
      <c r="M743" s="19"/>
      <c r="N743" s="131"/>
      <c r="O743" s="30"/>
      <c r="P743" s="29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135"/>
      <c r="M744" s="19"/>
      <c r="N744" s="131"/>
      <c r="O744" s="30"/>
      <c r="P744" s="29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135"/>
      <c r="M745" s="19"/>
      <c r="N745" s="131"/>
      <c r="O745" s="30"/>
      <c r="P745" s="29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135"/>
      <c r="M746" s="19"/>
      <c r="N746" s="131"/>
      <c r="O746" s="30"/>
      <c r="P746" s="29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135"/>
      <c r="M747" s="19"/>
      <c r="N747" s="131"/>
      <c r="O747" s="30"/>
      <c r="P747" s="29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135"/>
      <c r="M748" s="19"/>
      <c r="N748" s="131"/>
      <c r="O748" s="30"/>
      <c r="P748" s="29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135"/>
      <c r="M749" s="19"/>
      <c r="N749" s="131"/>
      <c r="O749" s="30"/>
      <c r="P749" s="29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135"/>
      <c r="M750" s="19"/>
      <c r="N750" s="131"/>
      <c r="O750" s="30"/>
      <c r="P750" s="29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135"/>
      <c r="M751" s="19"/>
      <c r="N751" s="131"/>
      <c r="O751" s="30"/>
      <c r="P751" s="29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135"/>
      <c r="M752" s="19"/>
      <c r="N752" s="131"/>
      <c r="O752" s="30"/>
      <c r="P752" s="29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135"/>
      <c r="M753" s="19"/>
      <c r="N753" s="131"/>
      <c r="O753" s="30"/>
      <c r="P753" s="29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135"/>
      <c r="M754" s="19"/>
      <c r="N754" s="131"/>
      <c r="O754" s="30"/>
      <c r="P754" s="29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135"/>
      <c r="M755" s="19"/>
      <c r="N755" s="131"/>
      <c r="O755" s="30"/>
      <c r="P755" s="29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135"/>
      <c r="M756" s="19"/>
      <c r="N756" s="131"/>
      <c r="O756" s="30"/>
      <c r="P756" s="29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135"/>
      <c r="M757" s="19"/>
      <c r="N757" s="131"/>
      <c r="O757" s="30"/>
      <c r="P757" s="29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135"/>
      <c r="M758" s="19"/>
      <c r="N758" s="131"/>
      <c r="O758" s="30"/>
      <c r="P758" s="29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135"/>
      <c r="M759" s="19"/>
      <c r="N759" s="131"/>
      <c r="O759" s="30"/>
      <c r="P759" s="29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135"/>
      <c r="M760" s="19"/>
      <c r="N760" s="131"/>
      <c r="O760" s="30"/>
      <c r="P760" s="29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135"/>
      <c r="M761" s="19"/>
      <c r="N761" s="131"/>
      <c r="O761" s="30"/>
      <c r="P761" s="29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135"/>
      <c r="M762" s="19"/>
      <c r="N762" s="131"/>
      <c r="O762" s="30"/>
      <c r="P762" s="29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135"/>
      <c r="M763" s="19"/>
      <c r="N763" s="131"/>
      <c r="O763" s="30"/>
      <c r="P763" s="29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135"/>
      <c r="M764" s="19"/>
      <c r="N764" s="131"/>
      <c r="O764" s="30"/>
      <c r="P764" s="29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135"/>
      <c r="M765" s="19"/>
      <c r="N765" s="131"/>
      <c r="O765" s="30"/>
      <c r="P765" s="29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135"/>
      <c r="M766" s="19"/>
      <c r="N766" s="131"/>
      <c r="O766" s="30"/>
      <c r="P766" s="29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135"/>
      <c r="M767" s="19"/>
      <c r="N767" s="131"/>
      <c r="O767" s="30"/>
      <c r="P767" s="29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135"/>
      <c r="M768" s="19"/>
      <c r="N768" s="131"/>
      <c r="O768" s="30"/>
      <c r="P768" s="29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135"/>
      <c r="M769" s="19"/>
      <c r="N769" s="131"/>
      <c r="O769" s="30"/>
      <c r="P769" s="29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135"/>
      <c r="M770" s="19"/>
      <c r="N770" s="131"/>
      <c r="O770" s="30"/>
      <c r="P770" s="29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135"/>
      <c r="M771" s="19"/>
      <c r="N771" s="131"/>
      <c r="O771" s="30"/>
      <c r="P771" s="29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135"/>
      <c r="M772" s="19"/>
      <c r="N772" s="131"/>
      <c r="O772" s="30"/>
      <c r="P772" s="29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135"/>
      <c r="M773" s="19"/>
      <c r="N773" s="131"/>
      <c r="O773" s="30"/>
      <c r="P773" s="29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135"/>
      <c r="M774" s="19"/>
      <c r="N774" s="131"/>
      <c r="O774" s="30"/>
      <c r="P774" s="29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135"/>
      <c r="M775" s="19"/>
      <c r="N775" s="131"/>
      <c r="O775" s="30"/>
      <c r="P775" s="29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135"/>
      <c r="M776" s="19"/>
      <c r="N776" s="131"/>
      <c r="O776" s="30"/>
      <c r="P776" s="29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135"/>
      <c r="M777" s="19"/>
      <c r="N777" s="131"/>
      <c r="O777" s="30"/>
      <c r="P777" s="29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135"/>
      <c r="M778" s="19"/>
      <c r="N778" s="131"/>
      <c r="O778" s="30"/>
      <c r="P778" s="29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135"/>
      <c r="M779" s="19"/>
      <c r="N779" s="131"/>
      <c r="O779" s="30"/>
      <c r="P779" s="29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135"/>
      <c r="M780" s="19"/>
      <c r="N780" s="131"/>
      <c r="O780" s="30"/>
      <c r="P780" s="29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135"/>
      <c r="M781" s="19"/>
      <c r="N781" s="131"/>
      <c r="O781" s="30"/>
      <c r="P781" s="29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135"/>
      <c r="M782" s="19"/>
      <c r="N782" s="131"/>
      <c r="O782" s="30"/>
      <c r="P782" s="29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135"/>
      <c r="M783" s="19"/>
      <c r="N783" s="131"/>
      <c r="O783" s="30"/>
      <c r="P783" s="29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135"/>
      <c r="M784" s="19"/>
      <c r="N784" s="131"/>
      <c r="O784" s="30"/>
      <c r="P784" s="29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135"/>
      <c r="M785" s="19"/>
      <c r="N785" s="131"/>
      <c r="O785" s="30"/>
      <c r="P785" s="29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135"/>
      <c r="M786" s="19"/>
      <c r="N786" s="131"/>
      <c r="O786" s="30"/>
      <c r="P786" s="29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135"/>
      <c r="M787" s="19"/>
      <c r="N787" s="131"/>
      <c r="O787" s="30"/>
      <c r="P787" s="29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135"/>
      <c r="M788" s="19"/>
      <c r="N788" s="131"/>
      <c r="O788" s="30"/>
      <c r="P788" s="29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135"/>
      <c r="M789" s="19"/>
      <c r="N789" s="131"/>
      <c r="O789" s="30"/>
      <c r="P789" s="29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135"/>
      <c r="M790" s="19"/>
      <c r="N790" s="131"/>
      <c r="O790" s="30"/>
      <c r="P790" s="29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135"/>
      <c r="M791" s="19"/>
      <c r="N791" s="131"/>
      <c r="O791" s="30"/>
      <c r="P791" s="29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135"/>
      <c r="M792" s="19"/>
      <c r="N792" s="131"/>
      <c r="O792" s="30"/>
      <c r="P792" s="29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135"/>
      <c r="M793" s="19"/>
      <c r="N793" s="131"/>
      <c r="O793" s="30"/>
      <c r="P793" s="29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135"/>
      <c r="M794" s="19"/>
      <c r="N794" s="131"/>
      <c r="O794" s="30"/>
      <c r="P794" s="29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135"/>
      <c r="M795" s="19"/>
      <c r="N795" s="131"/>
      <c r="O795" s="30"/>
      <c r="P795" s="29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135"/>
      <c r="M796" s="19"/>
      <c r="N796" s="131"/>
      <c r="O796" s="30"/>
      <c r="P796" s="29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135"/>
      <c r="M797" s="19"/>
      <c r="N797" s="131"/>
      <c r="O797" s="30"/>
      <c r="P797" s="29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135"/>
      <c r="M798" s="19"/>
      <c r="N798" s="131"/>
      <c r="O798" s="30"/>
      <c r="P798" s="29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135"/>
      <c r="M799" s="19"/>
      <c r="N799" s="131"/>
      <c r="O799" s="30"/>
      <c r="P799" s="29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135"/>
      <c r="M800" s="19"/>
      <c r="N800" s="131"/>
      <c r="O800" s="30"/>
      <c r="P800" s="29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135"/>
      <c r="M801" s="19"/>
      <c r="N801" s="131"/>
      <c r="O801" s="30"/>
      <c r="P801" s="29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135"/>
      <c r="M802" s="19"/>
      <c r="N802" s="131"/>
      <c r="O802" s="30"/>
      <c r="P802" s="29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135"/>
      <c r="M803" s="19"/>
      <c r="N803" s="131"/>
      <c r="O803" s="30"/>
      <c r="P803" s="29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135"/>
      <c r="M804" s="19"/>
      <c r="N804" s="131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135"/>
      <c r="M805" s="19"/>
      <c r="N805" s="131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135"/>
      <c r="M806" s="19"/>
      <c r="N806" s="131"/>
      <c r="O806" s="30"/>
      <c r="P806" s="29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135"/>
      <c r="M807" s="19"/>
      <c r="N807" s="131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135"/>
      <c r="M808" s="19"/>
      <c r="N808" s="131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135"/>
      <c r="M809" s="19"/>
      <c r="N809" s="131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135"/>
      <c r="M810" s="19"/>
      <c r="N810" s="131"/>
      <c r="O810" s="30"/>
      <c r="P810" s="29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135"/>
      <c r="M811" s="19"/>
      <c r="N811" s="131"/>
      <c r="O811" s="30"/>
      <c r="P811" s="29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135"/>
      <c r="M812" s="19"/>
      <c r="N812" s="131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135"/>
      <c r="M813" s="19"/>
      <c r="N813" s="131"/>
      <c r="O813" s="30"/>
      <c r="P813" s="29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135"/>
      <c r="M814" s="19"/>
      <c r="N814" s="131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135"/>
      <c r="M815" s="19"/>
      <c r="N815" s="131"/>
      <c r="O815" s="30"/>
      <c r="P815" s="29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135"/>
      <c r="M816" s="19"/>
      <c r="N816" s="131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135"/>
      <c r="M817" s="19"/>
      <c r="N817" s="131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135"/>
      <c r="M818" s="19"/>
      <c r="N818" s="131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135"/>
      <c r="M819" s="19"/>
      <c r="N819" s="131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135"/>
      <c r="M820" s="19"/>
      <c r="N820" s="131"/>
      <c r="O820" s="30"/>
      <c r="P820" s="29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135"/>
      <c r="M821" s="19"/>
      <c r="N821" s="131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135"/>
      <c r="M822" s="19"/>
      <c r="N822" s="131"/>
      <c r="O822" s="30"/>
      <c r="P822" s="29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135"/>
      <c r="M823" s="19"/>
      <c r="N823" s="131"/>
      <c r="O823" s="30"/>
      <c r="P823" s="29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135"/>
      <c r="M824" s="19"/>
      <c r="N824" s="131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135"/>
      <c r="M825" s="19"/>
      <c r="N825" s="131"/>
      <c r="O825" s="30"/>
      <c r="P825" s="29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135"/>
      <c r="M826" s="19"/>
      <c r="N826" s="131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135"/>
      <c r="M827" s="19"/>
      <c r="N827" s="131"/>
      <c r="O827" s="30"/>
      <c r="P827" s="29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135"/>
      <c r="M828" s="19"/>
      <c r="N828" s="131"/>
      <c r="O828" s="30"/>
      <c r="P828" s="29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135"/>
      <c r="M829" s="19"/>
      <c r="N829" s="131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135"/>
      <c r="M830" s="19"/>
      <c r="N830" s="131"/>
      <c r="O830" s="30"/>
      <c r="P830" s="29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135"/>
      <c r="M831" s="19"/>
      <c r="N831" s="131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135"/>
      <c r="M832" s="19"/>
      <c r="N832" s="131"/>
      <c r="O832" s="30"/>
      <c r="P832" s="29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135"/>
      <c r="M833" s="19"/>
      <c r="N833" s="131"/>
      <c r="O833" s="30"/>
      <c r="P833" s="29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135"/>
      <c r="M834" s="19"/>
      <c r="N834" s="131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135"/>
      <c r="M835" s="19"/>
      <c r="N835" s="131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135"/>
      <c r="M836" s="19"/>
      <c r="N836" s="131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135"/>
      <c r="M837" s="19"/>
      <c r="N837" s="131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135"/>
      <c r="M838" s="19"/>
      <c r="N838" s="131"/>
      <c r="O838" s="30"/>
      <c r="P838" s="29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135"/>
      <c r="M839" s="19"/>
      <c r="N839" s="131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135"/>
      <c r="M840" s="19"/>
      <c r="N840" s="131"/>
      <c r="O840" s="30"/>
      <c r="P840" s="29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135"/>
      <c r="M841" s="19"/>
      <c r="N841" s="131"/>
      <c r="O841" s="30"/>
      <c r="P841" s="29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135"/>
      <c r="M842" s="19"/>
      <c r="N842" s="131"/>
      <c r="O842" s="30"/>
      <c r="P842" s="29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135"/>
      <c r="M843" s="19"/>
      <c r="N843" s="131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135"/>
      <c r="M844" s="19"/>
      <c r="N844" s="131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135"/>
      <c r="M845" s="19"/>
      <c r="N845" s="131"/>
      <c r="O845" s="30"/>
      <c r="P845" s="29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135"/>
      <c r="M846" s="19"/>
      <c r="N846" s="131"/>
      <c r="O846" s="30"/>
      <c r="P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135"/>
      <c r="M847" s="19"/>
      <c r="N847" s="131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135"/>
      <c r="M848" s="19"/>
      <c r="N848" s="131"/>
      <c r="O848" s="30"/>
      <c r="P848" s="29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135"/>
      <c r="M849" s="19"/>
      <c r="N849" s="131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135"/>
      <c r="M850" s="19"/>
      <c r="N850" s="131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135"/>
      <c r="M851" s="19"/>
      <c r="N851" s="131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135"/>
      <c r="M852" s="19"/>
      <c r="N852" s="131"/>
      <c r="O852" s="30"/>
      <c r="P852" s="29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135"/>
      <c r="M853" s="19"/>
      <c r="N853" s="131"/>
      <c r="O853" s="30"/>
      <c r="P853" s="29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135"/>
      <c r="M854" s="19"/>
      <c r="N854" s="131"/>
      <c r="O854" s="30"/>
      <c r="P854" s="29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135"/>
      <c r="M855" s="19"/>
      <c r="N855" s="131"/>
      <c r="O855" s="30"/>
      <c r="P855" s="29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135"/>
      <c r="M856" s="19"/>
      <c r="N856" s="131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135"/>
      <c r="M857" s="19"/>
      <c r="N857" s="131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135"/>
      <c r="M858" s="19"/>
      <c r="N858" s="131"/>
      <c r="O858" s="30"/>
      <c r="P858" s="29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135"/>
      <c r="M859" s="19"/>
      <c r="N859" s="131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135"/>
      <c r="M860" s="19"/>
      <c r="N860" s="131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135"/>
      <c r="M861" s="19"/>
      <c r="N861" s="131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135"/>
      <c r="M862" s="19"/>
      <c r="N862" s="131"/>
      <c r="O862" s="30"/>
      <c r="P862" s="29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135"/>
      <c r="M863" s="19"/>
      <c r="N863" s="131"/>
      <c r="O863" s="30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135"/>
      <c r="M864" s="19"/>
      <c r="N864" s="131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135"/>
      <c r="M865" s="19"/>
      <c r="N865" s="131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135"/>
      <c r="M866" s="19"/>
      <c r="N866" s="131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135"/>
      <c r="M867" s="19"/>
      <c r="N867" s="131"/>
      <c r="O867" s="30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135"/>
      <c r="M868" s="19"/>
      <c r="N868" s="131"/>
      <c r="O868" s="30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135"/>
      <c r="M869" s="19"/>
      <c r="N869" s="131"/>
      <c r="O869" s="30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135"/>
      <c r="M870" s="19"/>
      <c r="N870" s="131"/>
      <c r="O870" s="30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135"/>
      <c r="M871" s="19"/>
      <c r="N871" s="131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135"/>
      <c r="M872" s="19"/>
      <c r="N872" s="131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135"/>
      <c r="M873" s="19"/>
      <c r="N873" s="131"/>
      <c r="O873" s="30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135"/>
      <c r="M874" s="19"/>
      <c r="N874" s="131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135"/>
      <c r="M875" s="19"/>
      <c r="N875" s="131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135"/>
      <c r="M876" s="19"/>
      <c r="N876" s="131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135"/>
      <c r="M877" s="19"/>
      <c r="N877" s="131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135"/>
      <c r="M878" s="19"/>
      <c r="N878" s="131"/>
      <c r="O878" s="30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135"/>
      <c r="M879" s="19"/>
      <c r="N879" s="131"/>
      <c r="O879" s="30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135"/>
      <c r="M880" s="19"/>
      <c r="N880" s="131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135"/>
      <c r="M881" s="19"/>
      <c r="N881" s="131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135"/>
      <c r="M882" s="19"/>
      <c r="N882" s="131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135"/>
      <c r="M883" s="19"/>
      <c r="N883" s="131"/>
      <c r="O883" s="30"/>
      <c r="P883" s="29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135"/>
      <c r="M884" s="19"/>
      <c r="N884" s="131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135"/>
      <c r="M885" s="19"/>
      <c r="N885" s="131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135"/>
      <c r="M886" s="19"/>
      <c r="N886" s="131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135"/>
      <c r="M887" s="19"/>
      <c r="N887" s="131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135"/>
      <c r="M888" s="19"/>
      <c r="N888" s="131"/>
      <c r="O888" s="30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135"/>
      <c r="M889" s="19"/>
      <c r="N889" s="131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135"/>
      <c r="M890" s="19"/>
      <c r="N890" s="131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135"/>
      <c r="M891" s="19"/>
      <c r="N891" s="131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135"/>
      <c r="M892" s="19"/>
      <c r="N892" s="131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135"/>
      <c r="M893" s="19"/>
      <c r="N893" s="131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135"/>
      <c r="M894" s="19"/>
      <c r="N894" s="131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135"/>
      <c r="M895" s="19"/>
      <c r="N895" s="131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135"/>
      <c r="M896" s="19"/>
      <c r="N896" s="131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135"/>
      <c r="M897" s="19"/>
      <c r="N897" s="131"/>
      <c r="O897" s="30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135"/>
      <c r="M898" s="19"/>
      <c r="N898" s="131"/>
      <c r="O898" s="30"/>
      <c r="P898" s="29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135"/>
      <c r="M899" s="19"/>
      <c r="N899" s="131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135"/>
      <c r="M900" s="19"/>
      <c r="N900" s="131"/>
      <c r="O900" s="30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135"/>
      <c r="M901" s="19"/>
      <c r="N901" s="131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135"/>
      <c r="M902" s="19"/>
      <c r="N902" s="131"/>
      <c r="O902" s="30"/>
      <c r="P902" s="29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135"/>
      <c r="M903" s="19"/>
      <c r="N903" s="131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135"/>
      <c r="M904" s="19"/>
      <c r="N904" s="131"/>
      <c r="O904" s="30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135"/>
      <c r="M905" s="19"/>
      <c r="N905" s="131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135"/>
      <c r="M906" s="19"/>
      <c r="N906" s="131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135"/>
      <c r="M907" s="19"/>
      <c r="N907" s="131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135"/>
      <c r="M908" s="19"/>
      <c r="N908" s="131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135"/>
      <c r="M909" s="19"/>
      <c r="N909" s="131"/>
      <c r="O909" s="30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135"/>
      <c r="M910" s="19"/>
      <c r="N910" s="131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135"/>
      <c r="M911" s="19"/>
      <c r="N911" s="131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135"/>
      <c r="M912" s="19"/>
      <c r="N912" s="131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135"/>
      <c r="M913" s="19"/>
      <c r="N913" s="131"/>
      <c r="O913" s="30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135"/>
      <c r="M914" s="19"/>
      <c r="N914" s="131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135"/>
      <c r="M915" s="19"/>
      <c r="N915" s="131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135"/>
      <c r="M916" s="19"/>
      <c r="N916" s="131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135"/>
      <c r="M917" s="19"/>
      <c r="N917" s="131"/>
      <c r="O917" s="30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135"/>
      <c r="M918" s="19"/>
      <c r="N918" s="131"/>
      <c r="O918" s="30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135"/>
      <c r="M919" s="19"/>
      <c r="N919" s="131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135"/>
      <c r="M920" s="19"/>
      <c r="N920" s="131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135"/>
      <c r="M921" s="19"/>
      <c r="N921" s="131"/>
      <c r="O921" s="30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135"/>
      <c r="M922" s="19"/>
      <c r="N922" s="131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135"/>
      <c r="M923" s="19"/>
      <c r="N923" s="131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135"/>
      <c r="M924" s="19"/>
      <c r="N924" s="131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135"/>
      <c r="M925" s="19"/>
      <c r="N925" s="131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135"/>
      <c r="M926" s="19"/>
      <c r="N926" s="131"/>
      <c r="O926" s="30"/>
      <c r="P926" s="29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135"/>
      <c r="M927" s="19"/>
      <c r="N927" s="131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135"/>
      <c r="M928" s="19"/>
      <c r="N928" s="131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135"/>
      <c r="M929" s="19"/>
      <c r="N929" s="131"/>
      <c r="O929" s="30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135"/>
      <c r="M930" s="19"/>
      <c r="N930" s="131"/>
      <c r="O930" s="30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135"/>
      <c r="M931" s="19"/>
      <c r="N931" s="131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135"/>
      <c r="M932" s="19"/>
      <c r="N932" s="131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135"/>
      <c r="M933" s="19"/>
      <c r="N933" s="131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135"/>
      <c r="M934" s="19"/>
      <c r="N934" s="131"/>
      <c r="O934" s="30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135"/>
      <c r="M935" s="19"/>
      <c r="N935" s="131"/>
      <c r="O935" s="30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135"/>
      <c r="M936" s="19"/>
      <c r="N936" s="131"/>
      <c r="O936" s="30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135"/>
      <c r="M937" s="19"/>
      <c r="N937" s="131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135"/>
      <c r="M938" s="19"/>
      <c r="N938" s="131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135"/>
      <c r="M939" s="19"/>
      <c r="N939" s="131"/>
      <c r="O939" s="30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135"/>
      <c r="M940" s="19"/>
      <c r="N940" s="131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135"/>
      <c r="M941" s="19"/>
      <c r="N941" s="131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135"/>
      <c r="M942" s="19"/>
      <c r="N942" s="131"/>
      <c r="O942" s="30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135"/>
      <c r="M943" s="19"/>
      <c r="N943" s="131"/>
      <c r="O943" s="30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135"/>
      <c r="M944" s="19"/>
      <c r="N944" s="131"/>
      <c r="O944" s="30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135"/>
      <c r="M945" s="19"/>
      <c r="N945" s="131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135"/>
      <c r="M946" s="19"/>
      <c r="N946" s="131"/>
      <c r="O946" s="30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135"/>
      <c r="M947" s="19"/>
      <c r="N947" s="131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135"/>
      <c r="M948" s="19"/>
      <c r="N948" s="131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135"/>
      <c r="M949" s="19"/>
      <c r="N949" s="131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135"/>
      <c r="M950" s="19"/>
      <c r="N950" s="131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135"/>
      <c r="M951" s="19"/>
      <c r="N951" s="131"/>
      <c r="O951" s="30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135"/>
      <c r="M952" s="19"/>
      <c r="N952" s="131"/>
      <c r="O952" s="30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135"/>
      <c r="M953" s="19"/>
      <c r="N953" s="131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135"/>
      <c r="M954" s="19"/>
      <c r="N954" s="131"/>
      <c r="O954" s="30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135"/>
      <c r="M955" s="19"/>
      <c r="N955" s="131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135"/>
      <c r="M956" s="19"/>
      <c r="N956" s="131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135"/>
      <c r="M957" s="19"/>
      <c r="N957" s="131"/>
      <c r="O957" s="30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135"/>
      <c r="M958" s="19"/>
      <c r="N958" s="131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135"/>
      <c r="M959" s="19"/>
      <c r="N959" s="131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135"/>
      <c r="M960" s="19"/>
      <c r="N960" s="131"/>
      <c r="O960" s="30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135"/>
      <c r="M961" s="19"/>
      <c r="N961" s="131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135"/>
      <c r="M962" s="19"/>
      <c r="N962" s="131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135"/>
      <c r="M963" s="19"/>
      <c r="N963" s="131"/>
      <c r="O963" s="30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135"/>
      <c r="M964" s="19"/>
      <c r="N964" s="131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135"/>
      <c r="M965" s="19"/>
      <c r="N965" s="131"/>
      <c r="O965" s="30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135"/>
      <c r="M966" s="19"/>
      <c r="N966" s="131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135"/>
      <c r="M967" s="19"/>
      <c r="N967" s="131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135"/>
      <c r="M968" s="19"/>
      <c r="N968" s="131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135"/>
      <c r="M969" s="19"/>
      <c r="N969" s="131"/>
      <c r="O969" s="30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135"/>
      <c r="M970" s="19"/>
      <c r="N970" s="131"/>
      <c r="O970" s="30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135"/>
      <c r="M971" s="19"/>
      <c r="N971" s="131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135"/>
      <c r="M972" s="19"/>
      <c r="N972" s="131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135"/>
      <c r="M973" s="19"/>
      <c r="N973" s="131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135"/>
      <c r="M974" s="19"/>
      <c r="N974" s="131"/>
      <c r="O974" s="30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135"/>
      <c r="M975" s="19"/>
      <c r="N975" s="131"/>
      <c r="O975" s="30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135"/>
      <c r="M976" s="19"/>
      <c r="N976" s="131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135"/>
      <c r="M977" s="19"/>
      <c r="N977" s="131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135"/>
      <c r="M978" s="19"/>
      <c r="N978" s="131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135"/>
      <c r="M979" s="19"/>
      <c r="N979" s="131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135"/>
      <c r="M980" s="19"/>
      <c r="N980" s="131"/>
      <c r="O980" s="30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135"/>
      <c r="M981" s="19"/>
      <c r="N981" s="131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135"/>
      <c r="M982" s="19"/>
      <c r="N982" s="131"/>
      <c r="O982" s="30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135"/>
      <c r="M983" s="19"/>
      <c r="N983" s="131"/>
      <c r="O983" s="30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135"/>
      <c r="M984" s="19"/>
      <c r="N984" s="131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135"/>
      <c r="M985" s="19"/>
      <c r="N985" s="131"/>
      <c r="O985" s="30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135"/>
      <c r="M986" s="19"/>
      <c r="N986" s="131"/>
      <c r="O986" s="30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135"/>
      <c r="M987" s="19"/>
      <c r="N987" s="131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135"/>
      <c r="M988" s="19"/>
      <c r="N988" s="131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135"/>
      <c r="M989" s="19"/>
      <c r="N989" s="131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135"/>
      <c r="M990" s="19"/>
      <c r="N990" s="131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135"/>
      <c r="M991" s="19"/>
      <c r="N991" s="131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135"/>
      <c r="M992" s="19"/>
      <c r="N992" s="131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135"/>
      <c r="M993" s="19"/>
      <c r="N993" s="131"/>
      <c r="O993" s="30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135"/>
      <c r="M994" s="19"/>
      <c r="N994" s="131"/>
      <c r="O994" s="30"/>
      <c r="P994" s="29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135"/>
      <c r="M995" s="19"/>
      <c r="N995" s="131"/>
      <c r="O995" s="30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135"/>
      <c r="M996" s="19"/>
      <c r="N996" s="131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135"/>
      <c r="M997" s="19"/>
      <c r="N997" s="131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135"/>
      <c r="M998" s="19"/>
      <c r="N998" s="131"/>
      <c r="O998" s="30"/>
      <c r="P998" s="29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135"/>
      <c r="M999" s="19"/>
      <c r="N999" s="131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135"/>
      <c r="M1000" s="19"/>
      <c r="N1000" s="131"/>
      <c r="O1000" s="30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6">
    <mergeCell ref="C1:O1"/>
    <mergeCell ref="G4:N4"/>
    <mergeCell ref="G5:G6"/>
    <mergeCell ref="H5:H6"/>
    <mergeCell ref="I5:K5"/>
    <mergeCell ref="L5:N5"/>
  </mergeCells>
  <conditionalFormatting sqref="G2:N1000">
    <cfRule type="expression" dxfId="3" priority="1">
      <formula>AND(ISODD(ROW()),ROW()&gt;ROW($G$7))</formula>
    </cfRule>
  </conditionalFormatting>
  <conditionalFormatting sqref="C7">
    <cfRule type="notContainsBlanks" dxfId="4" priority="2">
      <formula>LEN(TRIM(C7))&gt;0</formula>
    </cfRule>
  </conditionalFormatting>
  <dataValidations>
    <dataValidation type="list" allowBlank="1" showErrorMessage="1" sqref="C7">
      <formula1>"1,2月,3月,4月,5,6,7,8,9,10,11,12"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4" width="13.25"/>
    <col customWidth="1" min="15" max="15" width="3.38"/>
    <col customWidth="1" min="16" max="16" width="4.25"/>
    <col customWidth="1" min="17" max="17" width="32.5"/>
    <col customWidth="1" min="18" max="26" width="6.88"/>
  </cols>
  <sheetData>
    <row r="1" ht="48.75" customHeight="1">
      <c r="A1" s="9"/>
      <c r="B1" s="2"/>
      <c r="C1" s="3" t="s">
        <v>3068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3"/>
      <c r="M2" s="14"/>
      <c r="N2" s="13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8"/>
      <c r="M3" s="19"/>
      <c r="N3" s="1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57.0" customHeight="1">
      <c r="A4" s="20"/>
      <c r="B4" s="21"/>
      <c r="C4" s="22" t="s">
        <v>3069</v>
      </c>
      <c r="D4" s="21"/>
      <c r="E4" s="20"/>
      <c r="F4" s="21"/>
      <c r="G4" s="23" t="s">
        <v>3070</v>
      </c>
      <c r="H4" s="4"/>
      <c r="I4" s="4"/>
      <c r="J4" s="4"/>
      <c r="K4" s="4"/>
      <c r="L4" s="4"/>
      <c r="M4" s="4"/>
      <c r="N4" s="4"/>
      <c r="O4" s="21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5"/>
      <c r="L5" s="36" t="s">
        <v>8</v>
      </c>
      <c r="M5" s="37"/>
      <c r="N5" s="38"/>
      <c r="O5" s="30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8" t="s">
        <v>12</v>
      </c>
      <c r="L6" s="49" t="s">
        <v>10</v>
      </c>
      <c r="M6" s="50" t="s">
        <v>11</v>
      </c>
      <c r="N6" s="51" t="s">
        <v>12</v>
      </c>
      <c r="O6" s="30"/>
      <c r="P6" s="29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7.75" customHeight="1">
      <c r="A7" s="29"/>
      <c r="B7" s="30"/>
      <c r="C7" s="308" t="s">
        <v>1338</v>
      </c>
      <c r="D7" s="54" t="s">
        <v>16</v>
      </c>
      <c r="E7" s="29"/>
      <c r="F7" s="30"/>
      <c r="G7" s="55">
        <v>1.0</v>
      </c>
      <c r="H7" s="241">
        <v>45352.0</v>
      </c>
      <c r="I7" s="57" t="s">
        <v>3071</v>
      </c>
      <c r="J7" s="58">
        <v>10000.0</v>
      </c>
      <c r="K7" s="334"/>
      <c r="L7" s="332" t="s">
        <v>2504</v>
      </c>
      <c r="M7" s="62">
        <v>18000.0</v>
      </c>
      <c r="N7" s="322"/>
      <c r="O7" s="30"/>
      <c r="P7" s="29"/>
      <c r="Q7" s="109">
        <f>SUMIF(I:I,"金鑫",J:J)</f>
        <v>0</v>
      </c>
      <c r="R7" s="26" t="s">
        <v>3072</v>
      </c>
      <c r="S7" s="30"/>
      <c r="T7" s="30"/>
      <c r="U7" s="30"/>
      <c r="V7" s="30"/>
      <c r="W7" s="30"/>
      <c r="X7" s="30"/>
      <c r="Y7" s="30"/>
      <c r="Z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53">
        <v>45352.0</v>
      </c>
      <c r="I8" s="68" t="s">
        <v>3071</v>
      </c>
      <c r="J8" s="69">
        <v>10000.0</v>
      </c>
      <c r="K8" s="133"/>
      <c r="L8" s="315" t="s">
        <v>2504</v>
      </c>
      <c r="M8" s="90">
        <v>10000.0</v>
      </c>
      <c r="N8" s="131"/>
      <c r="O8" s="30"/>
      <c r="P8" s="29"/>
      <c r="Q8" s="109">
        <f>SUMIF(I:I,"豆豆三期",J:J)</f>
        <v>615000</v>
      </c>
      <c r="R8" s="26" t="s">
        <v>3073</v>
      </c>
      <c r="S8" s="30"/>
      <c r="T8" s="30"/>
      <c r="U8" s="30"/>
      <c r="V8" s="30"/>
      <c r="W8" s="30"/>
      <c r="X8" s="30"/>
      <c r="Y8" s="30"/>
      <c r="Z8" s="30"/>
    </row>
    <row r="9" ht="27.75" customHeight="1">
      <c r="A9" s="29"/>
      <c r="B9" s="30"/>
      <c r="C9" s="77">
        <f>C21</f>
        <v>1133400</v>
      </c>
      <c r="D9" s="30"/>
      <c r="E9" s="29"/>
      <c r="F9" s="30"/>
      <c r="G9" s="66">
        <v>3.0</v>
      </c>
      <c r="H9" s="153">
        <v>45355.0</v>
      </c>
      <c r="I9" s="68" t="s">
        <v>3071</v>
      </c>
      <c r="J9" s="69">
        <v>30000.0</v>
      </c>
      <c r="K9" s="133"/>
      <c r="L9" s="315" t="s">
        <v>2504</v>
      </c>
      <c r="M9" s="90">
        <v>10000.0</v>
      </c>
      <c r="N9" s="131"/>
      <c r="O9" s="30"/>
      <c r="P9" s="29"/>
      <c r="Q9" s="243"/>
      <c r="R9" s="30"/>
      <c r="S9" s="30"/>
      <c r="T9" s="30"/>
      <c r="U9" s="30"/>
      <c r="V9" s="30"/>
      <c r="W9" s="30"/>
      <c r="X9" s="30"/>
      <c r="Y9" s="30"/>
      <c r="Z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53">
        <v>45355.0</v>
      </c>
      <c r="I10" s="84"/>
      <c r="J10" s="17"/>
      <c r="K10" s="133"/>
      <c r="L10" s="315" t="s">
        <v>2504</v>
      </c>
      <c r="M10" s="90">
        <v>15000.0</v>
      </c>
      <c r="N10" s="131"/>
      <c r="O10" s="30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7.75" customHeight="1">
      <c r="A11" s="29"/>
      <c r="B11" s="30"/>
      <c r="C11" s="79">
        <f>C23</f>
        <v>1113688.95</v>
      </c>
      <c r="D11" s="30"/>
      <c r="E11" s="29"/>
      <c r="F11" s="30"/>
      <c r="G11" s="66">
        <v>5.0</v>
      </c>
      <c r="H11" s="153">
        <v>45355.0</v>
      </c>
      <c r="I11" s="84"/>
      <c r="J11" s="17"/>
      <c r="K11" s="133"/>
      <c r="L11" s="315" t="s">
        <v>2504</v>
      </c>
      <c r="M11" s="90">
        <v>505.0</v>
      </c>
      <c r="N11" s="131"/>
      <c r="O11" s="30"/>
      <c r="P11" s="29"/>
      <c r="Q11" s="30">
        <f>SUMIF(I:I,"阿宇",J:J)</f>
        <v>109000</v>
      </c>
      <c r="R11" s="30"/>
      <c r="S11" s="30"/>
      <c r="T11" s="30"/>
      <c r="U11" s="30"/>
      <c r="V11" s="30"/>
      <c r="W11" s="30"/>
      <c r="X11" s="30"/>
      <c r="Y11" s="30"/>
      <c r="Z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45355.0</v>
      </c>
      <c r="I12" s="84"/>
      <c r="J12" s="17"/>
      <c r="K12" s="133"/>
      <c r="L12" s="315" t="s">
        <v>2504</v>
      </c>
      <c r="M12" s="90">
        <v>1010.0</v>
      </c>
      <c r="N12" s="131"/>
      <c r="O12" s="30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7.75" customHeight="1">
      <c r="A13" s="29"/>
      <c r="B13" s="30"/>
      <c r="C13" s="82">
        <f>C9-C11</f>
        <v>19711.05</v>
      </c>
      <c r="D13" s="30"/>
      <c r="E13" s="29"/>
      <c r="F13" s="30"/>
      <c r="G13" s="66">
        <v>7.0</v>
      </c>
      <c r="H13" s="153">
        <v>45356.0</v>
      </c>
      <c r="I13" s="68" t="s">
        <v>3071</v>
      </c>
      <c r="J13" s="69">
        <v>10000.0</v>
      </c>
      <c r="K13" s="133"/>
      <c r="L13" s="315" t="s">
        <v>2504</v>
      </c>
      <c r="M13" s="90">
        <v>10000.0</v>
      </c>
      <c r="N13" s="131"/>
      <c r="O13" s="30"/>
      <c r="P13" s="29"/>
      <c r="Q13" s="243"/>
      <c r="R13" s="30"/>
      <c r="S13" s="30"/>
      <c r="T13" s="30"/>
      <c r="U13" s="30"/>
      <c r="V13" s="30"/>
      <c r="W13" s="30"/>
      <c r="X13" s="30"/>
      <c r="Y13" s="30"/>
      <c r="Z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45356.0</v>
      </c>
      <c r="I14" s="84"/>
      <c r="J14" s="17"/>
      <c r="K14" s="133"/>
      <c r="L14" s="315" t="s">
        <v>3074</v>
      </c>
      <c r="M14" s="90">
        <v>5.0</v>
      </c>
      <c r="N14" s="131"/>
      <c r="O14" s="30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45356.0</v>
      </c>
      <c r="I15" s="84"/>
      <c r="J15" s="17"/>
      <c r="K15" s="133"/>
      <c r="L15" s="315" t="s">
        <v>2504</v>
      </c>
      <c r="M15" s="90">
        <v>1000.0</v>
      </c>
      <c r="N15" s="131"/>
      <c r="O15" s="30"/>
      <c r="P15" s="29"/>
      <c r="Q15" s="243"/>
      <c r="R15" s="30"/>
      <c r="S15" s="30"/>
      <c r="T15" s="30"/>
      <c r="U15" s="30"/>
      <c r="V15" s="30"/>
      <c r="W15" s="30"/>
      <c r="X15" s="30"/>
      <c r="Y15" s="30"/>
      <c r="Z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45356.0</v>
      </c>
      <c r="I16" s="84"/>
      <c r="J16" s="17"/>
      <c r="K16" s="133"/>
      <c r="L16" s="315" t="s">
        <v>2504</v>
      </c>
      <c r="M16" s="90">
        <v>2000.0</v>
      </c>
      <c r="N16" s="131"/>
      <c r="O16" s="30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45357.0</v>
      </c>
      <c r="I17" s="84"/>
      <c r="J17" s="17"/>
      <c r="K17" s="133"/>
      <c r="L17" s="315" t="s">
        <v>2509</v>
      </c>
      <c r="M17" s="90">
        <v>40.0</v>
      </c>
      <c r="N17" s="131"/>
      <c r="O17" s="30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45357.0</v>
      </c>
      <c r="I18" s="68" t="s">
        <v>3071</v>
      </c>
      <c r="J18" s="69">
        <v>10000.0</v>
      </c>
      <c r="K18" s="133"/>
      <c r="L18" s="315"/>
      <c r="M18" s="90"/>
      <c r="N18" s="131"/>
      <c r="O18" s="30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45357.0</v>
      </c>
      <c r="I19" s="84"/>
      <c r="J19" s="17"/>
      <c r="K19" s="133"/>
      <c r="L19" s="315" t="s">
        <v>2504</v>
      </c>
      <c r="M19" s="90">
        <v>2000.0</v>
      </c>
      <c r="N19" s="131"/>
      <c r="O19" s="3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45358.0</v>
      </c>
      <c r="I20" s="84"/>
      <c r="J20" s="17"/>
      <c r="K20" s="133"/>
      <c r="L20" s="315" t="s">
        <v>2504</v>
      </c>
      <c r="M20" s="90">
        <v>3000.0</v>
      </c>
      <c r="N20" s="131"/>
      <c r="O20" s="30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7.75" customHeight="1">
      <c r="A21" s="29"/>
      <c r="B21" s="30"/>
      <c r="C21" s="77">
        <f>SUMIFS(J:J,H:H,"&gt;="&amp;$C$17,H:H,"&lt;="&amp;$C$19)</f>
        <v>1133400</v>
      </c>
      <c r="D21" s="30"/>
      <c r="E21" s="29"/>
      <c r="F21" s="30"/>
      <c r="G21" s="66">
        <v>15.0</v>
      </c>
      <c r="H21" s="153">
        <v>45358.0</v>
      </c>
      <c r="I21" s="84"/>
      <c r="J21" s="17"/>
      <c r="K21" s="133"/>
      <c r="L21" s="315" t="s">
        <v>2504</v>
      </c>
      <c r="M21" s="90">
        <v>370.0</v>
      </c>
      <c r="N21" s="131"/>
      <c r="O21" s="30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45358.0</v>
      </c>
      <c r="I22" s="68" t="s">
        <v>3071</v>
      </c>
      <c r="J22" s="69">
        <v>4000.0</v>
      </c>
      <c r="K22" s="133"/>
      <c r="L22" s="315" t="s">
        <v>2504</v>
      </c>
      <c r="M22" s="90">
        <v>4000.0</v>
      </c>
      <c r="N22" s="131"/>
      <c r="O22" s="30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7.75" customHeight="1">
      <c r="A23" s="29"/>
      <c r="B23" s="30"/>
      <c r="C23" s="79">
        <f>SUMIFS(M:M,H:H,"&gt;="&amp;$C$17,H:H,"&lt;="&amp;$C$19)</f>
        <v>1113688.95</v>
      </c>
      <c r="D23" s="30"/>
      <c r="E23" s="29"/>
      <c r="F23" s="30"/>
      <c r="G23" s="66">
        <v>17.0</v>
      </c>
      <c r="H23" s="153">
        <v>45358.0</v>
      </c>
      <c r="I23" s="68"/>
      <c r="J23" s="69"/>
      <c r="K23" s="133"/>
      <c r="L23" s="315" t="s">
        <v>2704</v>
      </c>
      <c r="M23" s="90">
        <v>5.0</v>
      </c>
      <c r="N23" s="316"/>
      <c r="O23" s="30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45358.0</v>
      </c>
      <c r="I24" s="68" t="s">
        <v>3071</v>
      </c>
      <c r="J24" s="69">
        <v>5000.0</v>
      </c>
      <c r="K24" s="133"/>
      <c r="L24" s="315" t="s">
        <v>2504</v>
      </c>
      <c r="M24" s="90">
        <v>3000.0</v>
      </c>
      <c r="N24" s="131"/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29"/>
      <c r="B25" s="30"/>
      <c r="C25" s="82">
        <f>C21-C23</f>
        <v>19711.05</v>
      </c>
      <c r="D25" s="30"/>
      <c r="E25" s="29"/>
      <c r="F25" s="30"/>
      <c r="G25" s="66">
        <v>19.0</v>
      </c>
      <c r="H25" s="153">
        <v>45358.0</v>
      </c>
      <c r="I25" s="84"/>
      <c r="J25" s="17"/>
      <c r="K25" s="133"/>
      <c r="L25" s="315" t="s">
        <v>2704</v>
      </c>
      <c r="M25" s="90">
        <v>60.0</v>
      </c>
      <c r="N25" s="316"/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45358.0</v>
      </c>
      <c r="I26" s="84"/>
      <c r="J26" s="17"/>
      <c r="K26" s="133"/>
      <c r="L26" s="315" t="s">
        <v>2504</v>
      </c>
      <c r="M26" s="90">
        <v>2001.0</v>
      </c>
      <c r="N26" s="131"/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45358.0</v>
      </c>
      <c r="I27" s="68" t="s">
        <v>3071</v>
      </c>
      <c r="J27" s="69">
        <v>5000.0</v>
      </c>
      <c r="K27" s="133"/>
      <c r="L27" s="315" t="s">
        <v>2504</v>
      </c>
      <c r="M27" s="90">
        <v>5000.0</v>
      </c>
      <c r="N27" s="131"/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45358.0</v>
      </c>
      <c r="I28" s="68" t="s">
        <v>3071</v>
      </c>
      <c r="J28" s="69">
        <v>5000.0</v>
      </c>
      <c r="K28" s="133"/>
      <c r="L28" s="315" t="s">
        <v>2504</v>
      </c>
      <c r="M28" s="90">
        <v>2000.0</v>
      </c>
      <c r="N28" s="131"/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45358.0</v>
      </c>
      <c r="I29" s="84"/>
      <c r="J29" s="17"/>
      <c r="K29" s="133"/>
      <c r="L29" s="315" t="s">
        <v>2504</v>
      </c>
      <c r="M29" s="90">
        <v>3001.0</v>
      </c>
      <c r="N29" s="131"/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45359.0</v>
      </c>
      <c r="I30" s="68" t="s">
        <v>3075</v>
      </c>
      <c r="J30" s="69">
        <v>30000.0</v>
      </c>
      <c r="K30" s="133"/>
      <c r="L30" s="315" t="s">
        <v>2504</v>
      </c>
      <c r="M30" s="90">
        <v>10000.0</v>
      </c>
      <c r="N30" s="131"/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45359.0</v>
      </c>
      <c r="I31" s="84"/>
      <c r="J31" s="17"/>
      <c r="K31" s="133"/>
      <c r="L31" s="315" t="s">
        <v>2504</v>
      </c>
      <c r="M31" s="90">
        <v>7000.0</v>
      </c>
      <c r="N31" s="316"/>
      <c r="O31" s="30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45360.0</v>
      </c>
      <c r="I32" s="84"/>
      <c r="J32" s="17"/>
      <c r="K32" s="133"/>
      <c r="L32" s="315" t="s">
        <v>2504</v>
      </c>
      <c r="M32" s="90">
        <v>5000.0</v>
      </c>
      <c r="N32" s="316"/>
      <c r="O32" s="30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45360.0</v>
      </c>
      <c r="I33" s="68"/>
      <c r="J33" s="69"/>
      <c r="K33" s="133"/>
      <c r="L33" s="315" t="s">
        <v>2504</v>
      </c>
      <c r="M33" s="90">
        <v>5001.0</v>
      </c>
      <c r="N33" s="131"/>
      <c r="O33" s="30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45360.0</v>
      </c>
      <c r="I34" s="84"/>
      <c r="J34" s="17"/>
      <c r="K34" s="133"/>
      <c r="L34" s="315" t="s">
        <v>2504</v>
      </c>
      <c r="M34" s="90">
        <v>3000.0</v>
      </c>
      <c r="N34" s="316"/>
      <c r="O34" s="30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45360.0</v>
      </c>
      <c r="I35" s="68" t="s">
        <v>3075</v>
      </c>
      <c r="J35" s="69">
        <v>10000.0</v>
      </c>
      <c r="K35" s="133"/>
      <c r="L35" s="315" t="s">
        <v>2504</v>
      </c>
      <c r="M35" s="90">
        <v>5000.0</v>
      </c>
      <c r="N35" s="131"/>
      <c r="O35" s="30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45360.0</v>
      </c>
      <c r="I36" s="84"/>
      <c r="J36" s="17"/>
      <c r="K36" s="133"/>
      <c r="L36" s="315" t="s">
        <v>2504</v>
      </c>
      <c r="M36" s="90">
        <v>5001.0</v>
      </c>
      <c r="N36" s="131"/>
      <c r="O36" s="30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45360.0</v>
      </c>
      <c r="I37" s="68" t="s">
        <v>3075</v>
      </c>
      <c r="J37" s="69">
        <v>30000.0</v>
      </c>
      <c r="K37" s="133"/>
      <c r="L37" s="315"/>
      <c r="M37" s="90"/>
      <c r="N37" s="131"/>
      <c r="O37" s="30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45361.0</v>
      </c>
      <c r="I38" s="68"/>
      <c r="J38" s="69"/>
      <c r="K38" s="133"/>
      <c r="L38" s="315" t="s">
        <v>2504</v>
      </c>
      <c r="M38" s="90">
        <v>5000.0</v>
      </c>
      <c r="N38" s="131"/>
      <c r="O38" s="30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45361.0</v>
      </c>
      <c r="I39" s="84"/>
      <c r="J39" s="17"/>
      <c r="K39" s="133"/>
      <c r="L39" s="315" t="s">
        <v>2504</v>
      </c>
      <c r="M39" s="90">
        <v>15000.0</v>
      </c>
      <c r="N39" s="131"/>
      <c r="O39" s="30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45361.0</v>
      </c>
      <c r="I40" s="84"/>
      <c r="J40" s="17"/>
      <c r="K40" s="133"/>
      <c r="L40" s="315" t="s">
        <v>2504</v>
      </c>
      <c r="M40" s="90">
        <v>5001.0</v>
      </c>
      <c r="N40" s="316"/>
      <c r="O40" s="30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45361.0</v>
      </c>
      <c r="I41" s="84"/>
      <c r="J41" s="17"/>
      <c r="K41" s="133"/>
      <c r="L41" s="315" t="s">
        <v>2504</v>
      </c>
      <c r="M41" s="90">
        <v>4970.0</v>
      </c>
      <c r="N41" s="131"/>
      <c r="O41" s="30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45361.0</v>
      </c>
      <c r="I42" s="68" t="s">
        <v>3075</v>
      </c>
      <c r="J42" s="69">
        <v>30000.0</v>
      </c>
      <c r="K42" s="133"/>
      <c r="L42" s="315" t="s">
        <v>2504</v>
      </c>
      <c r="M42" s="90">
        <v>5002.0</v>
      </c>
      <c r="N42" s="131"/>
      <c r="O42" s="30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45362.0</v>
      </c>
      <c r="I43" s="68" t="s">
        <v>3071</v>
      </c>
      <c r="J43" s="69">
        <v>10000.0</v>
      </c>
      <c r="K43" s="133"/>
      <c r="L43" s="315" t="s">
        <v>2504</v>
      </c>
      <c r="M43" s="90">
        <v>20000.0</v>
      </c>
      <c r="N43" s="316"/>
      <c r="O43" s="30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45362.0</v>
      </c>
      <c r="I44" s="84"/>
      <c r="J44" s="17"/>
      <c r="K44" s="133"/>
      <c r="L44" s="315" t="s">
        <v>2504</v>
      </c>
      <c r="M44" s="90">
        <v>5000.0</v>
      </c>
      <c r="N44" s="131"/>
      <c r="O44" s="30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45362.0</v>
      </c>
      <c r="I45" s="68" t="s">
        <v>3075</v>
      </c>
      <c r="J45" s="69">
        <v>20000.0</v>
      </c>
      <c r="K45" s="133"/>
      <c r="L45" s="315" t="s">
        <v>2504</v>
      </c>
      <c r="M45" s="90">
        <v>8000.0</v>
      </c>
      <c r="N45" s="131"/>
      <c r="O45" s="30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45362.0</v>
      </c>
      <c r="I46" s="84"/>
      <c r="J46" s="17"/>
      <c r="K46" s="133"/>
      <c r="L46" s="315" t="s">
        <v>2504</v>
      </c>
      <c r="M46" s="90">
        <v>5002.0</v>
      </c>
      <c r="N46" s="316"/>
      <c r="O46" s="30"/>
      <c r="P46" s="29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45362.0</v>
      </c>
      <c r="I47" s="68"/>
      <c r="J47" s="69"/>
      <c r="K47" s="133"/>
      <c r="L47" s="315" t="s">
        <v>2504</v>
      </c>
      <c r="M47" s="90">
        <v>5000.0</v>
      </c>
      <c r="N47" s="131"/>
      <c r="O47" s="30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45363.0</v>
      </c>
      <c r="I48" s="68" t="s">
        <v>3071</v>
      </c>
      <c r="J48" s="69">
        <v>10000.0</v>
      </c>
      <c r="K48" s="133"/>
      <c r="L48" s="315" t="s">
        <v>2504</v>
      </c>
      <c r="M48" s="90">
        <v>6000.0</v>
      </c>
      <c r="N48" s="316"/>
      <c r="O48" s="30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45363.0</v>
      </c>
      <c r="I49" s="68" t="s">
        <v>3076</v>
      </c>
      <c r="J49" s="69">
        <v>4400.0</v>
      </c>
      <c r="K49" s="133"/>
      <c r="L49" s="315" t="s">
        <v>2504</v>
      </c>
      <c r="M49" s="90">
        <v>10000.0</v>
      </c>
      <c r="N49" s="131"/>
      <c r="O49" s="30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45363.0</v>
      </c>
      <c r="I50" s="84"/>
      <c r="J50" s="17"/>
      <c r="K50" s="133"/>
      <c r="L50" s="315" t="s">
        <v>2504</v>
      </c>
      <c r="M50" s="90">
        <v>5000.0</v>
      </c>
      <c r="N50" s="316"/>
      <c r="O50" s="30"/>
      <c r="P50" s="29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45363.0</v>
      </c>
      <c r="I51" s="68"/>
      <c r="J51" s="69"/>
      <c r="K51" s="133"/>
      <c r="L51" s="315" t="s">
        <v>2504</v>
      </c>
      <c r="M51" s="90">
        <v>5000.0</v>
      </c>
      <c r="N51" s="131"/>
      <c r="O51" s="30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45363.0</v>
      </c>
      <c r="I52" s="68" t="s">
        <v>3075</v>
      </c>
      <c r="J52" s="69">
        <v>20000.0</v>
      </c>
      <c r="K52" s="318">
        <v>0.7895833333333333</v>
      </c>
      <c r="L52" s="315" t="s">
        <v>2724</v>
      </c>
      <c r="M52" s="90">
        <v>396.0</v>
      </c>
      <c r="N52" s="316" t="s">
        <v>3076</v>
      </c>
      <c r="O52" s="30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45364.0</v>
      </c>
      <c r="I53" s="68" t="s">
        <v>3077</v>
      </c>
      <c r="J53" s="69">
        <v>15000.0</v>
      </c>
      <c r="K53" s="314" t="s">
        <v>3078</v>
      </c>
      <c r="L53" s="315" t="s">
        <v>2504</v>
      </c>
      <c r="M53" s="90">
        <f>1000+9000</f>
        <v>10000</v>
      </c>
      <c r="N53" s="316" t="s">
        <v>3079</v>
      </c>
      <c r="O53" s="30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45364.0</v>
      </c>
      <c r="I54" s="84"/>
      <c r="J54" s="17"/>
      <c r="K54" s="133"/>
      <c r="L54" s="315" t="s">
        <v>2504</v>
      </c>
      <c r="M54" s="90">
        <v>5003.0</v>
      </c>
      <c r="N54" s="316" t="s">
        <v>3080</v>
      </c>
      <c r="O54" s="30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45364.0</v>
      </c>
      <c r="I55" s="68" t="s">
        <v>3077</v>
      </c>
      <c r="J55" s="69">
        <v>15000.0</v>
      </c>
      <c r="K55" s="318">
        <v>0.8791666666666667</v>
      </c>
      <c r="L55" s="315" t="s">
        <v>2504</v>
      </c>
      <c r="M55" s="90">
        <v>15000.0</v>
      </c>
      <c r="N55" s="320">
        <v>0.5652777777777778</v>
      </c>
      <c r="O55" s="30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45364.0</v>
      </c>
      <c r="I56" s="68" t="s">
        <v>3075</v>
      </c>
      <c r="J56" s="69">
        <v>20000.0</v>
      </c>
      <c r="K56" s="318">
        <v>0.9340277777777778</v>
      </c>
      <c r="L56" s="315" t="s">
        <v>2504</v>
      </c>
      <c r="M56" s="90">
        <v>15000.0</v>
      </c>
      <c r="N56" s="320">
        <v>0.9645833333333333</v>
      </c>
      <c r="O56" s="30"/>
      <c r="P56" s="29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45364.0</v>
      </c>
      <c r="I57" s="84"/>
      <c r="J57" s="17"/>
      <c r="K57" s="133"/>
      <c r="L57" s="315" t="s">
        <v>2504</v>
      </c>
      <c r="M57" s="90">
        <v>5002.0</v>
      </c>
      <c r="N57" s="320">
        <v>0.9673611111111111</v>
      </c>
      <c r="O57" s="30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45365.0</v>
      </c>
      <c r="I58" s="68"/>
      <c r="J58" s="69"/>
      <c r="K58" s="133"/>
      <c r="L58" s="315" t="s">
        <v>2704</v>
      </c>
      <c r="M58" s="90">
        <v>25.0</v>
      </c>
      <c r="N58" s="316" t="s">
        <v>3081</v>
      </c>
      <c r="O58" s="30"/>
      <c r="P58" s="29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45365.0</v>
      </c>
      <c r="I59" s="84"/>
      <c r="J59" s="17"/>
      <c r="K59" s="133"/>
      <c r="L59" s="315" t="s">
        <v>2504</v>
      </c>
      <c r="M59" s="90">
        <v>5003.0</v>
      </c>
      <c r="N59" s="316" t="s">
        <v>508</v>
      </c>
      <c r="O59" s="30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45365.0</v>
      </c>
      <c r="I60" s="84"/>
      <c r="J60" s="17"/>
      <c r="K60" s="133"/>
      <c r="L60" s="315" t="s">
        <v>2504</v>
      </c>
      <c r="M60" s="90">
        <v>10000.0</v>
      </c>
      <c r="N60" s="316" t="s">
        <v>3023</v>
      </c>
      <c r="O60" s="30"/>
      <c r="P60" s="29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45365.0</v>
      </c>
      <c r="I61" s="84"/>
      <c r="J61" s="17"/>
      <c r="K61" s="133"/>
      <c r="L61" s="315" t="s">
        <v>2504</v>
      </c>
      <c r="M61" s="90">
        <v>4968.0</v>
      </c>
      <c r="N61" s="320">
        <v>0.8840277777777777</v>
      </c>
      <c r="O61" s="3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45365.0</v>
      </c>
      <c r="I62" s="68" t="s">
        <v>3075</v>
      </c>
      <c r="J62" s="69">
        <v>20000.0</v>
      </c>
      <c r="K62" s="318">
        <v>0.9055555555555556</v>
      </c>
      <c r="L62" s="315" t="s">
        <v>2504</v>
      </c>
      <c r="M62" s="90">
        <v>15000.0</v>
      </c>
      <c r="N62" s="320">
        <v>0.9229166666666667</v>
      </c>
      <c r="O62" s="30"/>
      <c r="P62" s="29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45366.0</v>
      </c>
      <c r="I63" s="68" t="s">
        <v>3077</v>
      </c>
      <c r="J63" s="69">
        <v>20000.0</v>
      </c>
      <c r="K63" s="314" t="s">
        <v>3082</v>
      </c>
      <c r="L63" s="315" t="s">
        <v>2504</v>
      </c>
      <c r="M63" s="90">
        <v>10000.0</v>
      </c>
      <c r="N63" s="316" t="s">
        <v>2926</v>
      </c>
      <c r="O63" s="30"/>
      <c r="P63" s="29"/>
      <c r="Q63" s="243"/>
      <c r="R63" s="30"/>
      <c r="S63" s="30"/>
      <c r="T63" s="30"/>
      <c r="U63" s="30"/>
      <c r="V63" s="30"/>
      <c r="W63" s="30"/>
      <c r="X63" s="30"/>
      <c r="Y63" s="30"/>
      <c r="Z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45366.0</v>
      </c>
      <c r="I64" s="84"/>
      <c r="J64" s="17"/>
      <c r="K64" s="133"/>
      <c r="L64" s="315" t="s">
        <v>2704</v>
      </c>
      <c r="M64" s="90">
        <v>25.0</v>
      </c>
      <c r="N64" s="316" t="s">
        <v>3081</v>
      </c>
      <c r="O64" s="30"/>
      <c r="P64" s="29"/>
      <c r="Q64" s="243"/>
      <c r="R64" s="30"/>
      <c r="S64" s="30"/>
      <c r="T64" s="30"/>
      <c r="U64" s="30"/>
      <c r="V64" s="30"/>
      <c r="W64" s="30"/>
      <c r="X64" s="30"/>
      <c r="Y64" s="30"/>
      <c r="Z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45366.0</v>
      </c>
      <c r="I65" s="84"/>
      <c r="J65" s="17"/>
      <c r="K65" s="133"/>
      <c r="L65" s="315" t="s">
        <v>2504</v>
      </c>
      <c r="M65" s="90">
        <v>4000.0</v>
      </c>
      <c r="N65" s="316" t="s">
        <v>2194</v>
      </c>
      <c r="O65" s="30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45366.0</v>
      </c>
      <c r="I66" s="68" t="s">
        <v>3077</v>
      </c>
      <c r="J66" s="69">
        <v>15000.0</v>
      </c>
      <c r="K66" s="314" t="s">
        <v>2205</v>
      </c>
      <c r="L66" s="315"/>
      <c r="M66" s="90"/>
      <c r="N66" s="316"/>
      <c r="O66" s="30"/>
      <c r="P66" s="29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45367.0</v>
      </c>
      <c r="I67" s="68"/>
      <c r="J67" s="69"/>
      <c r="K67" s="133"/>
      <c r="L67" s="315" t="s">
        <v>2504</v>
      </c>
      <c r="M67" s="90">
        <v>5001.0</v>
      </c>
      <c r="N67" s="316" t="s">
        <v>3083</v>
      </c>
      <c r="O67" s="30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45367.0</v>
      </c>
      <c r="I68" s="84"/>
      <c r="J68" s="17"/>
      <c r="K68" s="133"/>
      <c r="L68" s="315" t="s">
        <v>2513</v>
      </c>
      <c r="M68" s="90">
        <v>3.57</v>
      </c>
      <c r="N68" s="320">
        <v>0.44305555555555554</v>
      </c>
      <c r="O68" s="30"/>
      <c r="P68" s="29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45367.0</v>
      </c>
      <c r="I69" s="84"/>
      <c r="J69" s="17"/>
      <c r="K69" s="133"/>
      <c r="L69" s="315" t="s">
        <v>2504</v>
      </c>
      <c r="M69" s="90">
        <v>10000.0</v>
      </c>
      <c r="N69" s="316" t="s">
        <v>3084</v>
      </c>
      <c r="O69" s="30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>
        <v>45367.0</v>
      </c>
      <c r="I70" s="68"/>
      <c r="J70" s="69"/>
      <c r="K70" s="133"/>
      <c r="L70" s="315" t="s">
        <v>2504</v>
      </c>
      <c r="M70" s="90">
        <v>5000.0</v>
      </c>
      <c r="N70" s="316" t="s">
        <v>2637</v>
      </c>
      <c r="O70" s="30"/>
      <c r="P70" s="29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>
        <v>45367.0</v>
      </c>
      <c r="I71" s="68" t="s">
        <v>3075</v>
      </c>
      <c r="J71" s="69">
        <v>20000.0</v>
      </c>
      <c r="K71" s="318">
        <v>0.9284722222222223</v>
      </c>
      <c r="L71" s="315" t="s">
        <v>2504</v>
      </c>
      <c r="M71" s="90">
        <v>5001.0</v>
      </c>
      <c r="N71" s="320">
        <v>0.30694444444444446</v>
      </c>
      <c r="O71" s="30"/>
      <c r="P71" s="29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>
        <v>45368.0</v>
      </c>
      <c r="I72" s="68"/>
      <c r="J72" s="69"/>
      <c r="K72" s="133"/>
      <c r="L72" s="315" t="s">
        <v>2504</v>
      </c>
      <c r="M72" s="90">
        <v>8000.0</v>
      </c>
      <c r="N72" s="316" t="s">
        <v>3085</v>
      </c>
      <c r="O72" s="30"/>
      <c r="P72" s="29"/>
      <c r="R72" s="30"/>
      <c r="S72" s="30"/>
      <c r="T72" s="30"/>
      <c r="U72" s="30"/>
      <c r="V72" s="30"/>
      <c r="W72" s="30"/>
      <c r="X72" s="30"/>
      <c r="Y72" s="30"/>
      <c r="Z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53">
        <v>45368.0</v>
      </c>
      <c r="I73" s="84"/>
      <c r="J73" s="17"/>
      <c r="K73" s="133"/>
      <c r="L73" s="315" t="s">
        <v>2834</v>
      </c>
      <c r="M73" s="90">
        <v>836.5</v>
      </c>
      <c r="N73" s="320">
        <v>0.5444444444444444</v>
      </c>
      <c r="O73" s="30"/>
      <c r="P73" s="29"/>
      <c r="Q73" s="243" t="s">
        <v>3086</v>
      </c>
      <c r="R73" s="30"/>
      <c r="S73" s="30"/>
      <c r="T73" s="30"/>
      <c r="U73" s="30"/>
      <c r="V73" s="30"/>
      <c r="W73" s="30"/>
      <c r="X73" s="30"/>
      <c r="Y73" s="30"/>
      <c r="Z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53">
        <v>45368.0</v>
      </c>
      <c r="I74" s="84"/>
      <c r="J74" s="17"/>
      <c r="K74" s="133"/>
      <c r="L74" s="315" t="s">
        <v>2504</v>
      </c>
      <c r="M74" s="90">
        <v>5000.0</v>
      </c>
      <c r="N74" s="320">
        <v>0.7236111111111111</v>
      </c>
      <c r="O74" s="30"/>
      <c r="P74" s="29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53">
        <v>45368.0</v>
      </c>
      <c r="I75" s="68" t="s">
        <v>3075</v>
      </c>
      <c r="J75" s="69">
        <v>25000.0</v>
      </c>
      <c r="K75" s="318">
        <v>0.8347222222222223</v>
      </c>
      <c r="L75" s="315" t="s">
        <v>2504</v>
      </c>
      <c r="M75" s="90">
        <v>15000.0</v>
      </c>
      <c r="N75" s="320">
        <v>0.8881944444444444</v>
      </c>
      <c r="O75" s="30"/>
      <c r="P75" s="29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53">
        <v>45368.0</v>
      </c>
      <c r="I76" s="84"/>
      <c r="J76" s="17"/>
      <c r="K76" s="133"/>
      <c r="L76" s="315" t="s">
        <v>211</v>
      </c>
      <c r="M76" s="90">
        <v>200.0</v>
      </c>
      <c r="N76" s="320">
        <v>0.8902777777777777</v>
      </c>
      <c r="O76" s="30"/>
      <c r="P76" s="29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53">
        <v>45369.0</v>
      </c>
      <c r="I77" s="68" t="s">
        <v>3077</v>
      </c>
      <c r="J77" s="69">
        <v>15000.0</v>
      </c>
      <c r="K77" s="318">
        <v>0.009027777777777777</v>
      </c>
      <c r="L77" s="315" t="s">
        <v>2504</v>
      </c>
      <c r="M77" s="90">
        <v>5003.0</v>
      </c>
      <c r="N77" s="316" t="s">
        <v>3087</v>
      </c>
      <c r="O77" s="30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53">
        <v>45369.0</v>
      </c>
      <c r="I78" s="84"/>
      <c r="J78" s="17"/>
      <c r="K78" s="133"/>
      <c r="L78" s="315" t="s">
        <v>2509</v>
      </c>
      <c r="M78" s="90">
        <v>17.5</v>
      </c>
      <c r="N78" s="316" t="s">
        <v>3088</v>
      </c>
      <c r="O78" s="30"/>
      <c r="P78" s="29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53">
        <v>45369.0</v>
      </c>
      <c r="I79" s="84"/>
      <c r="J79" s="17"/>
      <c r="K79" s="133"/>
      <c r="L79" s="315" t="s">
        <v>2504</v>
      </c>
      <c r="M79" s="90">
        <v>15000.0</v>
      </c>
      <c r="N79" s="316" t="s">
        <v>3089</v>
      </c>
      <c r="O79" s="30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53">
        <v>45370.0</v>
      </c>
      <c r="I80" s="84"/>
      <c r="J80" s="17"/>
      <c r="K80" s="133"/>
      <c r="L80" s="315" t="s">
        <v>2504</v>
      </c>
      <c r="M80" s="90">
        <v>3000.0</v>
      </c>
      <c r="N80" s="316" t="s">
        <v>584</v>
      </c>
      <c r="O80" s="30"/>
      <c r="P80" s="29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53">
        <v>45370.0</v>
      </c>
      <c r="I81" s="68" t="s">
        <v>3075</v>
      </c>
      <c r="J81" s="69">
        <v>20000.0</v>
      </c>
      <c r="K81" s="314" t="s">
        <v>3090</v>
      </c>
      <c r="L81" s="315" t="s">
        <v>2504</v>
      </c>
      <c r="M81" s="90">
        <v>14000.0</v>
      </c>
      <c r="N81" s="316" t="s">
        <v>1066</v>
      </c>
      <c r="O81" s="30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53">
        <v>45370.0</v>
      </c>
      <c r="I82" s="84"/>
      <c r="J82" s="17"/>
      <c r="K82" s="133"/>
      <c r="L82" s="315" t="s">
        <v>2704</v>
      </c>
      <c r="M82" s="90">
        <v>25.0</v>
      </c>
      <c r="N82" s="316" t="s">
        <v>2603</v>
      </c>
      <c r="O82" s="30"/>
      <c r="P82" s="29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53">
        <v>45371.0</v>
      </c>
      <c r="I83" s="84"/>
      <c r="J83" s="17"/>
      <c r="K83" s="133"/>
      <c r="L83" s="315" t="s">
        <v>2504</v>
      </c>
      <c r="M83" s="90">
        <v>10000.0</v>
      </c>
      <c r="N83" s="316" t="s">
        <v>3091</v>
      </c>
      <c r="O83" s="30"/>
      <c r="P83" s="29"/>
      <c r="Q83" s="243"/>
      <c r="R83" s="30"/>
      <c r="S83" s="30"/>
      <c r="T83" s="30"/>
      <c r="U83" s="30"/>
      <c r="V83" s="30"/>
      <c r="W83" s="30"/>
      <c r="X83" s="30"/>
      <c r="Y83" s="30"/>
      <c r="Z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53">
        <v>45371.0</v>
      </c>
      <c r="I84" s="68" t="s">
        <v>3077</v>
      </c>
      <c r="J84" s="69">
        <v>20000.0</v>
      </c>
      <c r="K84" s="314" t="s">
        <v>270</v>
      </c>
      <c r="L84" s="315" t="s">
        <v>2504</v>
      </c>
      <c r="M84" s="90">
        <v>10000.0</v>
      </c>
      <c r="N84" s="316" t="s">
        <v>3092</v>
      </c>
      <c r="O84" s="30"/>
      <c r="P84" s="29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53">
        <v>45371.0</v>
      </c>
      <c r="I85" s="84"/>
      <c r="J85" s="17"/>
      <c r="K85" s="133"/>
      <c r="L85" s="315" t="s">
        <v>2504</v>
      </c>
      <c r="M85" s="90">
        <v>8000.0</v>
      </c>
      <c r="N85" s="320">
        <v>0.7861111111111111</v>
      </c>
      <c r="O85" s="30"/>
      <c r="P85" s="29"/>
      <c r="R85" s="30"/>
      <c r="S85" s="30"/>
      <c r="T85" s="30"/>
      <c r="U85" s="30"/>
      <c r="V85" s="30"/>
      <c r="W85" s="30"/>
      <c r="X85" s="30"/>
      <c r="Y85" s="30"/>
      <c r="Z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53">
        <v>45371.0</v>
      </c>
      <c r="I86" s="84"/>
      <c r="J86" s="17"/>
      <c r="K86" s="133"/>
      <c r="L86" s="315" t="s">
        <v>3093</v>
      </c>
      <c r="M86" s="90">
        <v>40.0</v>
      </c>
      <c r="N86" s="316" t="s">
        <v>3094</v>
      </c>
      <c r="O86" s="30"/>
      <c r="P86" s="29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53">
        <v>45372.0</v>
      </c>
      <c r="I87" s="84"/>
      <c r="J87" s="17"/>
      <c r="K87" s="133"/>
      <c r="L87" s="315" t="s">
        <v>2504</v>
      </c>
      <c r="M87" s="90">
        <v>3800.0</v>
      </c>
      <c r="N87" s="316" t="s">
        <v>3095</v>
      </c>
      <c r="O87" s="30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53">
        <v>45372.0</v>
      </c>
      <c r="I88" s="84"/>
      <c r="J88" s="17"/>
      <c r="K88" s="133"/>
      <c r="L88" s="315" t="s">
        <v>2504</v>
      </c>
      <c r="M88" s="90">
        <v>5001.0</v>
      </c>
      <c r="N88" s="316" t="s">
        <v>771</v>
      </c>
      <c r="O88" s="30"/>
      <c r="P88" s="29"/>
      <c r="Q88" s="243" t="s">
        <v>3096</v>
      </c>
      <c r="R88" s="30"/>
      <c r="S88" s="30"/>
      <c r="T88" s="30"/>
      <c r="U88" s="30"/>
      <c r="V88" s="30"/>
      <c r="W88" s="30"/>
      <c r="X88" s="30"/>
      <c r="Y88" s="30"/>
      <c r="Z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53">
        <v>45372.0</v>
      </c>
      <c r="I89" s="68" t="s">
        <v>3077</v>
      </c>
      <c r="J89" s="69">
        <v>30000.0</v>
      </c>
      <c r="K89" s="314" t="s">
        <v>909</v>
      </c>
      <c r="L89" s="315" t="s">
        <v>2504</v>
      </c>
      <c r="M89" s="90">
        <v>20000.0</v>
      </c>
      <c r="N89" s="316" t="s">
        <v>1852</v>
      </c>
      <c r="O89" s="30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53">
        <v>45372.0</v>
      </c>
      <c r="I90" s="84"/>
      <c r="J90" s="17"/>
      <c r="K90" s="133"/>
      <c r="L90" s="315" t="s">
        <v>2834</v>
      </c>
      <c r="M90" s="90">
        <v>142.25</v>
      </c>
      <c r="N90" s="320">
        <v>0.8291666666666667</v>
      </c>
      <c r="O90" s="30"/>
      <c r="P90" s="29"/>
      <c r="Q90" s="95" t="s">
        <v>3097</v>
      </c>
      <c r="R90" s="30"/>
      <c r="S90" s="30"/>
      <c r="T90" s="30"/>
      <c r="U90" s="30"/>
      <c r="V90" s="30"/>
      <c r="W90" s="30"/>
      <c r="X90" s="30"/>
      <c r="Y90" s="30"/>
      <c r="Z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53">
        <v>45372.0</v>
      </c>
      <c r="I91" s="68" t="s">
        <v>3075</v>
      </c>
      <c r="J91" s="69">
        <v>30000.0</v>
      </c>
      <c r="K91" s="318">
        <v>0.9340277777777778</v>
      </c>
      <c r="L91" s="135"/>
      <c r="M91" s="19"/>
      <c r="N91" s="131"/>
      <c r="O91" s="30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53">
        <v>45373.0</v>
      </c>
      <c r="I92" s="84"/>
      <c r="J92" s="17"/>
      <c r="K92" s="133"/>
      <c r="L92" s="315" t="s">
        <v>2504</v>
      </c>
      <c r="M92" s="90">
        <v>5005.0</v>
      </c>
      <c r="N92" s="316" t="s">
        <v>3098</v>
      </c>
      <c r="O92" s="30"/>
      <c r="P92" s="29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53">
        <v>45373.0</v>
      </c>
      <c r="I93" s="84"/>
      <c r="J93" s="17"/>
      <c r="K93" s="133"/>
      <c r="L93" s="315" t="s">
        <v>2504</v>
      </c>
      <c r="M93" s="90">
        <v>15000.0</v>
      </c>
      <c r="N93" s="316" t="s">
        <v>3099</v>
      </c>
      <c r="O93" s="30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53">
        <v>45373.0</v>
      </c>
      <c r="I94" s="84"/>
      <c r="J94" s="17"/>
      <c r="K94" s="133"/>
      <c r="L94" s="315" t="s">
        <v>2504</v>
      </c>
      <c r="M94" s="90">
        <v>10000.0</v>
      </c>
      <c r="N94" s="316" t="s">
        <v>3100</v>
      </c>
      <c r="O94" s="30"/>
      <c r="P94" s="29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53">
        <v>45373.0</v>
      </c>
      <c r="I95" s="84"/>
      <c r="J95" s="17"/>
      <c r="K95" s="133"/>
      <c r="L95" s="315" t="s">
        <v>2704</v>
      </c>
      <c r="M95" s="90">
        <v>21.43</v>
      </c>
      <c r="N95" s="316" t="s">
        <v>3101</v>
      </c>
      <c r="O95" s="30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53">
        <v>45373.0</v>
      </c>
      <c r="I96" s="68" t="s">
        <v>3073</v>
      </c>
      <c r="J96" s="69">
        <v>20000.0</v>
      </c>
      <c r="K96" s="314" t="s">
        <v>373</v>
      </c>
      <c r="L96" s="315" t="s">
        <v>2504</v>
      </c>
      <c r="M96" s="90">
        <v>15000.0</v>
      </c>
      <c r="N96" s="316" t="s">
        <v>3102</v>
      </c>
      <c r="O96" s="30"/>
      <c r="P96" s="29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53">
        <v>45373.0</v>
      </c>
      <c r="I97" s="84"/>
      <c r="J97" s="17"/>
      <c r="K97" s="133"/>
      <c r="L97" s="315" t="s">
        <v>2504</v>
      </c>
      <c r="M97" s="90">
        <v>5000.0</v>
      </c>
      <c r="N97" s="316" t="s">
        <v>3103</v>
      </c>
      <c r="O97" s="30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53">
        <v>45374.0</v>
      </c>
      <c r="I98" s="84"/>
      <c r="J98" s="17"/>
      <c r="K98" s="133"/>
      <c r="L98" s="315" t="s">
        <v>2504</v>
      </c>
      <c r="M98" s="90">
        <v>3000.0</v>
      </c>
      <c r="N98" s="316" t="s">
        <v>3104</v>
      </c>
      <c r="O98" s="30"/>
      <c r="P98" s="29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53">
        <v>45374.0</v>
      </c>
      <c r="I99" s="68" t="s">
        <v>3073</v>
      </c>
      <c r="J99" s="69">
        <v>20000.0</v>
      </c>
      <c r="K99" s="314" t="s">
        <v>740</v>
      </c>
      <c r="L99" s="315" t="s">
        <v>2504</v>
      </c>
      <c r="M99" s="90">
        <v>20000.0</v>
      </c>
      <c r="N99" s="316" t="s">
        <v>2609</v>
      </c>
      <c r="O99" s="30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53">
        <v>45374.0</v>
      </c>
      <c r="I100" s="84"/>
      <c r="J100" s="17"/>
      <c r="K100" s="133"/>
      <c r="L100" s="315" t="s">
        <v>2504</v>
      </c>
      <c r="M100" s="90">
        <v>1800.0</v>
      </c>
      <c r="N100" s="316" t="s">
        <v>2317</v>
      </c>
      <c r="O100" s="30"/>
      <c r="P100" s="29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53">
        <v>45374.0</v>
      </c>
      <c r="I101" s="68" t="s">
        <v>3073</v>
      </c>
      <c r="J101" s="69">
        <v>35000.0</v>
      </c>
      <c r="K101" s="314" t="s">
        <v>316</v>
      </c>
      <c r="L101" s="315" t="s">
        <v>2504</v>
      </c>
      <c r="M101" s="90">
        <v>20000.0</v>
      </c>
      <c r="N101" s="316" t="s">
        <v>953</v>
      </c>
      <c r="O101" s="30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53">
        <v>45374.0</v>
      </c>
      <c r="I102" s="84"/>
      <c r="J102" s="17"/>
      <c r="K102" s="133"/>
      <c r="L102" s="315" t="s">
        <v>2504</v>
      </c>
      <c r="M102" s="90">
        <v>5000.0</v>
      </c>
      <c r="N102" s="320">
        <v>0.9784722222222222</v>
      </c>
      <c r="O102" s="30"/>
      <c r="P102" s="29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53">
        <v>45375.0</v>
      </c>
      <c r="I103" s="84"/>
      <c r="J103" s="17"/>
      <c r="K103" s="133"/>
      <c r="L103" s="315" t="s">
        <v>2504</v>
      </c>
      <c r="M103" s="90">
        <v>7000.0</v>
      </c>
      <c r="N103" s="316" t="s">
        <v>3105</v>
      </c>
      <c r="O103" s="30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53">
        <v>45375.0</v>
      </c>
      <c r="I104" s="84"/>
      <c r="J104" s="17"/>
      <c r="K104" s="133"/>
      <c r="L104" s="315" t="s">
        <v>2504</v>
      </c>
      <c r="M104" s="90">
        <v>3100.0</v>
      </c>
      <c r="N104" s="320">
        <v>0.6222222222222222</v>
      </c>
      <c r="O104" s="30"/>
      <c r="P104" s="29"/>
      <c r="Q104" s="208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53">
        <v>45375.0</v>
      </c>
      <c r="I105" s="68" t="s">
        <v>3073</v>
      </c>
      <c r="J105" s="69">
        <v>30000.0</v>
      </c>
      <c r="K105" s="318">
        <v>0.64375</v>
      </c>
      <c r="L105" s="315" t="s">
        <v>2504</v>
      </c>
      <c r="M105" s="90">
        <v>20000.0</v>
      </c>
      <c r="N105" s="320">
        <v>0.6479166666666667</v>
      </c>
      <c r="O105" s="30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53">
        <v>45375.0</v>
      </c>
      <c r="I106" s="68" t="s">
        <v>3073</v>
      </c>
      <c r="J106" s="69">
        <v>20000.0</v>
      </c>
      <c r="K106" s="318">
        <v>0.8194444444444444</v>
      </c>
      <c r="L106" s="315" t="s">
        <v>2504</v>
      </c>
      <c r="M106" s="90">
        <v>20000.0</v>
      </c>
      <c r="N106" s="320">
        <v>0.8256944444444444</v>
      </c>
      <c r="O106" s="30"/>
      <c r="P106" s="29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7.75" customHeight="1">
      <c r="A107" s="29"/>
      <c r="B107" s="29"/>
      <c r="C107" s="29"/>
      <c r="D107" s="29"/>
      <c r="E107" s="29"/>
      <c r="F107" s="30"/>
      <c r="G107" s="122">
        <v>101.0</v>
      </c>
      <c r="H107" s="153">
        <v>45375.0</v>
      </c>
      <c r="I107" s="84"/>
      <c r="J107" s="17"/>
      <c r="K107" s="133"/>
      <c r="L107" s="315" t="s">
        <v>2504</v>
      </c>
      <c r="M107" s="90">
        <v>5000.0</v>
      </c>
      <c r="N107" s="320">
        <v>0.8270833333333333</v>
      </c>
      <c r="O107" s="30"/>
      <c r="P107" s="29"/>
      <c r="Q107" s="30"/>
      <c r="R107" s="30"/>
      <c r="S107" s="335">
        <f>M95+M90+M86+M82+M78+M76+M73+M68+M64+M58+M52+M25+M23+M17+M14</f>
        <v>1842.25</v>
      </c>
      <c r="T107" s="30"/>
      <c r="U107" s="30"/>
      <c r="V107" s="30"/>
      <c r="W107" s="30"/>
      <c r="X107" s="30"/>
      <c r="Y107" s="30"/>
      <c r="Z107" s="30"/>
    </row>
    <row r="108" ht="27.75" customHeight="1">
      <c r="A108" s="29"/>
      <c r="B108" s="29"/>
      <c r="C108" s="29"/>
      <c r="D108" s="29"/>
      <c r="E108" s="29"/>
      <c r="F108" s="30"/>
      <c r="G108" s="122">
        <v>102.0</v>
      </c>
      <c r="H108" s="153">
        <v>45375.0</v>
      </c>
      <c r="I108" s="84"/>
      <c r="J108" s="17"/>
      <c r="K108" s="133"/>
      <c r="L108" s="315" t="s">
        <v>2504</v>
      </c>
      <c r="M108" s="90">
        <v>5001.0</v>
      </c>
      <c r="N108" s="320">
        <v>0.9222222222222223</v>
      </c>
      <c r="O108" s="30"/>
      <c r="P108" s="29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7.75" customHeight="1">
      <c r="A109" s="29"/>
      <c r="B109" s="29"/>
      <c r="C109" s="29"/>
      <c r="D109" s="29"/>
      <c r="E109" s="29"/>
      <c r="F109" s="30"/>
      <c r="G109" s="122">
        <v>103.0</v>
      </c>
      <c r="H109" s="153">
        <v>45376.0</v>
      </c>
      <c r="I109" s="68" t="s">
        <v>3073</v>
      </c>
      <c r="J109" s="69">
        <v>30000.0</v>
      </c>
      <c r="K109" s="314" t="s">
        <v>2647</v>
      </c>
      <c r="L109" s="315" t="s">
        <v>2504</v>
      </c>
      <c r="M109" s="90">
        <v>20000.0</v>
      </c>
      <c r="N109" s="316" t="s">
        <v>3106</v>
      </c>
      <c r="O109" s="30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7.75" customHeight="1">
      <c r="A110" s="29"/>
      <c r="B110" s="29"/>
      <c r="C110" s="29"/>
      <c r="D110" s="29"/>
      <c r="E110" s="29"/>
      <c r="F110" s="30"/>
      <c r="G110" s="122">
        <v>104.0</v>
      </c>
      <c r="H110" s="153">
        <v>45376.0</v>
      </c>
      <c r="I110" s="84"/>
      <c r="J110" s="17"/>
      <c r="K110" s="133"/>
      <c r="L110" s="315" t="s">
        <v>2504</v>
      </c>
      <c r="M110" s="90">
        <v>3000.0</v>
      </c>
      <c r="N110" s="316" t="s">
        <v>3107</v>
      </c>
      <c r="O110" s="30"/>
      <c r="P110" s="29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7.75" customHeight="1">
      <c r="A111" s="29"/>
      <c r="B111" s="29"/>
      <c r="C111" s="29"/>
      <c r="D111" s="29"/>
      <c r="E111" s="29"/>
      <c r="F111" s="30"/>
      <c r="G111" s="122">
        <v>105.0</v>
      </c>
      <c r="H111" s="153">
        <v>45376.0</v>
      </c>
      <c r="I111" s="84"/>
      <c r="J111" s="17"/>
      <c r="K111" s="133"/>
      <c r="L111" s="315" t="s">
        <v>2704</v>
      </c>
      <c r="M111" s="90">
        <v>25.0</v>
      </c>
      <c r="N111" s="316" t="s">
        <v>3108</v>
      </c>
      <c r="O111" s="30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7.75" customHeight="1">
      <c r="A112" s="29"/>
      <c r="B112" s="29"/>
      <c r="C112" s="29"/>
      <c r="D112" s="29"/>
      <c r="E112" s="29"/>
      <c r="F112" s="30"/>
      <c r="G112" s="122">
        <v>106.0</v>
      </c>
      <c r="H112" s="153">
        <v>45376.0</v>
      </c>
      <c r="I112" s="84"/>
      <c r="J112" s="17"/>
      <c r="K112" s="133"/>
      <c r="L112" s="315" t="s">
        <v>2504</v>
      </c>
      <c r="M112" s="90">
        <v>5000.0</v>
      </c>
      <c r="N112" s="320">
        <v>0.9527777777777777</v>
      </c>
      <c r="O112" s="30"/>
      <c r="P112" s="29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7.75" customHeight="1">
      <c r="A113" s="29"/>
      <c r="B113" s="29"/>
      <c r="C113" s="29"/>
      <c r="D113" s="29"/>
      <c r="E113" s="29"/>
      <c r="F113" s="30"/>
      <c r="G113" s="122">
        <v>107.0</v>
      </c>
      <c r="H113" s="153">
        <v>45376.0</v>
      </c>
      <c r="I113" s="68" t="s">
        <v>3073</v>
      </c>
      <c r="J113" s="69">
        <v>50000.0</v>
      </c>
      <c r="K113" s="314" t="s">
        <v>3109</v>
      </c>
      <c r="L113" s="315" t="s">
        <v>2504</v>
      </c>
      <c r="M113" s="90">
        <v>30000.0</v>
      </c>
      <c r="N113" s="316" t="s">
        <v>3110</v>
      </c>
      <c r="O113" s="30"/>
      <c r="P113" s="29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27.75" customHeight="1">
      <c r="A114" s="29"/>
      <c r="B114" s="29"/>
      <c r="C114" s="29"/>
      <c r="D114" s="29"/>
      <c r="E114" s="29"/>
      <c r="F114" s="30"/>
      <c r="G114" s="122">
        <v>108.0</v>
      </c>
      <c r="H114" s="153">
        <v>45377.0</v>
      </c>
      <c r="I114" s="84"/>
      <c r="J114" s="17"/>
      <c r="K114" s="133"/>
      <c r="L114" s="315" t="s">
        <v>2504</v>
      </c>
      <c r="M114" s="90">
        <v>15000.0</v>
      </c>
      <c r="N114" s="320">
        <v>0.06041666666666667</v>
      </c>
      <c r="O114" s="30"/>
      <c r="P114" s="29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7.75" customHeight="1">
      <c r="A115" s="29"/>
      <c r="B115" s="29"/>
      <c r="C115" s="29"/>
      <c r="D115" s="29"/>
      <c r="E115" s="29"/>
      <c r="F115" s="30"/>
      <c r="G115" s="122">
        <v>109.0</v>
      </c>
      <c r="H115" s="153">
        <v>45377.0</v>
      </c>
      <c r="I115" s="84"/>
      <c r="J115" s="17"/>
      <c r="K115" s="133"/>
      <c r="L115" s="315" t="s">
        <v>2504</v>
      </c>
      <c r="M115" s="90">
        <v>5002.0</v>
      </c>
      <c r="N115" s="316" t="s">
        <v>3081</v>
      </c>
      <c r="O115" s="30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7.75" customHeight="1">
      <c r="A116" s="29"/>
      <c r="B116" s="29"/>
      <c r="C116" s="29"/>
      <c r="D116" s="29"/>
      <c r="E116" s="29"/>
      <c r="F116" s="30"/>
      <c r="G116" s="122">
        <v>110.0</v>
      </c>
      <c r="H116" s="153">
        <v>45377.0</v>
      </c>
      <c r="I116" s="68" t="s">
        <v>3073</v>
      </c>
      <c r="J116" s="69">
        <v>50000.0</v>
      </c>
      <c r="K116" s="314" t="s">
        <v>2351</v>
      </c>
      <c r="L116" s="315" t="s">
        <v>2504</v>
      </c>
      <c r="M116" s="90">
        <v>25000.0</v>
      </c>
      <c r="N116" s="316" t="s">
        <v>3111</v>
      </c>
      <c r="O116" s="30"/>
      <c r="P116" s="29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7.75" customHeight="1">
      <c r="A117" s="29"/>
      <c r="B117" s="29"/>
      <c r="C117" s="29"/>
      <c r="D117" s="29"/>
      <c r="E117" s="29"/>
      <c r="F117" s="30"/>
      <c r="G117" s="122">
        <v>111.0</v>
      </c>
      <c r="H117" s="153">
        <v>45377.0</v>
      </c>
      <c r="I117" s="84"/>
      <c r="J117" s="17"/>
      <c r="K117" s="133"/>
      <c r="L117" s="315" t="s">
        <v>2504</v>
      </c>
      <c r="M117" s="90">
        <v>1.0</v>
      </c>
      <c r="N117" s="316" t="s">
        <v>1589</v>
      </c>
      <c r="O117" s="30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75" customHeight="1">
      <c r="A118" s="29"/>
      <c r="B118" s="29"/>
      <c r="C118" s="29"/>
      <c r="D118" s="29"/>
      <c r="E118" s="29"/>
      <c r="F118" s="30"/>
      <c r="G118" s="122">
        <v>112.0</v>
      </c>
      <c r="H118" s="153">
        <v>45377.0</v>
      </c>
      <c r="I118" s="84"/>
      <c r="J118" s="17"/>
      <c r="K118" s="133"/>
      <c r="L118" s="315" t="s">
        <v>2504</v>
      </c>
      <c r="M118" s="90">
        <v>20000.0</v>
      </c>
      <c r="N118" s="316" t="s">
        <v>3112</v>
      </c>
      <c r="O118" s="30"/>
      <c r="P118" s="29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7.75" customHeight="1">
      <c r="A119" s="29"/>
      <c r="B119" s="29"/>
      <c r="C119" s="29"/>
      <c r="D119" s="29"/>
      <c r="E119" s="29"/>
      <c r="F119" s="30"/>
      <c r="G119" s="122">
        <v>113.0</v>
      </c>
      <c r="H119" s="153">
        <v>45377.0</v>
      </c>
      <c r="I119" s="68" t="s">
        <v>3073</v>
      </c>
      <c r="J119" s="69">
        <v>50000.0</v>
      </c>
      <c r="K119" s="314" t="s">
        <v>1852</v>
      </c>
      <c r="L119" s="315" t="s">
        <v>2504</v>
      </c>
      <c r="M119" s="90">
        <v>50000.0</v>
      </c>
      <c r="N119" s="316" t="s">
        <v>343</v>
      </c>
      <c r="O119" s="30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7.75" customHeight="1">
      <c r="A120" s="29"/>
      <c r="B120" s="29"/>
      <c r="C120" s="29"/>
      <c r="D120" s="29"/>
      <c r="E120" s="29"/>
      <c r="F120" s="30"/>
      <c r="G120" s="122">
        <v>114.0</v>
      </c>
      <c r="H120" s="153">
        <v>45378.0</v>
      </c>
      <c r="I120" s="84"/>
      <c r="J120" s="17"/>
      <c r="K120" s="133"/>
      <c r="L120" s="315" t="s">
        <v>2504</v>
      </c>
      <c r="M120" s="90">
        <v>5000.0</v>
      </c>
      <c r="N120" s="316" t="s">
        <v>2665</v>
      </c>
      <c r="O120" s="30"/>
      <c r="P120" s="29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7.75" customHeight="1">
      <c r="A121" s="29"/>
      <c r="B121" s="29"/>
      <c r="C121" s="29"/>
      <c r="D121" s="29"/>
      <c r="E121" s="29"/>
      <c r="F121" s="30"/>
      <c r="G121" s="122">
        <v>115.0</v>
      </c>
      <c r="H121" s="153">
        <v>45378.0</v>
      </c>
      <c r="I121" s="68" t="s">
        <v>3073</v>
      </c>
      <c r="J121" s="69">
        <v>50000.0</v>
      </c>
      <c r="K121" s="314" t="s">
        <v>3113</v>
      </c>
      <c r="L121" s="315" t="s">
        <v>2504</v>
      </c>
      <c r="M121" s="90">
        <v>25000.0</v>
      </c>
      <c r="N121" s="316" t="s">
        <v>3037</v>
      </c>
      <c r="O121" s="30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7.75" customHeight="1">
      <c r="A122" s="29"/>
      <c r="B122" s="29"/>
      <c r="C122" s="29"/>
      <c r="D122" s="29"/>
      <c r="E122" s="29"/>
      <c r="F122" s="30"/>
      <c r="G122" s="122">
        <v>116.0</v>
      </c>
      <c r="H122" s="153">
        <v>45378.0</v>
      </c>
      <c r="I122" s="84"/>
      <c r="J122" s="17"/>
      <c r="K122" s="133"/>
      <c r="L122" s="315" t="s">
        <v>211</v>
      </c>
      <c r="M122" s="90">
        <v>200.0</v>
      </c>
      <c r="N122" s="316" t="s">
        <v>2524</v>
      </c>
      <c r="O122" s="30"/>
      <c r="P122" s="29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7.75" customHeight="1">
      <c r="A123" s="29"/>
      <c r="B123" s="29"/>
      <c r="C123" s="29"/>
      <c r="D123" s="29"/>
      <c r="E123" s="29"/>
      <c r="F123" s="30"/>
      <c r="G123" s="122">
        <v>117.0</v>
      </c>
      <c r="H123" s="153">
        <v>45378.0</v>
      </c>
      <c r="I123" s="84"/>
      <c r="J123" s="17"/>
      <c r="K123" s="133"/>
      <c r="L123" s="315" t="s">
        <v>2504</v>
      </c>
      <c r="M123" s="90">
        <v>20000.0</v>
      </c>
      <c r="N123" s="316" t="s">
        <v>2678</v>
      </c>
      <c r="O123" s="30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7.75" customHeight="1">
      <c r="A124" s="29"/>
      <c r="B124" s="29"/>
      <c r="C124" s="29"/>
      <c r="D124" s="29"/>
      <c r="E124" s="29"/>
      <c r="F124" s="30"/>
      <c r="G124" s="122">
        <v>118.0</v>
      </c>
      <c r="H124" s="153">
        <v>45378.0</v>
      </c>
      <c r="I124" s="68" t="s">
        <v>3073</v>
      </c>
      <c r="J124" s="69">
        <v>50000.0</v>
      </c>
      <c r="K124" s="314" t="s">
        <v>2757</v>
      </c>
      <c r="L124" s="315" t="s">
        <v>2504</v>
      </c>
      <c r="M124" s="90">
        <v>33000.0</v>
      </c>
      <c r="N124" s="316" t="s">
        <v>953</v>
      </c>
      <c r="O124" s="30"/>
      <c r="P124" s="29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75" customHeight="1">
      <c r="A125" s="29"/>
      <c r="B125" s="29"/>
      <c r="C125" s="29"/>
      <c r="D125" s="29"/>
      <c r="E125" s="29"/>
      <c r="F125" s="30"/>
      <c r="G125" s="122">
        <v>119.0</v>
      </c>
      <c r="H125" s="153">
        <v>45378.0</v>
      </c>
      <c r="I125" s="84"/>
      <c r="J125" s="17"/>
      <c r="K125" s="133"/>
      <c r="L125" s="315" t="s">
        <v>1265</v>
      </c>
      <c r="M125" s="90">
        <v>120.0</v>
      </c>
      <c r="N125" s="316" t="s">
        <v>3114</v>
      </c>
      <c r="O125" s="30"/>
      <c r="P125" s="29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7.75" customHeight="1">
      <c r="A126" s="29"/>
      <c r="B126" s="29"/>
      <c r="C126" s="29"/>
      <c r="D126" s="29"/>
      <c r="E126" s="29"/>
      <c r="F126" s="30"/>
      <c r="G126" s="122">
        <v>120.0</v>
      </c>
      <c r="H126" s="153">
        <v>45379.0</v>
      </c>
      <c r="I126" s="84"/>
      <c r="J126" s="17"/>
      <c r="K126" s="133"/>
      <c r="L126" s="315" t="s">
        <v>453</v>
      </c>
      <c r="M126" s="90">
        <v>60.0</v>
      </c>
      <c r="N126" s="316" t="s">
        <v>3115</v>
      </c>
      <c r="O126" s="30"/>
      <c r="P126" s="29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7.75" customHeight="1">
      <c r="A127" s="29"/>
      <c r="B127" s="29"/>
      <c r="C127" s="29"/>
      <c r="D127" s="29"/>
      <c r="E127" s="29"/>
      <c r="F127" s="30"/>
      <c r="G127" s="122">
        <v>121.0</v>
      </c>
      <c r="H127" s="153">
        <v>45379.0</v>
      </c>
      <c r="I127" s="84"/>
      <c r="J127" s="17"/>
      <c r="K127" s="133"/>
      <c r="L127" s="315" t="s">
        <v>2504</v>
      </c>
      <c r="M127" s="90">
        <v>20000.0</v>
      </c>
      <c r="N127" s="316" t="s">
        <v>3116</v>
      </c>
      <c r="O127" s="30"/>
      <c r="P127" s="29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7.75" customHeight="1">
      <c r="A128" s="29"/>
      <c r="B128" s="29"/>
      <c r="C128" s="29"/>
      <c r="D128" s="29"/>
      <c r="E128" s="29"/>
      <c r="F128" s="30"/>
      <c r="G128" s="122">
        <v>122.0</v>
      </c>
      <c r="H128" s="153">
        <v>45379.0</v>
      </c>
      <c r="I128" s="84"/>
      <c r="J128" s="17"/>
      <c r="K128" s="133"/>
      <c r="L128" s="315" t="s">
        <v>2504</v>
      </c>
      <c r="M128" s="90">
        <v>3500.0</v>
      </c>
      <c r="N128" s="316" t="s">
        <v>2593</v>
      </c>
      <c r="O128" s="30"/>
      <c r="P128" s="29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7.75" customHeight="1">
      <c r="A129" s="29"/>
      <c r="B129" s="29"/>
      <c r="C129" s="29"/>
      <c r="D129" s="29"/>
      <c r="E129" s="29"/>
      <c r="F129" s="30"/>
      <c r="G129" s="122">
        <v>123.0</v>
      </c>
      <c r="H129" s="153">
        <v>45379.0</v>
      </c>
      <c r="I129" s="68" t="s">
        <v>3073</v>
      </c>
      <c r="J129" s="69">
        <v>50000.0</v>
      </c>
      <c r="K129" s="314" t="s">
        <v>3117</v>
      </c>
      <c r="L129" s="315" t="s">
        <v>2504</v>
      </c>
      <c r="M129" s="90">
        <v>30000.0</v>
      </c>
      <c r="N129" s="316" t="s">
        <v>2745</v>
      </c>
      <c r="O129" s="30"/>
      <c r="P129" s="29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7.75" customHeight="1">
      <c r="A130" s="29"/>
      <c r="B130" s="29"/>
      <c r="C130" s="29"/>
      <c r="D130" s="29"/>
      <c r="E130" s="29"/>
      <c r="F130" s="30"/>
      <c r="G130" s="122">
        <v>124.0</v>
      </c>
      <c r="H130" s="153">
        <v>45379.0</v>
      </c>
      <c r="I130" s="84"/>
      <c r="J130" s="17"/>
      <c r="K130" s="133"/>
      <c r="L130" s="315" t="s">
        <v>2504</v>
      </c>
      <c r="M130" s="90">
        <v>5004.0</v>
      </c>
      <c r="N130" s="316" t="s">
        <v>3118</v>
      </c>
      <c r="O130" s="30"/>
      <c r="P130" s="29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7.75" customHeight="1">
      <c r="A131" s="29"/>
      <c r="B131" s="29"/>
      <c r="C131" s="29"/>
      <c r="D131" s="29"/>
      <c r="E131" s="29"/>
      <c r="F131" s="30"/>
      <c r="G131" s="122">
        <v>125.0</v>
      </c>
      <c r="H131" s="153">
        <v>45379.0</v>
      </c>
      <c r="I131" s="84"/>
      <c r="J131" s="17"/>
      <c r="K131" s="133"/>
      <c r="L131" s="315" t="s">
        <v>2834</v>
      </c>
      <c r="M131" s="90">
        <v>354.0</v>
      </c>
      <c r="N131" s="320">
        <v>0.8680555555555556</v>
      </c>
      <c r="O131" s="30"/>
      <c r="P131" s="29"/>
      <c r="Q131" s="243" t="s">
        <v>3119</v>
      </c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75" customHeight="1">
      <c r="A132" s="29"/>
      <c r="B132" s="29"/>
      <c r="C132" s="29"/>
      <c r="D132" s="29"/>
      <c r="E132" s="29"/>
      <c r="F132" s="30"/>
      <c r="G132" s="122">
        <v>126.0</v>
      </c>
      <c r="H132" s="153">
        <v>45379.0</v>
      </c>
      <c r="I132" s="84"/>
      <c r="J132" s="17"/>
      <c r="K132" s="133"/>
      <c r="L132" s="315" t="s">
        <v>2504</v>
      </c>
      <c r="M132" s="90">
        <v>10000.0</v>
      </c>
      <c r="N132" s="320">
        <v>0.8861111111111111</v>
      </c>
      <c r="O132" s="30"/>
      <c r="P132" s="29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7.75" customHeight="1">
      <c r="A133" s="29"/>
      <c r="B133" s="29"/>
      <c r="C133" s="29"/>
      <c r="D133" s="29"/>
      <c r="E133" s="29"/>
      <c r="F133" s="30"/>
      <c r="G133" s="122">
        <v>127.0</v>
      </c>
      <c r="H133" s="153">
        <v>45379.0</v>
      </c>
      <c r="I133" s="84"/>
      <c r="J133" s="17"/>
      <c r="K133" s="133"/>
      <c r="L133" s="315" t="s">
        <v>2504</v>
      </c>
      <c r="M133" s="90">
        <v>4000.0</v>
      </c>
      <c r="N133" s="320">
        <v>0.9243055555555556</v>
      </c>
      <c r="O133" s="30"/>
      <c r="P133" s="29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7.75" customHeight="1">
      <c r="A134" s="29"/>
      <c r="B134" s="29"/>
      <c r="C134" s="29"/>
      <c r="D134" s="29"/>
      <c r="E134" s="29"/>
      <c r="F134" s="30"/>
      <c r="G134" s="122">
        <v>128.0</v>
      </c>
      <c r="H134" s="153">
        <v>45380.0</v>
      </c>
      <c r="I134" s="68" t="s">
        <v>3073</v>
      </c>
      <c r="J134" s="69">
        <v>60000.0</v>
      </c>
      <c r="K134" s="314" t="s">
        <v>3120</v>
      </c>
      <c r="L134" s="315" t="s">
        <v>2504</v>
      </c>
      <c r="M134" s="90">
        <v>30000.0</v>
      </c>
      <c r="N134" s="316" t="s">
        <v>3091</v>
      </c>
      <c r="O134" s="30"/>
      <c r="P134" s="29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7.75" customHeight="1">
      <c r="A135" s="29"/>
      <c r="B135" s="29"/>
      <c r="C135" s="29"/>
      <c r="D135" s="29"/>
      <c r="E135" s="29"/>
      <c r="F135" s="30"/>
      <c r="G135" s="122">
        <v>129.0</v>
      </c>
      <c r="H135" s="153">
        <v>45380.0</v>
      </c>
      <c r="I135" s="84"/>
      <c r="J135" s="17"/>
      <c r="K135" s="133"/>
      <c r="L135" s="315" t="s">
        <v>2504</v>
      </c>
      <c r="M135" s="90">
        <v>30000.0</v>
      </c>
      <c r="N135" s="316" t="s">
        <v>3121</v>
      </c>
      <c r="O135" s="30"/>
      <c r="P135" s="29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7.75" customHeight="1">
      <c r="A136" s="29"/>
      <c r="B136" s="29"/>
      <c r="C136" s="29"/>
      <c r="D136" s="29"/>
      <c r="E136" s="29"/>
      <c r="F136" s="30"/>
      <c r="G136" s="122">
        <v>130.0</v>
      </c>
      <c r="H136" s="153">
        <v>45380.0</v>
      </c>
      <c r="I136" s="68" t="s">
        <v>3073</v>
      </c>
      <c r="J136" s="69">
        <v>50000.0</v>
      </c>
      <c r="K136" s="314" t="s">
        <v>972</v>
      </c>
      <c r="L136" s="315" t="s">
        <v>2504</v>
      </c>
      <c r="M136" s="90">
        <v>50000.0</v>
      </c>
      <c r="N136" s="316" t="s">
        <v>3122</v>
      </c>
      <c r="O136" s="30"/>
      <c r="P136" s="29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7.75" customHeight="1">
      <c r="A137" s="29"/>
      <c r="B137" s="29"/>
      <c r="C137" s="29"/>
      <c r="D137" s="29"/>
      <c r="E137" s="29"/>
      <c r="F137" s="30"/>
      <c r="G137" s="122">
        <v>131.0</v>
      </c>
      <c r="H137" s="153">
        <v>45380.0</v>
      </c>
      <c r="I137" s="84"/>
      <c r="J137" s="17"/>
      <c r="K137" s="133"/>
      <c r="L137" s="315" t="s">
        <v>2834</v>
      </c>
      <c r="M137" s="90">
        <v>136.84</v>
      </c>
      <c r="N137" s="320">
        <v>0.8868055555555555</v>
      </c>
      <c r="O137" s="30"/>
      <c r="P137" s="29"/>
      <c r="Q137" s="243" t="s">
        <v>3123</v>
      </c>
      <c r="R137" s="30"/>
      <c r="S137" s="30"/>
      <c r="T137" s="30"/>
      <c r="U137" s="30"/>
      <c r="V137" s="30"/>
      <c r="W137" s="30"/>
      <c r="X137" s="30"/>
      <c r="Y137" s="30"/>
      <c r="Z137" s="30"/>
    </row>
    <row r="138" ht="27.75" customHeight="1">
      <c r="A138" s="29"/>
      <c r="B138" s="29"/>
      <c r="C138" s="29"/>
      <c r="D138" s="29"/>
      <c r="E138" s="29"/>
      <c r="F138" s="30"/>
      <c r="G138" s="122">
        <v>132.0</v>
      </c>
      <c r="H138" s="153">
        <v>45381.0</v>
      </c>
      <c r="I138" s="84"/>
      <c r="J138" s="17"/>
      <c r="K138" s="133"/>
      <c r="L138" s="315" t="s">
        <v>2704</v>
      </c>
      <c r="M138" s="90">
        <v>4.29</v>
      </c>
      <c r="N138" s="316" t="s">
        <v>2286</v>
      </c>
      <c r="O138" s="30"/>
      <c r="P138" s="29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7.75" customHeight="1">
      <c r="A139" s="29"/>
      <c r="B139" s="29"/>
      <c r="C139" s="29"/>
      <c r="D139" s="29"/>
      <c r="E139" s="29"/>
      <c r="F139" s="30"/>
      <c r="G139" s="122">
        <v>133.0</v>
      </c>
      <c r="H139" s="153">
        <v>45381.0</v>
      </c>
      <c r="I139" s="84"/>
      <c r="J139" s="17"/>
      <c r="K139" s="133"/>
      <c r="L139" s="315" t="s">
        <v>2513</v>
      </c>
      <c r="M139" s="90">
        <v>3.57</v>
      </c>
      <c r="N139" s="316" t="s">
        <v>3124</v>
      </c>
      <c r="O139" s="30"/>
      <c r="P139" s="29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7.75" customHeight="1">
      <c r="A140" s="29"/>
      <c r="B140" s="29"/>
      <c r="C140" s="29"/>
      <c r="D140" s="29"/>
      <c r="E140" s="29"/>
      <c r="F140" s="30"/>
      <c r="G140" s="122">
        <v>134.0</v>
      </c>
      <c r="H140" s="153">
        <v>45381.0</v>
      </c>
      <c r="I140" s="68" t="s">
        <v>3073</v>
      </c>
      <c r="J140" s="69">
        <v>50000.0</v>
      </c>
      <c r="K140" s="314" t="s">
        <v>3107</v>
      </c>
      <c r="L140" s="315" t="s">
        <v>2504</v>
      </c>
      <c r="M140" s="90">
        <v>30884.0</v>
      </c>
      <c r="N140" s="316" t="s">
        <v>2545</v>
      </c>
      <c r="O140" s="30"/>
      <c r="P140" s="29"/>
      <c r="Q140" s="243" t="s">
        <v>3125</v>
      </c>
      <c r="R140" s="30"/>
      <c r="S140" s="30"/>
      <c r="T140" s="30"/>
      <c r="U140" s="30"/>
      <c r="V140" s="30"/>
      <c r="W140" s="30"/>
      <c r="X140" s="30"/>
      <c r="Y140" s="30"/>
      <c r="Z140" s="30"/>
    </row>
    <row r="141" ht="27.75" customHeight="1">
      <c r="A141" s="29"/>
      <c r="B141" s="29"/>
      <c r="C141" s="29"/>
      <c r="D141" s="29"/>
      <c r="E141" s="29"/>
      <c r="F141" s="30"/>
      <c r="G141" s="122">
        <v>135.0</v>
      </c>
      <c r="H141" s="130"/>
      <c r="I141" s="84"/>
      <c r="J141" s="17"/>
      <c r="K141" s="133"/>
      <c r="L141" s="135"/>
      <c r="M141" s="19"/>
      <c r="N141" s="131"/>
      <c r="O141" s="30"/>
      <c r="P141" s="29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7.75" customHeight="1">
      <c r="A142" s="29"/>
      <c r="B142" s="29"/>
      <c r="C142" s="29"/>
      <c r="D142" s="29"/>
      <c r="E142" s="29"/>
      <c r="F142" s="30"/>
      <c r="G142" s="122">
        <v>136.0</v>
      </c>
      <c r="H142" s="130"/>
      <c r="I142" s="84"/>
      <c r="J142" s="17"/>
      <c r="K142" s="133"/>
      <c r="L142" s="135"/>
      <c r="M142" s="19"/>
      <c r="N142" s="131"/>
      <c r="O142" s="30"/>
      <c r="P142" s="29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7.75" customHeight="1">
      <c r="A143" s="29"/>
      <c r="B143" s="29"/>
      <c r="C143" s="29"/>
      <c r="D143" s="29"/>
      <c r="E143" s="29"/>
      <c r="F143" s="30"/>
      <c r="G143" s="122">
        <v>137.0</v>
      </c>
      <c r="H143" s="130"/>
      <c r="I143" s="84"/>
      <c r="J143" s="17"/>
      <c r="K143" s="133"/>
      <c r="L143" s="135"/>
      <c r="M143" s="19"/>
      <c r="N143" s="131"/>
      <c r="O143" s="30"/>
      <c r="P143" s="29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7.75" customHeight="1">
      <c r="A144" s="29"/>
      <c r="B144" s="29"/>
      <c r="C144" s="29"/>
      <c r="D144" s="29"/>
      <c r="E144" s="29"/>
      <c r="F144" s="30"/>
      <c r="G144" s="122">
        <v>138.0</v>
      </c>
      <c r="H144" s="130"/>
      <c r="I144" s="84"/>
      <c r="J144" s="17"/>
      <c r="K144" s="133"/>
      <c r="L144" s="135"/>
      <c r="M144" s="19"/>
      <c r="N144" s="131"/>
      <c r="O144" s="30"/>
      <c r="P144" s="29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7.75" customHeight="1">
      <c r="A145" s="29"/>
      <c r="B145" s="29"/>
      <c r="C145" s="29"/>
      <c r="D145" s="29"/>
      <c r="E145" s="29"/>
      <c r="F145" s="30"/>
      <c r="G145" s="122">
        <v>139.0</v>
      </c>
      <c r="H145" s="130"/>
      <c r="I145" s="84"/>
      <c r="J145" s="17"/>
      <c r="K145" s="133"/>
      <c r="L145" s="135"/>
      <c r="M145" s="19"/>
      <c r="N145" s="131"/>
      <c r="O145" s="30"/>
      <c r="P145" s="29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75" customHeight="1">
      <c r="A146" s="29"/>
      <c r="B146" s="29"/>
      <c r="C146" s="29"/>
      <c r="D146" s="29"/>
      <c r="E146" s="29"/>
      <c r="F146" s="30"/>
      <c r="G146" s="122">
        <v>140.0</v>
      </c>
      <c r="H146" s="130"/>
      <c r="I146" s="84"/>
      <c r="J146" s="17"/>
      <c r="K146" s="133"/>
      <c r="L146" s="135"/>
      <c r="M146" s="19"/>
      <c r="N146" s="131"/>
      <c r="O146" s="30"/>
      <c r="P146" s="29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7.75" customHeight="1">
      <c r="A147" s="29"/>
      <c r="B147" s="29"/>
      <c r="C147" s="29"/>
      <c r="D147" s="29"/>
      <c r="E147" s="29"/>
      <c r="F147" s="30"/>
      <c r="G147" s="122">
        <v>141.0</v>
      </c>
      <c r="H147" s="130"/>
      <c r="I147" s="84"/>
      <c r="J147" s="17"/>
      <c r="K147" s="133"/>
      <c r="L147" s="135"/>
      <c r="M147" s="19"/>
      <c r="N147" s="131"/>
      <c r="O147" s="30"/>
      <c r="P147" s="29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7.75" customHeight="1">
      <c r="A148" s="29"/>
      <c r="B148" s="29"/>
      <c r="C148" s="29"/>
      <c r="D148" s="29"/>
      <c r="E148" s="29"/>
      <c r="F148" s="30"/>
      <c r="G148" s="122">
        <v>142.0</v>
      </c>
      <c r="H148" s="130"/>
      <c r="I148" s="84"/>
      <c r="J148" s="17"/>
      <c r="K148" s="133"/>
      <c r="L148" s="135"/>
      <c r="M148" s="19"/>
      <c r="N148" s="131"/>
      <c r="O148" s="30"/>
      <c r="P148" s="29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7.75" customHeight="1">
      <c r="A149" s="29"/>
      <c r="B149" s="29"/>
      <c r="C149" s="29"/>
      <c r="D149" s="29"/>
      <c r="E149" s="29"/>
      <c r="F149" s="30"/>
      <c r="G149" s="122">
        <v>143.0</v>
      </c>
      <c r="H149" s="130"/>
      <c r="I149" s="84"/>
      <c r="J149" s="17"/>
      <c r="K149" s="133"/>
      <c r="L149" s="135"/>
      <c r="M149" s="19"/>
      <c r="N149" s="131"/>
      <c r="O149" s="30"/>
      <c r="P149" s="29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7.75" customHeight="1">
      <c r="A150" s="29"/>
      <c r="B150" s="29"/>
      <c r="C150" s="29"/>
      <c r="D150" s="29"/>
      <c r="E150" s="29"/>
      <c r="F150" s="30"/>
      <c r="G150" s="122">
        <v>144.0</v>
      </c>
      <c r="H150" s="130"/>
      <c r="I150" s="84"/>
      <c r="J150" s="17"/>
      <c r="K150" s="133"/>
      <c r="L150" s="135"/>
      <c r="M150" s="19"/>
      <c r="N150" s="131"/>
      <c r="O150" s="30"/>
      <c r="P150" s="29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7.75" customHeight="1">
      <c r="A151" s="29"/>
      <c r="B151" s="29"/>
      <c r="C151" s="29"/>
      <c r="D151" s="29"/>
      <c r="E151" s="29"/>
      <c r="F151" s="30"/>
      <c r="G151" s="122">
        <v>145.0</v>
      </c>
      <c r="H151" s="130"/>
      <c r="I151" s="84"/>
      <c r="J151" s="17"/>
      <c r="K151" s="133"/>
      <c r="L151" s="135"/>
      <c r="M151" s="19"/>
      <c r="N151" s="131"/>
      <c r="O151" s="30"/>
      <c r="P151" s="29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7.75" customHeight="1">
      <c r="A152" s="29"/>
      <c r="B152" s="29"/>
      <c r="C152" s="29"/>
      <c r="D152" s="29"/>
      <c r="E152" s="29"/>
      <c r="F152" s="30"/>
      <c r="G152" s="122">
        <v>146.0</v>
      </c>
      <c r="H152" s="130"/>
      <c r="I152" s="84"/>
      <c r="J152" s="17"/>
      <c r="K152" s="133"/>
      <c r="L152" s="135"/>
      <c r="M152" s="19"/>
      <c r="N152" s="131"/>
      <c r="O152" s="30"/>
      <c r="P152" s="29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75" customHeight="1">
      <c r="A153" s="29"/>
      <c r="B153" s="29"/>
      <c r="C153" s="29"/>
      <c r="D153" s="29"/>
      <c r="E153" s="29"/>
      <c r="F153" s="30"/>
      <c r="G153" s="122">
        <v>147.0</v>
      </c>
      <c r="H153" s="130"/>
      <c r="I153" s="84"/>
      <c r="J153" s="17"/>
      <c r="K153" s="133"/>
      <c r="L153" s="135"/>
      <c r="M153" s="19"/>
      <c r="N153" s="131"/>
      <c r="O153" s="30"/>
      <c r="P153" s="29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7.75" customHeight="1">
      <c r="A154" s="29"/>
      <c r="B154" s="29"/>
      <c r="C154" s="29"/>
      <c r="D154" s="29"/>
      <c r="E154" s="29"/>
      <c r="F154" s="30"/>
      <c r="G154" s="122">
        <v>148.0</v>
      </c>
      <c r="H154" s="130"/>
      <c r="I154" s="84"/>
      <c r="J154" s="17"/>
      <c r="K154" s="133"/>
      <c r="L154" s="135"/>
      <c r="M154" s="19"/>
      <c r="N154" s="131"/>
      <c r="O154" s="30"/>
      <c r="P154" s="29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7.75" customHeight="1">
      <c r="A155" s="29"/>
      <c r="B155" s="29"/>
      <c r="C155" s="29"/>
      <c r="D155" s="29"/>
      <c r="E155" s="29"/>
      <c r="F155" s="30"/>
      <c r="G155" s="122">
        <v>149.0</v>
      </c>
      <c r="H155" s="130"/>
      <c r="I155" s="84"/>
      <c r="J155" s="17"/>
      <c r="K155" s="133"/>
      <c r="L155" s="135"/>
      <c r="M155" s="19"/>
      <c r="N155" s="131"/>
      <c r="O155" s="30"/>
      <c r="P155" s="29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7.75" customHeight="1">
      <c r="A156" s="29"/>
      <c r="B156" s="29"/>
      <c r="C156" s="29"/>
      <c r="D156" s="29"/>
      <c r="E156" s="29"/>
      <c r="F156" s="30"/>
      <c r="G156" s="122">
        <v>150.0</v>
      </c>
      <c r="H156" s="130"/>
      <c r="I156" s="84"/>
      <c r="J156" s="17"/>
      <c r="K156" s="133"/>
      <c r="L156" s="135"/>
      <c r="M156" s="19"/>
      <c r="N156" s="131"/>
      <c r="O156" s="30"/>
      <c r="P156" s="29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7.75" customHeight="1">
      <c r="A157" s="29"/>
      <c r="B157" s="29"/>
      <c r="C157" s="29"/>
      <c r="D157" s="29"/>
      <c r="E157" s="29"/>
      <c r="F157" s="30"/>
      <c r="G157" s="122">
        <v>151.0</v>
      </c>
      <c r="H157" s="130"/>
      <c r="I157" s="84"/>
      <c r="J157" s="17"/>
      <c r="K157" s="133"/>
      <c r="L157" s="135"/>
      <c r="M157" s="19"/>
      <c r="N157" s="131"/>
      <c r="O157" s="30"/>
      <c r="P157" s="29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7.75" customHeight="1">
      <c r="A158" s="29"/>
      <c r="B158" s="29"/>
      <c r="C158" s="29"/>
      <c r="D158" s="29"/>
      <c r="E158" s="29"/>
      <c r="F158" s="30"/>
      <c r="G158" s="122">
        <v>152.0</v>
      </c>
      <c r="H158" s="130"/>
      <c r="I158" s="84"/>
      <c r="J158" s="17"/>
      <c r="K158" s="133"/>
      <c r="L158" s="135"/>
      <c r="M158" s="19"/>
      <c r="N158" s="131"/>
      <c r="O158" s="30"/>
      <c r="P158" s="29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7.75" customHeight="1">
      <c r="A159" s="29"/>
      <c r="B159" s="29"/>
      <c r="C159" s="29"/>
      <c r="D159" s="29"/>
      <c r="E159" s="29"/>
      <c r="F159" s="30"/>
      <c r="G159" s="122">
        <v>153.0</v>
      </c>
      <c r="H159" s="130"/>
      <c r="I159" s="84"/>
      <c r="J159" s="17"/>
      <c r="K159" s="133"/>
      <c r="L159" s="135"/>
      <c r="M159" s="19"/>
      <c r="N159" s="131"/>
      <c r="O159" s="30"/>
      <c r="P159" s="29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7.75" customHeight="1">
      <c r="A160" s="29"/>
      <c r="B160" s="29"/>
      <c r="C160" s="29"/>
      <c r="D160" s="29"/>
      <c r="E160" s="29"/>
      <c r="F160" s="30"/>
      <c r="G160" s="122">
        <v>154.0</v>
      </c>
      <c r="H160" s="130"/>
      <c r="I160" s="84"/>
      <c r="J160" s="17"/>
      <c r="K160" s="133"/>
      <c r="L160" s="135"/>
      <c r="M160" s="19"/>
      <c r="N160" s="131"/>
      <c r="O160" s="30"/>
      <c r="P160" s="29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7.75" customHeight="1">
      <c r="A161" s="29"/>
      <c r="B161" s="29"/>
      <c r="C161" s="29"/>
      <c r="D161" s="29"/>
      <c r="E161" s="29"/>
      <c r="F161" s="30"/>
      <c r="G161" s="122">
        <v>155.0</v>
      </c>
      <c r="H161" s="130"/>
      <c r="I161" s="84"/>
      <c r="J161" s="17"/>
      <c r="K161" s="133"/>
      <c r="L161" s="135"/>
      <c r="M161" s="19"/>
      <c r="N161" s="131"/>
      <c r="O161" s="30"/>
      <c r="P161" s="29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7.75" customHeight="1">
      <c r="A162" s="29"/>
      <c r="B162" s="29"/>
      <c r="C162" s="29"/>
      <c r="D162" s="29"/>
      <c r="E162" s="29"/>
      <c r="F162" s="30"/>
      <c r="G162" s="122">
        <v>156.0</v>
      </c>
      <c r="H162" s="130"/>
      <c r="I162" s="84"/>
      <c r="J162" s="17"/>
      <c r="K162" s="133"/>
      <c r="L162" s="135"/>
      <c r="M162" s="19"/>
      <c r="N162" s="131"/>
      <c r="O162" s="30"/>
      <c r="P162" s="29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7.75" customHeight="1">
      <c r="A163" s="29"/>
      <c r="B163" s="29"/>
      <c r="C163" s="29"/>
      <c r="D163" s="29"/>
      <c r="E163" s="29"/>
      <c r="F163" s="30"/>
      <c r="G163" s="122">
        <v>157.0</v>
      </c>
      <c r="H163" s="130"/>
      <c r="I163" s="84"/>
      <c r="J163" s="17"/>
      <c r="K163" s="133"/>
      <c r="L163" s="135"/>
      <c r="M163" s="19"/>
      <c r="N163" s="131"/>
      <c r="O163" s="30"/>
      <c r="P163" s="29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7.75" customHeight="1">
      <c r="A164" s="29"/>
      <c r="B164" s="29"/>
      <c r="C164" s="29"/>
      <c r="D164" s="29"/>
      <c r="E164" s="29"/>
      <c r="F164" s="30"/>
      <c r="G164" s="122">
        <v>158.0</v>
      </c>
      <c r="H164" s="130"/>
      <c r="I164" s="84"/>
      <c r="J164" s="17"/>
      <c r="K164" s="133"/>
      <c r="L164" s="135"/>
      <c r="M164" s="19"/>
      <c r="N164" s="131"/>
      <c r="O164" s="30"/>
      <c r="P164" s="29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7.75" customHeight="1">
      <c r="A165" s="29"/>
      <c r="B165" s="29"/>
      <c r="C165" s="29"/>
      <c r="D165" s="29"/>
      <c r="E165" s="29"/>
      <c r="F165" s="30"/>
      <c r="G165" s="122">
        <v>159.0</v>
      </c>
      <c r="H165" s="130"/>
      <c r="I165" s="84"/>
      <c r="J165" s="17"/>
      <c r="K165" s="133"/>
      <c r="L165" s="135"/>
      <c r="M165" s="19"/>
      <c r="N165" s="131"/>
      <c r="O165" s="30"/>
      <c r="P165" s="29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7.75" customHeight="1">
      <c r="A166" s="29"/>
      <c r="B166" s="29"/>
      <c r="C166" s="29"/>
      <c r="D166" s="29"/>
      <c r="E166" s="29"/>
      <c r="F166" s="30"/>
      <c r="G166" s="122">
        <v>160.0</v>
      </c>
      <c r="H166" s="130"/>
      <c r="I166" s="84"/>
      <c r="J166" s="17"/>
      <c r="K166" s="133"/>
      <c r="L166" s="135"/>
      <c r="M166" s="19"/>
      <c r="N166" s="131"/>
      <c r="O166" s="30"/>
      <c r="P166" s="29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75" customHeight="1">
      <c r="A167" s="29"/>
      <c r="B167" s="29"/>
      <c r="C167" s="29"/>
      <c r="D167" s="29"/>
      <c r="E167" s="29"/>
      <c r="F167" s="30"/>
      <c r="G167" s="122">
        <v>161.0</v>
      </c>
      <c r="H167" s="130"/>
      <c r="I167" s="84"/>
      <c r="J167" s="17"/>
      <c r="K167" s="133"/>
      <c r="L167" s="135"/>
      <c r="M167" s="19"/>
      <c r="N167" s="131"/>
      <c r="O167" s="30"/>
      <c r="P167" s="29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7.75" customHeight="1">
      <c r="A168" s="29"/>
      <c r="B168" s="29"/>
      <c r="C168" s="29"/>
      <c r="D168" s="29"/>
      <c r="E168" s="29"/>
      <c r="F168" s="30"/>
      <c r="G168" s="122">
        <v>162.0</v>
      </c>
      <c r="H168" s="130"/>
      <c r="I168" s="84"/>
      <c r="J168" s="17"/>
      <c r="K168" s="133"/>
      <c r="L168" s="135"/>
      <c r="M168" s="19"/>
      <c r="N168" s="131"/>
      <c r="O168" s="30"/>
      <c r="P168" s="29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7.75" customHeight="1">
      <c r="A169" s="29"/>
      <c r="B169" s="29"/>
      <c r="C169" s="29"/>
      <c r="D169" s="29"/>
      <c r="E169" s="29"/>
      <c r="F169" s="30"/>
      <c r="G169" s="122">
        <v>163.0</v>
      </c>
      <c r="H169" s="130"/>
      <c r="I169" s="84"/>
      <c r="J169" s="17"/>
      <c r="K169" s="133"/>
      <c r="L169" s="135"/>
      <c r="M169" s="19"/>
      <c r="N169" s="131"/>
      <c r="O169" s="30"/>
      <c r="P169" s="29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7.75" customHeight="1">
      <c r="A170" s="29"/>
      <c r="B170" s="29"/>
      <c r="C170" s="29"/>
      <c r="D170" s="29"/>
      <c r="E170" s="29"/>
      <c r="F170" s="30"/>
      <c r="G170" s="122">
        <v>164.0</v>
      </c>
      <c r="H170" s="130"/>
      <c r="I170" s="84"/>
      <c r="J170" s="17"/>
      <c r="K170" s="133"/>
      <c r="L170" s="135"/>
      <c r="M170" s="19"/>
      <c r="N170" s="131"/>
      <c r="O170" s="30"/>
      <c r="P170" s="29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7.75" customHeight="1">
      <c r="A171" s="29"/>
      <c r="B171" s="29"/>
      <c r="C171" s="29"/>
      <c r="D171" s="29"/>
      <c r="E171" s="29"/>
      <c r="F171" s="30"/>
      <c r="G171" s="122">
        <v>165.0</v>
      </c>
      <c r="H171" s="130"/>
      <c r="I171" s="84"/>
      <c r="J171" s="17"/>
      <c r="K171" s="133"/>
      <c r="L171" s="135"/>
      <c r="M171" s="19"/>
      <c r="N171" s="131"/>
      <c r="O171" s="30"/>
      <c r="P171" s="29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7.75" customHeight="1">
      <c r="A172" s="29"/>
      <c r="B172" s="29"/>
      <c r="C172" s="29"/>
      <c r="D172" s="29"/>
      <c r="E172" s="29"/>
      <c r="F172" s="30"/>
      <c r="G172" s="122">
        <v>166.0</v>
      </c>
      <c r="H172" s="130"/>
      <c r="I172" s="84"/>
      <c r="J172" s="17"/>
      <c r="K172" s="133"/>
      <c r="L172" s="135"/>
      <c r="M172" s="19"/>
      <c r="N172" s="131"/>
      <c r="O172" s="30"/>
      <c r="P172" s="29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7.75" customHeight="1">
      <c r="A173" s="29"/>
      <c r="B173" s="29"/>
      <c r="C173" s="29"/>
      <c r="D173" s="29"/>
      <c r="E173" s="29"/>
      <c r="F173" s="30"/>
      <c r="G173" s="122">
        <v>167.0</v>
      </c>
      <c r="H173" s="130"/>
      <c r="I173" s="84"/>
      <c r="J173" s="17"/>
      <c r="K173" s="133"/>
      <c r="L173" s="135"/>
      <c r="M173" s="19"/>
      <c r="N173" s="131"/>
      <c r="O173" s="30"/>
      <c r="P173" s="29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75" customHeight="1">
      <c r="A174" s="29"/>
      <c r="B174" s="29"/>
      <c r="C174" s="29"/>
      <c r="D174" s="29"/>
      <c r="E174" s="29"/>
      <c r="F174" s="30"/>
      <c r="G174" s="122">
        <v>168.0</v>
      </c>
      <c r="H174" s="130"/>
      <c r="I174" s="84"/>
      <c r="J174" s="17"/>
      <c r="K174" s="133"/>
      <c r="L174" s="135"/>
      <c r="M174" s="19"/>
      <c r="N174" s="131"/>
      <c r="O174" s="30"/>
      <c r="P174" s="29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7.75" customHeight="1">
      <c r="A175" s="29"/>
      <c r="B175" s="29"/>
      <c r="C175" s="29"/>
      <c r="D175" s="29"/>
      <c r="E175" s="29"/>
      <c r="F175" s="30"/>
      <c r="G175" s="122">
        <v>169.0</v>
      </c>
      <c r="H175" s="130"/>
      <c r="I175" s="84"/>
      <c r="J175" s="17"/>
      <c r="K175" s="133"/>
      <c r="L175" s="135"/>
      <c r="M175" s="19"/>
      <c r="N175" s="131"/>
      <c r="O175" s="30"/>
      <c r="P175" s="29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7.75" customHeight="1">
      <c r="A176" s="29"/>
      <c r="B176" s="29"/>
      <c r="C176" s="29"/>
      <c r="D176" s="29"/>
      <c r="E176" s="29"/>
      <c r="F176" s="30"/>
      <c r="G176" s="122">
        <v>170.0</v>
      </c>
      <c r="H176" s="130"/>
      <c r="I176" s="84"/>
      <c r="J176" s="17"/>
      <c r="K176" s="133"/>
      <c r="L176" s="135"/>
      <c r="M176" s="19"/>
      <c r="N176" s="131"/>
      <c r="O176" s="30"/>
      <c r="P176" s="29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7.75" customHeight="1">
      <c r="A177" s="29"/>
      <c r="B177" s="29"/>
      <c r="C177" s="29"/>
      <c r="D177" s="29"/>
      <c r="E177" s="29"/>
      <c r="F177" s="30"/>
      <c r="G177" s="122">
        <v>171.0</v>
      </c>
      <c r="H177" s="130"/>
      <c r="I177" s="84"/>
      <c r="J177" s="17"/>
      <c r="K177" s="133"/>
      <c r="L177" s="135"/>
      <c r="M177" s="19"/>
      <c r="N177" s="131"/>
      <c r="O177" s="30"/>
      <c r="P177" s="29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7.75" customHeight="1">
      <c r="A178" s="29"/>
      <c r="B178" s="29"/>
      <c r="C178" s="29"/>
      <c r="D178" s="29"/>
      <c r="E178" s="29"/>
      <c r="F178" s="30"/>
      <c r="G178" s="122">
        <v>172.0</v>
      </c>
      <c r="H178" s="130"/>
      <c r="I178" s="84"/>
      <c r="J178" s="17"/>
      <c r="K178" s="133"/>
      <c r="L178" s="135"/>
      <c r="M178" s="19"/>
      <c r="N178" s="131"/>
      <c r="O178" s="30"/>
      <c r="P178" s="29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7.75" customHeight="1">
      <c r="A179" s="29"/>
      <c r="B179" s="29"/>
      <c r="C179" s="29"/>
      <c r="D179" s="29"/>
      <c r="E179" s="29"/>
      <c r="F179" s="30"/>
      <c r="G179" s="122">
        <v>173.0</v>
      </c>
      <c r="H179" s="130"/>
      <c r="I179" s="84"/>
      <c r="J179" s="17"/>
      <c r="K179" s="133"/>
      <c r="L179" s="135"/>
      <c r="M179" s="19"/>
      <c r="N179" s="131"/>
      <c r="O179" s="30"/>
      <c r="P179" s="29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7.75" customHeight="1">
      <c r="A180" s="29"/>
      <c r="B180" s="29"/>
      <c r="C180" s="29"/>
      <c r="D180" s="29"/>
      <c r="E180" s="29"/>
      <c r="F180" s="30"/>
      <c r="G180" s="122">
        <v>174.0</v>
      </c>
      <c r="H180" s="130"/>
      <c r="I180" s="84"/>
      <c r="J180" s="17"/>
      <c r="K180" s="133"/>
      <c r="L180" s="135"/>
      <c r="M180" s="19"/>
      <c r="N180" s="131"/>
      <c r="O180" s="30"/>
      <c r="P180" s="29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75" customHeight="1">
      <c r="A181" s="29"/>
      <c r="B181" s="29"/>
      <c r="C181" s="29"/>
      <c r="D181" s="29"/>
      <c r="E181" s="29"/>
      <c r="F181" s="30"/>
      <c r="G181" s="122">
        <v>175.0</v>
      </c>
      <c r="H181" s="130"/>
      <c r="I181" s="84"/>
      <c r="J181" s="17"/>
      <c r="K181" s="133"/>
      <c r="L181" s="135"/>
      <c r="M181" s="19"/>
      <c r="N181" s="131"/>
      <c r="O181" s="30"/>
      <c r="P181" s="29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7.75" customHeight="1">
      <c r="A182" s="29"/>
      <c r="B182" s="29"/>
      <c r="C182" s="29"/>
      <c r="D182" s="29"/>
      <c r="E182" s="29"/>
      <c r="F182" s="30"/>
      <c r="G182" s="122">
        <v>176.0</v>
      </c>
      <c r="H182" s="130"/>
      <c r="I182" s="84"/>
      <c r="J182" s="17"/>
      <c r="K182" s="133"/>
      <c r="L182" s="135"/>
      <c r="M182" s="19"/>
      <c r="N182" s="131"/>
      <c r="O182" s="30"/>
      <c r="P182" s="29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7.75" customHeight="1">
      <c r="A183" s="29"/>
      <c r="B183" s="29"/>
      <c r="C183" s="29"/>
      <c r="D183" s="29"/>
      <c r="E183" s="29"/>
      <c r="F183" s="30"/>
      <c r="G183" s="122">
        <v>177.0</v>
      </c>
      <c r="H183" s="130"/>
      <c r="I183" s="84"/>
      <c r="J183" s="17"/>
      <c r="K183" s="133"/>
      <c r="L183" s="135"/>
      <c r="M183" s="19"/>
      <c r="N183" s="131"/>
      <c r="O183" s="30"/>
      <c r="P183" s="29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7.75" customHeight="1">
      <c r="A184" s="29"/>
      <c r="B184" s="29"/>
      <c r="C184" s="29"/>
      <c r="D184" s="29"/>
      <c r="E184" s="29"/>
      <c r="F184" s="30"/>
      <c r="G184" s="122">
        <v>178.0</v>
      </c>
      <c r="H184" s="130"/>
      <c r="I184" s="84"/>
      <c r="J184" s="17"/>
      <c r="K184" s="133"/>
      <c r="L184" s="135"/>
      <c r="M184" s="19"/>
      <c r="N184" s="131"/>
      <c r="O184" s="30"/>
      <c r="P184" s="29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7.75" customHeight="1">
      <c r="A185" s="29"/>
      <c r="B185" s="29"/>
      <c r="C185" s="29"/>
      <c r="D185" s="29"/>
      <c r="E185" s="29"/>
      <c r="F185" s="30"/>
      <c r="G185" s="122">
        <v>179.0</v>
      </c>
      <c r="H185" s="130"/>
      <c r="I185" s="84"/>
      <c r="J185" s="17"/>
      <c r="K185" s="133"/>
      <c r="L185" s="135"/>
      <c r="M185" s="19"/>
      <c r="N185" s="131"/>
      <c r="O185" s="30"/>
      <c r="P185" s="29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7.75" customHeight="1">
      <c r="A186" s="29"/>
      <c r="B186" s="29"/>
      <c r="C186" s="29"/>
      <c r="D186" s="29"/>
      <c r="E186" s="29"/>
      <c r="F186" s="30"/>
      <c r="G186" s="122">
        <v>180.0</v>
      </c>
      <c r="H186" s="130"/>
      <c r="I186" s="84"/>
      <c r="J186" s="17"/>
      <c r="K186" s="133"/>
      <c r="L186" s="135"/>
      <c r="M186" s="19"/>
      <c r="N186" s="131"/>
      <c r="O186" s="30"/>
      <c r="P186" s="29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7.75" customHeight="1">
      <c r="A187" s="29"/>
      <c r="B187" s="29"/>
      <c r="C187" s="29"/>
      <c r="D187" s="29"/>
      <c r="E187" s="29"/>
      <c r="F187" s="30"/>
      <c r="G187" s="122">
        <v>181.0</v>
      </c>
      <c r="H187" s="130"/>
      <c r="I187" s="84"/>
      <c r="J187" s="17"/>
      <c r="K187" s="133"/>
      <c r="L187" s="135"/>
      <c r="M187" s="19"/>
      <c r="N187" s="131"/>
      <c r="O187" s="30"/>
      <c r="P187" s="29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75" customHeight="1">
      <c r="A188" s="29"/>
      <c r="B188" s="29"/>
      <c r="C188" s="29"/>
      <c r="D188" s="29"/>
      <c r="E188" s="29"/>
      <c r="F188" s="30"/>
      <c r="G188" s="122">
        <v>182.0</v>
      </c>
      <c r="H188" s="130"/>
      <c r="I188" s="84"/>
      <c r="J188" s="17"/>
      <c r="K188" s="133"/>
      <c r="L188" s="135"/>
      <c r="M188" s="19"/>
      <c r="N188" s="131"/>
      <c r="O188" s="30"/>
      <c r="P188" s="29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7.75" customHeight="1">
      <c r="A189" s="29"/>
      <c r="B189" s="29"/>
      <c r="C189" s="29"/>
      <c r="D189" s="29"/>
      <c r="E189" s="29"/>
      <c r="F189" s="30"/>
      <c r="G189" s="122">
        <v>183.0</v>
      </c>
      <c r="H189" s="130"/>
      <c r="I189" s="84"/>
      <c r="J189" s="17"/>
      <c r="K189" s="133"/>
      <c r="L189" s="135"/>
      <c r="M189" s="19"/>
      <c r="N189" s="131"/>
      <c r="O189" s="30"/>
      <c r="P189" s="29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7.75" customHeight="1">
      <c r="A190" s="29"/>
      <c r="B190" s="29"/>
      <c r="C190" s="29"/>
      <c r="D190" s="29"/>
      <c r="E190" s="29"/>
      <c r="F190" s="30"/>
      <c r="G190" s="122">
        <v>184.0</v>
      </c>
      <c r="H190" s="130"/>
      <c r="I190" s="84"/>
      <c r="J190" s="17"/>
      <c r="K190" s="133"/>
      <c r="L190" s="135"/>
      <c r="M190" s="19"/>
      <c r="N190" s="131"/>
      <c r="O190" s="30"/>
      <c r="P190" s="29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7.75" customHeight="1">
      <c r="A191" s="29"/>
      <c r="B191" s="29"/>
      <c r="C191" s="29"/>
      <c r="D191" s="29"/>
      <c r="E191" s="29"/>
      <c r="F191" s="30"/>
      <c r="G191" s="122">
        <v>185.0</v>
      </c>
      <c r="H191" s="130"/>
      <c r="I191" s="84"/>
      <c r="J191" s="17"/>
      <c r="K191" s="133"/>
      <c r="L191" s="135"/>
      <c r="M191" s="19"/>
      <c r="N191" s="131"/>
      <c r="O191" s="30"/>
      <c r="P191" s="29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7.75" customHeight="1">
      <c r="A192" s="29"/>
      <c r="B192" s="29"/>
      <c r="C192" s="29"/>
      <c r="D192" s="29"/>
      <c r="E192" s="29"/>
      <c r="F192" s="30"/>
      <c r="G192" s="122">
        <v>186.0</v>
      </c>
      <c r="H192" s="130"/>
      <c r="I192" s="84"/>
      <c r="J192" s="17"/>
      <c r="K192" s="133"/>
      <c r="L192" s="135"/>
      <c r="M192" s="19"/>
      <c r="N192" s="131"/>
      <c r="O192" s="30"/>
      <c r="P192" s="29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7.75" customHeight="1">
      <c r="A193" s="29"/>
      <c r="B193" s="29"/>
      <c r="C193" s="29"/>
      <c r="D193" s="29"/>
      <c r="E193" s="29"/>
      <c r="F193" s="30"/>
      <c r="G193" s="122">
        <v>187.0</v>
      </c>
      <c r="H193" s="130"/>
      <c r="I193" s="84"/>
      <c r="J193" s="17"/>
      <c r="K193" s="133"/>
      <c r="L193" s="135"/>
      <c r="M193" s="19"/>
      <c r="N193" s="131"/>
      <c r="O193" s="30"/>
      <c r="P193" s="29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7.75" customHeight="1">
      <c r="A194" s="29"/>
      <c r="B194" s="29"/>
      <c r="C194" s="29"/>
      <c r="D194" s="29"/>
      <c r="E194" s="29"/>
      <c r="F194" s="30"/>
      <c r="G194" s="122">
        <v>188.0</v>
      </c>
      <c r="H194" s="130"/>
      <c r="I194" s="84"/>
      <c r="J194" s="17"/>
      <c r="K194" s="133"/>
      <c r="L194" s="135"/>
      <c r="M194" s="19"/>
      <c r="N194" s="131"/>
      <c r="O194" s="30"/>
      <c r="P194" s="29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7.75" customHeight="1">
      <c r="A195" s="29"/>
      <c r="B195" s="29"/>
      <c r="C195" s="29"/>
      <c r="D195" s="29"/>
      <c r="E195" s="29"/>
      <c r="F195" s="30"/>
      <c r="G195" s="122">
        <v>189.0</v>
      </c>
      <c r="H195" s="130"/>
      <c r="I195" s="84"/>
      <c r="J195" s="17"/>
      <c r="K195" s="133"/>
      <c r="L195" s="135"/>
      <c r="M195" s="19"/>
      <c r="N195" s="131"/>
      <c r="O195" s="30"/>
      <c r="P195" s="29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7.75" customHeight="1">
      <c r="A196" s="29"/>
      <c r="B196" s="29"/>
      <c r="C196" s="29"/>
      <c r="D196" s="29"/>
      <c r="E196" s="29"/>
      <c r="F196" s="30"/>
      <c r="G196" s="122">
        <v>190.0</v>
      </c>
      <c r="H196" s="130"/>
      <c r="I196" s="84"/>
      <c r="J196" s="17"/>
      <c r="K196" s="133"/>
      <c r="L196" s="135"/>
      <c r="M196" s="19"/>
      <c r="N196" s="131"/>
      <c r="O196" s="30"/>
      <c r="P196" s="29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7.75" customHeight="1">
      <c r="A197" s="29"/>
      <c r="B197" s="29"/>
      <c r="C197" s="29"/>
      <c r="D197" s="29"/>
      <c r="E197" s="29"/>
      <c r="F197" s="30"/>
      <c r="G197" s="122">
        <v>191.0</v>
      </c>
      <c r="H197" s="130"/>
      <c r="I197" s="84"/>
      <c r="J197" s="17"/>
      <c r="K197" s="133"/>
      <c r="L197" s="135"/>
      <c r="M197" s="19"/>
      <c r="N197" s="131"/>
      <c r="O197" s="30"/>
      <c r="P197" s="29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7.75" customHeight="1">
      <c r="A198" s="29"/>
      <c r="B198" s="29"/>
      <c r="C198" s="29"/>
      <c r="D198" s="29"/>
      <c r="E198" s="29"/>
      <c r="F198" s="30"/>
      <c r="G198" s="122">
        <v>192.0</v>
      </c>
      <c r="H198" s="130"/>
      <c r="I198" s="84"/>
      <c r="J198" s="17"/>
      <c r="K198" s="133"/>
      <c r="L198" s="135"/>
      <c r="M198" s="19"/>
      <c r="N198" s="131"/>
      <c r="O198" s="30"/>
      <c r="P198" s="29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7.75" customHeight="1">
      <c r="A199" s="29"/>
      <c r="B199" s="29"/>
      <c r="C199" s="29"/>
      <c r="D199" s="29"/>
      <c r="E199" s="29"/>
      <c r="F199" s="30"/>
      <c r="G199" s="122">
        <v>193.0</v>
      </c>
      <c r="H199" s="130"/>
      <c r="I199" s="84"/>
      <c r="J199" s="17"/>
      <c r="K199" s="133"/>
      <c r="L199" s="135"/>
      <c r="M199" s="19"/>
      <c r="N199" s="131"/>
      <c r="O199" s="30"/>
      <c r="P199" s="29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7.75" customHeight="1">
      <c r="A200" s="29"/>
      <c r="B200" s="29"/>
      <c r="C200" s="29"/>
      <c r="D200" s="29"/>
      <c r="E200" s="29"/>
      <c r="F200" s="30"/>
      <c r="G200" s="122">
        <v>194.0</v>
      </c>
      <c r="H200" s="130"/>
      <c r="I200" s="84"/>
      <c r="J200" s="17"/>
      <c r="K200" s="133"/>
      <c r="L200" s="135"/>
      <c r="M200" s="19"/>
      <c r="N200" s="131"/>
      <c r="O200" s="30"/>
      <c r="P200" s="29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7.75" customHeight="1">
      <c r="A201" s="29"/>
      <c r="B201" s="29"/>
      <c r="C201" s="29"/>
      <c r="D201" s="29"/>
      <c r="E201" s="29"/>
      <c r="F201" s="30"/>
      <c r="G201" s="122">
        <v>195.0</v>
      </c>
      <c r="H201" s="130"/>
      <c r="I201" s="84"/>
      <c r="J201" s="17"/>
      <c r="K201" s="133"/>
      <c r="L201" s="135"/>
      <c r="M201" s="19"/>
      <c r="N201" s="131"/>
      <c r="O201" s="30"/>
      <c r="P201" s="29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75" customHeight="1">
      <c r="A202" s="29"/>
      <c r="B202" s="29"/>
      <c r="C202" s="29"/>
      <c r="D202" s="29"/>
      <c r="E202" s="29"/>
      <c r="F202" s="30"/>
      <c r="G202" s="122">
        <v>196.0</v>
      </c>
      <c r="H202" s="130"/>
      <c r="I202" s="84"/>
      <c r="J202" s="17"/>
      <c r="K202" s="133"/>
      <c r="L202" s="135"/>
      <c r="M202" s="19"/>
      <c r="N202" s="131"/>
      <c r="O202" s="30"/>
      <c r="P202" s="29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7.75" customHeight="1">
      <c r="A203" s="29"/>
      <c r="B203" s="29"/>
      <c r="C203" s="29"/>
      <c r="D203" s="29"/>
      <c r="E203" s="29"/>
      <c r="F203" s="30"/>
      <c r="G203" s="122">
        <v>197.0</v>
      </c>
      <c r="H203" s="130"/>
      <c r="I203" s="84"/>
      <c r="J203" s="17"/>
      <c r="K203" s="133"/>
      <c r="L203" s="135"/>
      <c r="M203" s="19"/>
      <c r="N203" s="131"/>
      <c r="O203" s="30"/>
      <c r="P203" s="29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7.75" customHeight="1">
      <c r="A204" s="29"/>
      <c r="B204" s="29"/>
      <c r="C204" s="29"/>
      <c r="D204" s="29"/>
      <c r="E204" s="29"/>
      <c r="F204" s="30"/>
      <c r="G204" s="122">
        <v>198.0</v>
      </c>
      <c r="H204" s="130"/>
      <c r="I204" s="84"/>
      <c r="J204" s="17"/>
      <c r="K204" s="133"/>
      <c r="L204" s="135"/>
      <c r="M204" s="19"/>
      <c r="N204" s="131"/>
      <c r="O204" s="30"/>
      <c r="P204" s="29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7.75" customHeight="1">
      <c r="A205" s="29"/>
      <c r="B205" s="29"/>
      <c r="C205" s="29"/>
      <c r="D205" s="29"/>
      <c r="E205" s="29"/>
      <c r="F205" s="30"/>
      <c r="G205" s="122">
        <v>199.0</v>
      </c>
      <c r="H205" s="130"/>
      <c r="I205" s="84"/>
      <c r="J205" s="17"/>
      <c r="K205" s="133"/>
      <c r="L205" s="135"/>
      <c r="M205" s="19"/>
      <c r="N205" s="131"/>
      <c r="O205" s="30"/>
      <c r="P205" s="29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7.75" customHeight="1">
      <c r="A206" s="29"/>
      <c r="B206" s="29"/>
      <c r="C206" s="29"/>
      <c r="D206" s="29"/>
      <c r="E206" s="29"/>
      <c r="F206" s="30"/>
      <c r="G206" s="122">
        <v>200.0</v>
      </c>
      <c r="H206" s="130"/>
      <c r="I206" s="84"/>
      <c r="J206" s="17"/>
      <c r="K206" s="133"/>
      <c r="L206" s="135"/>
      <c r="M206" s="19"/>
      <c r="N206" s="131"/>
      <c r="O206" s="30"/>
      <c r="P206" s="29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7.75" customHeight="1">
      <c r="A207" s="29"/>
      <c r="B207" s="29"/>
      <c r="C207" s="29"/>
      <c r="D207" s="29"/>
      <c r="E207" s="29"/>
      <c r="F207" s="30"/>
      <c r="G207" s="122">
        <v>201.0</v>
      </c>
      <c r="H207" s="130"/>
      <c r="I207" s="84"/>
      <c r="J207" s="17"/>
      <c r="K207" s="133"/>
      <c r="L207" s="135"/>
      <c r="M207" s="19"/>
      <c r="N207" s="131"/>
      <c r="O207" s="30"/>
      <c r="P207" s="29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7.75" customHeight="1">
      <c r="A208" s="29"/>
      <c r="B208" s="29"/>
      <c r="C208" s="29"/>
      <c r="D208" s="29"/>
      <c r="E208" s="29"/>
      <c r="F208" s="30"/>
      <c r="G208" s="122">
        <v>202.0</v>
      </c>
      <c r="H208" s="130"/>
      <c r="I208" s="84"/>
      <c r="J208" s="17"/>
      <c r="K208" s="133"/>
      <c r="L208" s="135"/>
      <c r="M208" s="19"/>
      <c r="N208" s="131"/>
      <c r="O208" s="30"/>
      <c r="P208" s="29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75" customHeight="1">
      <c r="A209" s="29"/>
      <c r="B209" s="29"/>
      <c r="C209" s="29"/>
      <c r="D209" s="29"/>
      <c r="E209" s="29"/>
      <c r="F209" s="30"/>
      <c r="G209" s="122">
        <v>203.0</v>
      </c>
      <c r="H209" s="130"/>
      <c r="I209" s="84"/>
      <c r="J209" s="17"/>
      <c r="K209" s="133"/>
      <c r="L209" s="135"/>
      <c r="M209" s="19"/>
      <c r="N209" s="131"/>
      <c r="O209" s="30"/>
      <c r="P209" s="29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7.75" customHeight="1">
      <c r="A210" s="29"/>
      <c r="B210" s="29"/>
      <c r="C210" s="29"/>
      <c r="D210" s="29"/>
      <c r="E210" s="29"/>
      <c r="F210" s="30"/>
      <c r="G210" s="122">
        <v>204.0</v>
      </c>
      <c r="H210" s="130"/>
      <c r="I210" s="84"/>
      <c r="J210" s="17"/>
      <c r="K210" s="133"/>
      <c r="L210" s="135"/>
      <c r="M210" s="19"/>
      <c r="N210" s="131"/>
      <c r="O210" s="30"/>
      <c r="P210" s="29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7.75" customHeight="1">
      <c r="A211" s="29"/>
      <c r="B211" s="29"/>
      <c r="C211" s="29"/>
      <c r="D211" s="29"/>
      <c r="E211" s="29"/>
      <c r="F211" s="30"/>
      <c r="G211" s="122">
        <v>205.0</v>
      </c>
      <c r="H211" s="130"/>
      <c r="I211" s="84"/>
      <c r="J211" s="17"/>
      <c r="K211" s="133"/>
      <c r="L211" s="135"/>
      <c r="M211" s="19"/>
      <c r="N211" s="131"/>
      <c r="O211" s="30"/>
      <c r="P211" s="29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7.75" customHeight="1">
      <c r="A212" s="29"/>
      <c r="B212" s="29"/>
      <c r="C212" s="29"/>
      <c r="D212" s="29"/>
      <c r="E212" s="29"/>
      <c r="F212" s="30"/>
      <c r="G212" s="122">
        <v>206.0</v>
      </c>
      <c r="H212" s="130"/>
      <c r="I212" s="84"/>
      <c r="J212" s="17"/>
      <c r="K212" s="133"/>
      <c r="L212" s="135"/>
      <c r="M212" s="19"/>
      <c r="N212" s="131"/>
      <c r="O212" s="30"/>
      <c r="P212" s="29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7.75" customHeight="1">
      <c r="A213" s="29"/>
      <c r="B213" s="29"/>
      <c r="C213" s="29"/>
      <c r="D213" s="29"/>
      <c r="E213" s="29"/>
      <c r="F213" s="30"/>
      <c r="G213" s="122">
        <v>207.0</v>
      </c>
      <c r="H213" s="130"/>
      <c r="I213" s="84"/>
      <c r="J213" s="17"/>
      <c r="K213" s="133"/>
      <c r="L213" s="135"/>
      <c r="M213" s="19"/>
      <c r="N213" s="131"/>
      <c r="O213" s="30"/>
      <c r="P213" s="29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7.75" customHeight="1">
      <c r="A214" s="29"/>
      <c r="B214" s="29"/>
      <c r="C214" s="29"/>
      <c r="D214" s="29"/>
      <c r="E214" s="29"/>
      <c r="F214" s="30"/>
      <c r="G214" s="122">
        <v>208.0</v>
      </c>
      <c r="H214" s="130"/>
      <c r="I214" s="84"/>
      <c r="J214" s="17"/>
      <c r="K214" s="133"/>
      <c r="L214" s="135"/>
      <c r="M214" s="19"/>
      <c r="N214" s="131"/>
      <c r="O214" s="30"/>
      <c r="P214" s="29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7.75" customHeight="1">
      <c r="A215" s="29"/>
      <c r="B215" s="29"/>
      <c r="C215" s="29"/>
      <c r="D215" s="29"/>
      <c r="E215" s="29"/>
      <c r="F215" s="30"/>
      <c r="G215" s="122">
        <v>209.0</v>
      </c>
      <c r="H215" s="130"/>
      <c r="I215" s="84"/>
      <c r="J215" s="17"/>
      <c r="K215" s="133"/>
      <c r="L215" s="135"/>
      <c r="M215" s="19"/>
      <c r="N215" s="131"/>
      <c r="O215" s="30"/>
      <c r="P215" s="29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7.75" customHeight="1">
      <c r="A216" s="29"/>
      <c r="B216" s="29"/>
      <c r="C216" s="29"/>
      <c r="D216" s="29"/>
      <c r="E216" s="29"/>
      <c r="F216" s="30"/>
      <c r="G216" s="122">
        <v>210.0</v>
      </c>
      <c r="H216" s="130"/>
      <c r="I216" s="84"/>
      <c r="J216" s="17"/>
      <c r="K216" s="133"/>
      <c r="L216" s="135"/>
      <c r="M216" s="19"/>
      <c r="N216" s="131"/>
      <c r="O216" s="30"/>
      <c r="P216" s="29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7.75" customHeight="1">
      <c r="A217" s="29"/>
      <c r="B217" s="29"/>
      <c r="C217" s="29"/>
      <c r="D217" s="29"/>
      <c r="E217" s="29"/>
      <c r="F217" s="30"/>
      <c r="G217" s="122">
        <v>211.0</v>
      </c>
      <c r="H217" s="130"/>
      <c r="I217" s="84"/>
      <c r="J217" s="17"/>
      <c r="K217" s="133"/>
      <c r="L217" s="135"/>
      <c r="M217" s="19"/>
      <c r="N217" s="131"/>
      <c r="O217" s="30"/>
      <c r="P217" s="29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7.75" customHeight="1">
      <c r="A218" s="29"/>
      <c r="B218" s="29"/>
      <c r="C218" s="29"/>
      <c r="D218" s="29"/>
      <c r="E218" s="29"/>
      <c r="F218" s="30"/>
      <c r="G218" s="122">
        <v>212.0</v>
      </c>
      <c r="H218" s="130"/>
      <c r="I218" s="84"/>
      <c r="J218" s="17"/>
      <c r="K218" s="133"/>
      <c r="L218" s="135"/>
      <c r="M218" s="19"/>
      <c r="N218" s="131"/>
      <c r="O218" s="30"/>
      <c r="P218" s="29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7.75" customHeight="1">
      <c r="A219" s="29"/>
      <c r="B219" s="29"/>
      <c r="C219" s="29"/>
      <c r="D219" s="29"/>
      <c r="E219" s="29"/>
      <c r="F219" s="30"/>
      <c r="G219" s="122">
        <v>213.0</v>
      </c>
      <c r="H219" s="130"/>
      <c r="I219" s="84"/>
      <c r="J219" s="17"/>
      <c r="K219" s="133"/>
      <c r="L219" s="135"/>
      <c r="M219" s="19"/>
      <c r="N219" s="131"/>
      <c r="O219" s="30"/>
      <c r="P219" s="29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7.75" customHeight="1">
      <c r="A220" s="29"/>
      <c r="B220" s="29"/>
      <c r="C220" s="29"/>
      <c r="D220" s="29"/>
      <c r="E220" s="29"/>
      <c r="F220" s="30"/>
      <c r="G220" s="122">
        <v>214.0</v>
      </c>
      <c r="H220" s="130"/>
      <c r="I220" s="84"/>
      <c r="J220" s="17"/>
      <c r="K220" s="133"/>
      <c r="L220" s="135"/>
      <c r="M220" s="19"/>
      <c r="N220" s="131"/>
      <c r="O220" s="30"/>
      <c r="P220" s="29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7.75" customHeight="1">
      <c r="A221" s="29"/>
      <c r="B221" s="29"/>
      <c r="C221" s="29"/>
      <c r="D221" s="29"/>
      <c r="E221" s="29"/>
      <c r="F221" s="30"/>
      <c r="G221" s="122">
        <v>215.0</v>
      </c>
      <c r="H221" s="130"/>
      <c r="I221" s="84"/>
      <c r="J221" s="17"/>
      <c r="K221" s="133"/>
      <c r="L221" s="135"/>
      <c r="M221" s="19"/>
      <c r="N221" s="131"/>
      <c r="O221" s="30"/>
      <c r="P221" s="29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7.75" customHeight="1">
      <c r="A222" s="29"/>
      <c r="B222" s="29"/>
      <c r="C222" s="29"/>
      <c r="D222" s="29"/>
      <c r="E222" s="29"/>
      <c r="F222" s="30"/>
      <c r="G222" s="122">
        <v>216.0</v>
      </c>
      <c r="H222" s="130"/>
      <c r="I222" s="84"/>
      <c r="J222" s="17"/>
      <c r="K222" s="133"/>
      <c r="L222" s="135"/>
      <c r="M222" s="19"/>
      <c r="N222" s="131"/>
      <c r="O222" s="30"/>
      <c r="P222" s="29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7.75" customHeight="1">
      <c r="A223" s="29"/>
      <c r="B223" s="29"/>
      <c r="C223" s="29"/>
      <c r="D223" s="29"/>
      <c r="E223" s="29"/>
      <c r="F223" s="30"/>
      <c r="G223" s="122">
        <v>217.0</v>
      </c>
      <c r="H223" s="130"/>
      <c r="I223" s="84"/>
      <c r="J223" s="17"/>
      <c r="K223" s="133"/>
      <c r="L223" s="135"/>
      <c r="M223" s="19"/>
      <c r="N223" s="131"/>
      <c r="O223" s="30"/>
      <c r="P223" s="29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7.75" customHeight="1">
      <c r="A224" s="29"/>
      <c r="B224" s="29"/>
      <c r="C224" s="29"/>
      <c r="D224" s="29"/>
      <c r="E224" s="29"/>
      <c r="F224" s="30"/>
      <c r="G224" s="122">
        <v>218.0</v>
      </c>
      <c r="H224" s="130"/>
      <c r="I224" s="84"/>
      <c r="J224" s="17"/>
      <c r="K224" s="133"/>
      <c r="L224" s="135"/>
      <c r="M224" s="19"/>
      <c r="N224" s="131"/>
      <c r="O224" s="30"/>
      <c r="P224" s="29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7.75" customHeight="1">
      <c r="A225" s="29"/>
      <c r="B225" s="29"/>
      <c r="C225" s="29"/>
      <c r="D225" s="29"/>
      <c r="E225" s="29"/>
      <c r="F225" s="30"/>
      <c r="G225" s="122">
        <v>219.0</v>
      </c>
      <c r="H225" s="130"/>
      <c r="I225" s="84"/>
      <c r="J225" s="17"/>
      <c r="K225" s="133"/>
      <c r="L225" s="135"/>
      <c r="M225" s="19"/>
      <c r="N225" s="131"/>
      <c r="O225" s="30"/>
      <c r="P225" s="29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7.75" customHeight="1">
      <c r="A226" s="29"/>
      <c r="B226" s="29"/>
      <c r="C226" s="29"/>
      <c r="D226" s="29"/>
      <c r="E226" s="29"/>
      <c r="F226" s="30"/>
      <c r="G226" s="122">
        <v>220.0</v>
      </c>
      <c r="H226" s="130"/>
      <c r="I226" s="84"/>
      <c r="J226" s="17"/>
      <c r="K226" s="133"/>
      <c r="L226" s="135"/>
      <c r="M226" s="19"/>
      <c r="N226" s="131"/>
      <c r="O226" s="30"/>
      <c r="P226" s="29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7.75" customHeight="1">
      <c r="A227" s="29"/>
      <c r="B227" s="29"/>
      <c r="C227" s="29"/>
      <c r="D227" s="29"/>
      <c r="E227" s="29"/>
      <c r="F227" s="30"/>
      <c r="G227" s="122">
        <v>221.0</v>
      </c>
      <c r="H227" s="130"/>
      <c r="I227" s="84"/>
      <c r="J227" s="17"/>
      <c r="K227" s="133"/>
      <c r="L227" s="135"/>
      <c r="M227" s="19"/>
      <c r="N227" s="131"/>
      <c r="O227" s="30"/>
      <c r="P227" s="29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7.75" customHeight="1">
      <c r="A228" s="29"/>
      <c r="B228" s="29"/>
      <c r="C228" s="29"/>
      <c r="D228" s="29"/>
      <c r="E228" s="29"/>
      <c r="F228" s="30"/>
      <c r="G228" s="122">
        <v>222.0</v>
      </c>
      <c r="H228" s="130"/>
      <c r="I228" s="84"/>
      <c r="J228" s="17"/>
      <c r="K228" s="133"/>
      <c r="L228" s="135"/>
      <c r="M228" s="19"/>
      <c r="N228" s="131"/>
      <c r="O228" s="30"/>
      <c r="P228" s="29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7.75" customHeight="1">
      <c r="A229" s="29"/>
      <c r="B229" s="29"/>
      <c r="C229" s="29"/>
      <c r="D229" s="29"/>
      <c r="E229" s="29"/>
      <c r="F229" s="30"/>
      <c r="G229" s="122">
        <v>223.0</v>
      </c>
      <c r="H229" s="130"/>
      <c r="I229" s="84"/>
      <c r="J229" s="17"/>
      <c r="K229" s="133"/>
      <c r="L229" s="135"/>
      <c r="M229" s="19"/>
      <c r="N229" s="131"/>
      <c r="O229" s="30"/>
      <c r="P229" s="29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75" customHeight="1">
      <c r="A230" s="29"/>
      <c r="B230" s="29"/>
      <c r="C230" s="29"/>
      <c r="D230" s="29"/>
      <c r="E230" s="29"/>
      <c r="F230" s="30"/>
      <c r="G230" s="122">
        <v>224.0</v>
      </c>
      <c r="H230" s="130"/>
      <c r="I230" s="84"/>
      <c r="J230" s="17"/>
      <c r="K230" s="133"/>
      <c r="L230" s="135"/>
      <c r="M230" s="19"/>
      <c r="N230" s="131"/>
      <c r="O230" s="30"/>
      <c r="P230" s="29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7.75" customHeight="1">
      <c r="A231" s="29"/>
      <c r="B231" s="29"/>
      <c r="C231" s="29"/>
      <c r="D231" s="29"/>
      <c r="E231" s="29"/>
      <c r="F231" s="30"/>
      <c r="G231" s="122">
        <v>225.0</v>
      </c>
      <c r="H231" s="130"/>
      <c r="I231" s="84"/>
      <c r="J231" s="17"/>
      <c r="K231" s="133"/>
      <c r="L231" s="135"/>
      <c r="M231" s="19"/>
      <c r="N231" s="131"/>
      <c r="O231" s="30"/>
      <c r="P231" s="29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7.75" customHeight="1">
      <c r="A232" s="29"/>
      <c r="B232" s="29"/>
      <c r="C232" s="29"/>
      <c r="D232" s="29"/>
      <c r="E232" s="29"/>
      <c r="F232" s="30"/>
      <c r="G232" s="122">
        <v>226.0</v>
      </c>
      <c r="H232" s="130"/>
      <c r="I232" s="84"/>
      <c r="J232" s="17"/>
      <c r="K232" s="133"/>
      <c r="L232" s="135"/>
      <c r="M232" s="19"/>
      <c r="N232" s="131"/>
      <c r="O232" s="30"/>
      <c r="P232" s="29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7.75" customHeight="1">
      <c r="A233" s="29"/>
      <c r="B233" s="29"/>
      <c r="C233" s="29"/>
      <c r="D233" s="29"/>
      <c r="E233" s="29"/>
      <c r="F233" s="30"/>
      <c r="G233" s="122">
        <v>227.0</v>
      </c>
      <c r="H233" s="130"/>
      <c r="I233" s="84"/>
      <c r="J233" s="17"/>
      <c r="K233" s="133"/>
      <c r="L233" s="135"/>
      <c r="M233" s="19"/>
      <c r="N233" s="131"/>
      <c r="O233" s="30"/>
      <c r="P233" s="29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7.75" customHeight="1">
      <c r="A234" s="29"/>
      <c r="B234" s="29"/>
      <c r="C234" s="29"/>
      <c r="D234" s="29"/>
      <c r="E234" s="29"/>
      <c r="F234" s="30"/>
      <c r="G234" s="122">
        <v>228.0</v>
      </c>
      <c r="H234" s="130"/>
      <c r="I234" s="84"/>
      <c r="J234" s="17"/>
      <c r="K234" s="133"/>
      <c r="L234" s="135"/>
      <c r="M234" s="19"/>
      <c r="N234" s="131"/>
      <c r="O234" s="30"/>
      <c r="P234" s="29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7.75" customHeight="1">
      <c r="A235" s="29"/>
      <c r="B235" s="29"/>
      <c r="C235" s="29"/>
      <c r="D235" s="29"/>
      <c r="E235" s="29"/>
      <c r="F235" s="30"/>
      <c r="G235" s="122">
        <v>229.0</v>
      </c>
      <c r="H235" s="130"/>
      <c r="I235" s="84"/>
      <c r="J235" s="17"/>
      <c r="K235" s="133"/>
      <c r="L235" s="135"/>
      <c r="M235" s="19"/>
      <c r="N235" s="131"/>
      <c r="O235" s="30"/>
      <c r="P235" s="29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7.75" customHeight="1">
      <c r="A236" s="29"/>
      <c r="B236" s="29"/>
      <c r="C236" s="29"/>
      <c r="D236" s="29"/>
      <c r="E236" s="29"/>
      <c r="F236" s="30"/>
      <c r="G236" s="122">
        <v>230.0</v>
      </c>
      <c r="H236" s="130"/>
      <c r="I236" s="84"/>
      <c r="J236" s="17"/>
      <c r="K236" s="133"/>
      <c r="L236" s="135"/>
      <c r="M236" s="19"/>
      <c r="N236" s="131"/>
      <c r="O236" s="30"/>
      <c r="P236" s="29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75" customHeight="1">
      <c r="A237" s="29"/>
      <c r="B237" s="29"/>
      <c r="C237" s="29"/>
      <c r="D237" s="29"/>
      <c r="E237" s="29"/>
      <c r="F237" s="30"/>
      <c r="G237" s="122">
        <v>231.0</v>
      </c>
      <c r="H237" s="130"/>
      <c r="I237" s="84"/>
      <c r="J237" s="17"/>
      <c r="K237" s="133"/>
      <c r="L237" s="135"/>
      <c r="M237" s="19"/>
      <c r="N237" s="131"/>
      <c r="O237" s="30"/>
      <c r="P237" s="29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7.75" customHeight="1">
      <c r="A238" s="29"/>
      <c r="B238" s="29"/>
      <c r="C238" s="29"/>
      <c r="D238" s="29"/>
      <c r="E238" s="29"/>
      <c r="F238" s="30"/>
      <c r="G238" s="122">
        <v>232.0</v>
      </c>
      <c r="H238" s="130"/>
      <c r="I238" s="84"/>
      <c r="J238" s="17"/>
      <c r="K238" s="133"/>
      <c r="L238" s="135"/>
      <c r="M238" s="19"/>
      <c r="N238" s="131"/>
      <c r="O238" s="30"/>
      <c r="P238" s="29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7.75" customHeight="1">
      <c r="A239" s="29"/>
      <c r="B239" s="29"/>
      <c r="C239" s="29"/>
      <c r="D239" s="29"/>
      <c r="E239" s="29"/>
      <c r="F239" s="30"/>
      <c r="G239" s="122">
        <v>233.0</v>
      </c>
      <c r="H239" s="130"/>
      <c r="I239" s="84"/>
      <c r="J239" s="17"/>
      <c r="K239" s="133"/>
      <c r="L239" s="135"/>
      <c r="M239" s="19"/>
      <c r="N239" s="131"/>
      <c r="O239" s="30"/>
      <c r="P239" s="29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7.75" customHeight="1">
      <c r="A240" s="29"/>
      <c r="B240" s="29"/>
      <c r="C240" s="29"/>
      <c r="D240" s="29"/>
      <c r="E240" s="29"/>
      <c r="F240" s="30"/>
      <c r="G240" s="122">
        <v>234.0</v>
      </c>
      <c r="H240" s="130"/>
      <c r="I240" s="84"/>
      <c r="J240" s="17"/>
      <c r="K240" s="133"/>
      <c r="L240" s="135"/>
      <c r="M240" s="19"/>
      <c r="N240" s="131"/>
      <c r="O240" s="30"/>
      <c r="P240" s="29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7.75" customHeight="1">
      <c r="A241" s="29"/>
      <c r="B241" s="29"/>
      <c r="C241" s="29"/>
      <c r="D241" s="29"/>
      <c r="E241" s="29"/>
      <c r="F241" s="30"/>
      <c r="G241" s="122">
        <v>235.0</v>
      </c>
      <c r="H241" s="130"/>
      <c r="I241" s="84"/>
      <c r="J241" s="17"/>
      <c r="K241" s="133"/>
      <c r="L241" s="135"/>
      <c r="M241" s="19"/>
      <c r="N241" s="131"/>
      <c r="O241" s="30"/>
      <c r="P241" s="29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133"/>
      <c r="L242" s="135"/>
      <c r="M242" s="19"/>
      <c r="N242" s="131"/>
      <c r="O242" s="30"/>
      <c r="P242" s="29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133"/>
      <c r="L243" s="135"/>
      <c r="M243" s="19"/>
      <c r="N243" s="131"/>
      <c r="O243" s="30"/>
      <c r="P243" s="29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133"/>
      <c r="L244" s="135"/>
      <c r="M244" s="19"/>
      <c r="N244" s="131"/>
      <c r="O244" s="30"/>
      <c r="P244" s="29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133"/>
      <c r="L245" s="135"/>
      <c r="M245" s="19"/>
      <c r="N245" s="131"/>
      <c r="O245" s="30"/>
      <c r="P245" s="29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133"/>
      <c r="L246" s="135"/>
      <c r="M246" s="19"/>
      <c r="N246" s="131"/>
      <c r="O246" s="30"/>
      <c r="P246" s="29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133"/>
      <c r="L247" s="135"/>
      <c r="M247" s="19"/>
      <c r="N247" s="131"/>
      <c r="O247" s="30"/>
      <c r="P247" s="29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133"/>
      <c r="L248" s="135"/>
      <c r="M248" s="19"/>
      <c r="N248" s="131"/>
      <c r="O248" s="30"/>
      <c r="P248" s="29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133"/>
      <c r="L249" s="135"/>
      <c r="M249" s="19"/>
      <c r="N249" s="131"/>
      <c r="O249" s="30"/>
      <c r="P249" s="29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133"/>
      <c r="L250" s="135"/>
      <c r="M250" s="19"/>
      <c r="N250" s="131"/>
      <c r="O250" s="30"/>
      <c r="P250" s="29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133"/>
      <c r="L251" s="135"/>
      <c r="M251" s="19"/>
      <c r="N251" s="131"/>
      <c r="O251" s="30"/>
      <c r="P251" s="29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133"/>
      <c r="L252" s="135"/>
      <c r="M252" s="19"/>
      <c r="N252" s="131"/>
      <c r="O252" s="30"/>
      <c r="P252" s="29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133"/>
      <c r="L253" s="135"/>
      <c r="M253" s="19"/>
      <c r="N253" s="131"/>
      <c r="O253" s="30"/>
      <c r="P253" s="29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133"/>
      <c r="L254" s="135"/>
      <c r="M254" s="19"/>
      <c r="N254" s="131"/>
      <c r="O254" s="30"/>
      <c r="P254" s="29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133"/>
      <c r="L255" s="135"/>
      <c r="M255" s="19"/>
      <c r="N255" s="131"/>
      <c r="O255" s="30"/>
      <c r="P255" s="29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133"/>
      <c r="L256" s="135"/>
      <c r="M256" s="19"/>
      <c r="N256" s="131"/>
      <c r="O256" s="30"/>
      <c r="P256" s="29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133"/>
      <c r="L257" s="135"/>
      <c r="M257" s="19"/>
      <c r="N257" s="131"/>
      <c r="O257" s="30"/>
      <c r="P257" s="29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133"/>
      <c r="L258" s="135"/>
      <c r="M258" s="19"/>
      <c r="N258" s="131"/>
      <c r="O258" s="30"/>
      <c r="P258" s="29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133"/>
      <c r="L259" s="135"/>
      <c r="M259" s="19"/>
      <c r="N259" s="131"/>
      <c r="O259" s="30"/>
      <c r="P259" s="29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133"/>
      <c r="L260" s="135"/>
      <c r="M260" s="19"/>
      <c r="N260" s="131"/>
      <c r="O260" s="30"/>
      <c r="P260" s="29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133"/>
      <c r="L261" s="135"/>
      <c r="M261" s="19"/>
      <c r="N261" s="131"/>
      <c r="O261" s="30"/>
      <c r="P261" s="29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133"/>
      <c r="L262" s="135"/>
      <c r="M262" s="19"/>
      <c r="N262" s="131"/>
      <c r="O262" s="30"/>
      <c r="P262" s="29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133"/>
      <c r="L263" s="135"/>
      <c r="M263" s="19"/>
      <c r="N263" s="131"/>
      <c r="O263" s="30"/>
      <c r="P263" s="2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133"/>
      <c r="L264" s="135"/>
      <c r="M264" s="19"/>
      <c r="N264" s="131"/>
      <c r="O264" s="30"/>
      <c r="P264" s="29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133"/>
      <c r="L265" s="135"/>
      <c r="M265" s="19"/>
      <c r="N265" s="131"/>
      <c r="O265" s="30"/>
      <c r="P265" s="29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133"/>
      <c r="L266" s="135"/>
      <c r="M266" s="19"/>
      <c r="N266" s="131"/>
      <c r="O266" s="30"/>
      <c r="P266" s="29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133"/>
      <c r="L267" s="135"/>
      <c r="M267" s="19"/>
      <c r="N267" s="131"/>
      <c r="O267" s="30"/>
      <c r="P267" s="29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133"/>
      <c r="L268" s="135"/>
      <c r="M268" s="19"/>
      <c r="N268" s="131"/>
      <c r="O268" s="30"/>
      <c r="P268" s="29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133"/>
      <c r="L269" s="135"/>
      <c r="M269" s="19"/>
      <c r="N269" s="131"/>
      <c r="O269" s="30"/>
      <c r="P269" s="29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133"/>
      <c r="L270" s="135"/>
      <c r="M270" s="19"/>
      <c r="N270" s="131"/>
      <c r="O270" s="30"/>
      <c r="P270" s="29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133"/>
      <c r="L271" s="135"/>
      <c r="M271" s="19"/>
      <c r="N271" s="131"/>
      <c r="O271" s="30"/>
      <c r="P271" s="29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133"/>
      <c r="L272" s="135"/>
      <c r="M272" s="19"/>
      <c r="N272" s="131"/>
      <c r="O272" s="30"/>
      <c r="P272" s="29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133"/>
      <c r="L273" s="135"/>
      <c r="M273" s="19"/>
      <c r="N273" s="131"/>
      <c r="O273" s="30"/>
      <c r="P273" s="29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133"/>
      <c r="L274" s="135"/>
      <c r="M274" s="19"/>
      <c r="N274" s="131"/>
      <c r="O274" s="30"/>
      <c r="P274" s="29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133"/>
      <c r="L275" s="135"/>
      <c r="M275" s="19"/>
      <c r="N275" s="131"/>
      <c r="O275" s="30"/>
      <c r="P275" s="29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133"/>
      <c r="L276" s="135"/>
      <c r="M276" s="19"/>
      <c r="N276" s="131"/>
      <c r="O276" s="30"/>
      <c r="P276" s="29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133"/>
      <c r="L277" s="135"/>
      <c r="M277" s="19"/>
      <c r="N277" s="131"/>
      <c r="O277" s="30"/>
      <c r="P277" s="29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133"/>
      <c r="L278" s="135"/>
      <c r="M278" s="19"/>
      <c r="N278" s="131"/>
      <c r="O278" s="30"/>
      <c r="P278" s="29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133"/>
      <c r="L279" s="135"/>
      <c r="M279" s="19"/>
      <c r="N279" s="131"/>
      <c r="O279" s="30"/>
      <c r="P279" s="29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133"/>
      <c r="L280" s="135"/>
      <c r="M280" s="19"/>
      <c r="N280" s="131"/>
      <c r="O280" s="30"/>
      <c r="P280" s="29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133"/>
      <c r="L281" s="135"/>
      <c r="M281" s="19"/>
      <c r="N281" s="131"/>
      <c r="O281" s="30"/>
      <c r="P281" s="29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133"/>
      <c r="L282" s="135"/>
      <c r="M282" s="19"/>
      <c r="N282" s="131"/>
      <c r="O282" s="30"/>
      <c r="P282" s="29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133"/>
      <c r="L283" s="135"/>
      <c r="M283" s="19"/>
      <c r="N283" s="131"/>
      <c r="O283" s="30"/>
      <c r="P283" s="29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133"/>
      <c r="L284" s="135"/>
      <c r="M284" s="19"/>
      <c r="N284" s="131"/>
      <c r="O284" s="30"/>
      <c r="P284" s="29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133"/>
      <c r="L285" s="135"/>
      <c r="M285" s="19"/>
      <c r="N285" s="131"/>
      <c r="O285" s="30"/>
      <c r="P285" s="29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133"/>
      <c r="L286" s="135"/>
      <c r="M286" s="19"/>
      <c r="N286" s="131"/>
      <c r="O286" s="30"/>
      <c r="P286" s="29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133"/>
      <c r="L287" s="135"/>
      <c r="M287" s="19"/>
      <c r="N287" s="131"/>
      <c r="O287" s="30"/>
      <c r="P287" s="29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133"/>
      <c r="L288" s="135"/>
      <c r="M288" s="19"/>
      <c r="N288" s="131"/>
      <c r="O288" s="30"/>
      <c r="P288" s="29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133"/>
      <c r="L289" s="135"/>
      <c r="M289" s="19"/>
      <c r="N289" s="131"/>
      <c r="O289" s="30"/>
      <c r="P289" s="29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133"/>
      <c r="L290" s="135"/>
      <c r="M290" s="19"/>
      <c r="N290" s="131"/>
      <c r="O290" s="30"/>
      <c r="P290" s="29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133"/>
      <c r="L291" s="135"/>
      <c r="M291" s="19"/>
      <c r="N291" s="131"/>
      <c r="O291" s="30"/>
      <c r="P291" s="29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133"/>
      <c r="L292" s="135"/>
      <c r="M292" s="19"/>
      <c r="N292" s="131"/>
      <c r="O292" s="30"/>
      <c r="P292" s="29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133"/>
      <c r="L293" s="135"/>
      <c r="M293" s="19"/>
      <c r="N293" s="131"/>
      <c r="O293" s="30"/>
      <c r="P293" s="29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133"/>
      <c r="L294" s="135"/>
      <c r="M294" s="19"/>
      <c r="N294" s="131"/>
      <c r="O294" s="30"/>
      <c r="P294" s="29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133"/>
      <c r="L295" s="135"/>
      <c r="M295" s="19"/>
      <c r="N295" s="131"/>
      <c r="O295" s="30"/>
      <c r="P295" s="29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133"/>
      <c r="L296" s="135"/>
      <c r="M296" s="19"/>
      <c r="N296" s="131"/>
      <c r="O296" s="30"/>
      <c r="P296" s="29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133"/>
      <c r="L297" s="135"/>
      <c r="M297" s="19"/>
      <c r="N297" s="131"/>
      <c r="O297" s="30"/>
      <c r="P297" s="29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133"/>
      <c r="L298" s="135"/>
      <c r="M298" s="19"/>
      <c r="N298" s="131"/>
      <c r="O298" s="30"/>
      <c r="P298" s="29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133"/>
      <c r="L299" s="135"/>
      <c r="M299" s="19"/>
      <c r="N299" s="131"/>
      <c r="O299" s="30"/>
      <c r="P299" s="29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133"/>
      <c r="L300" s="135"/>
      <c r="M300" s="19"/>
      <c r="N300" s="131"/>
      <c r="O300" s="30"/>
      <c r="P300" s="29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133"/>
      <c r="L301" s="135"/>
      <c r="M301" s="19"/>
      <c r="N301" s="131"/>
      <c r="O301" s="30"/>
      <c r="P301" s="29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133"/>
      <c r="L302" s="135"/>
      <c r="M302" s="19"/>
      <c r="N302" s="131"/>
      <c r="O302" s="30"/>
      <c r="P302" s="29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133"/>
      <c r="L303" s="135"/>
      <c r="M303" s="19"/>
      <c r="N303" s="131"/>
      <c r="O303" s="30"/>
      <c r="P303" s="29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133"/>
      <c r="L304" s="135"/>
      <c r="M304" s="19"/>
      <c r="N304" s="131"/>
      <c r="O304" s="30"/>
      <c r="P304" s="29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133"/>
      <c r="L305" s="135"/>
      <c r="M305" s="19"/>
      <c r="N305" s="131"/>
      <c r="O305" s="30"/>
      <c r="P305" s="29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133"/>
      <c r="L306" s="135"/>
      <c r="M306" s="19"/>
      <c r="N306" s="131"/>
      <c r="O306" s="30"/>
      <c r="P306" s="29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133"/>
      <c r="L307" s="135"/>
      <c r="M307" s="19"/>
      <c r="N307" s="131"/>
      <c r="O307" s="30"/>
      <c r="P307" s="29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133"/>
      <c r="L308" s="135"/>
      <c r="M308" s="19"/>
      <c r="N308" s="131"/>
      <c r="O308" s="30"/>
      <c r="P308" s="29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133"/>
      <c r="L309" s="135"/>
      <c r="M309" s="19"/>
      <c r="N309" s="131"/>
      <c r="O309" s="30"/>
      <c r="P309" s="29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133"/>
      <c r="L310" s="135"/>
      <c r="M310" s="19"/>
      <c r="N310" s="131"/>
      <c r="O310" s="30"/>
      <c r="P310" s="29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133"/>
      <c r="L311" s="135"/>
      <c r="M311" s="19"/>
      <c r="N311" s="131"/>
      <c r="O311" s="30"/>
      <c r="P311" s="29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133"/>
      <c r="L312" s="135"/>
      <c r="M312" s="19"/>
      <c r="N312" s="131"/>
      <c r="O312" s="30"/>
      <c r="P312" s="29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133"/>
      <c r="L313" s="135"/>
      <c r="M313" s="19"/>
      <c r="N313" s="131"/>
      <c r="O313" s="30"/>
      <c r="P313" s="29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133"/>
      <c r="L314" s="135"/>
      <c r="M314" s="19"/>
      <c r="N314" s="131"/>
      <c r="O314" s="30"/>
      <c r="P314" s="29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133"/>
      <c r="L315" s="135"/>
      <c r="M315" s="19"/>
      <c r="N315" s="131"/>
      <c r="O315" s="30"/>
      <c r="P315" s="29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133"/>
      <c r="L316" s="135"/>
      <c r="M316" s="19"/>
      <c r="N316" s="131"/>
      <c r="O316" s="30"/>
      <c r="P316" s="29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133"/>
      <c r="L317" s="135"/>
      <c r="M317" s="19"/>
      <c r="N317" s="131"/>
      <c r="O317" s="30"/>
      <c r="P317" s="29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133"/>
      <c r="L318" s="135"/>
      <c r="M318" s="19"/>
      <c r="N318" s="131"/>
      <c r="O318" s="30"/>
      <c r="P318" s="29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133"/>
      <c r="L319" s="135"/>
      <c r="M319" s="19"/>
      <c r="N319" s="131"/>
      <c r="O319" s="30"/>
      <c r="P319" s="29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133"/>
      <c r="L320" s="135"/>
      <c r="M320" s="19"/>
      <c r="N320" s="131"/>
      <c r="O320" s="30"/>
      <c r="P320" s="29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133"/>
      <c r="L321" s="135"/>
      <c r="M321" s="19"/>
      <c r="N321" s="131"/>
      <c r="O321" s="30"/>
      <c r="P321" s="29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133"/>
      <c r="L322" s="135"/>
      <c r="M322" s="19"/>
      <c r="N322" s="131"/>
      <c r="O322" s="30"/>
      <c r="P322" s="29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133"/>
      <c r="L323" s="135"/>
      <c r="M323" s="19"/>
      <c r="N323" s="131"/>
      <c r="O323" s="30"/>
      <c r="P323" s="29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133"/>
      <c r="L324" s="135"/>
      <c r="M324" s="19"/>
      <c r="N324" s="131"/>
      <c r="O324" s="30"/>
      <c r="P324" s="29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133"/>
      <c r="L325" s="135"/>
      <c r="M325" s="19"/>
      <c r="N325" s="131"/>
      <c r="O325" s="30"/>
      <c r="P325" s="29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133"/>
      <c r="L326" s="135"/>
      <c r="M326" s="19"/>
      <c r="N326" s="131"/>
      <c r="O326" s="30"/>
      <c r="P326" s="29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133"/>
      <c r="L327" s="135"/>
      <c r="M327" s="19"/>
      <c r="N327" s="131"/>
      <c r="O327" s="30"/>
      <c r="P327" s="29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133"/>
      <c r="L328" s="135"/>
      <c r="M328" s="19"/>
      <c r="N328" s="131"/>
      <c r="O328" s="30"/>
      <c r="P328" s="29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133"/>
      <c r="L329" s="135"/>
      <c r="M329" s="19"/>
      <c r="N329" s="131"/>
      <c r="O329" s="30"/>
      <c r="P329" s="29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133"/>
      <c r="L330" s="135"/>
      <c r="M330" s="19"/>
      <c r="N330" s="131"/>
      <c r="O330" s="30"/>
      <c r="P330" s="29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133"/>
      <c r="L331" s="135"/>
      <c r="M331" s="19"/>
      <c r="N331" s="131"/>
      <c r="O331" s="30"/>
      <c r="P331" s="29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133"/>
      <c r="L332" s="135"/>
      <c r="M332" s="19"/>
      <c r="N332" s="131"/>
      <c r="O332" s="30"/>
      <c r="P332" s="29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133"/>
      <c r="L333" s="135"/>
      <c r="M333" s="19"/>
      <c r="N333" s="131"/>
      <c r="O333" s="30"/>
      <c r="P333" s="29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133"/>
      <c r="L334" s="135"/>
      <c r="M334" s="19"/>
      <c r="N334" s="131"/>
      <c r="O334" s="30"/>
      <c r="P334" s="29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133"/>
      <c r="L335" s="135"/>
      <c r="M335" s="19"/>
      <c r="N335" s="131"/>
      <c r="O335" s="30"/>
      <c r="P335" s="29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133"/>
      <c r="L336" s="135"/>
      <c r="M336" s="19"/>
      <c r="N336" s="131"/>
      <c r="O336" s="30"/>
      <c r="P336" s="29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133"/>
      <c r="L337" s="135"/>
      <c r="M337" s="19"/>
      <c r="N337" s="131"/>
      <c r="O337" s="30"/>
      <c r="P337" s="29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133"/>
      <c r="L338" s="135"/>
      <c r="M338" s="19"/>
      <c r="N338" s="131"/>
      <c r="O338" s="30"/>
      <c r="P338" s="29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133"/>
      <c r="L339" s="135"/>
      <c r="M339" s="19"/>
      <c r="N339" s="131"/>
      <c r="O339" s="30"/>
      <c r="P339" s="29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133"/>
      <c r="L340" s="135"/>
      <c r="M340" s="19"/>
      <c r="N340" s="131"/>
      <c r="O340" s="30"/>
      <c r="P340" s="29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133"/>
      <c r="L341" s="135"/>
      <c r="M341" s="19"/>
      <c r="N341" s="131"/>
      <c r="O341" s="30"/>
      <c r="P341" s="29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133"/>
      <c r="L342" s="135"/>
      <c r="M342" s="19"/>
      <c r="N342" s="131"/>
      <c r="O342" s="30"/>
      <c r="P342" s="29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133"/>
      <c r="L343" s="135"/>
      <c r="M343" s="19"/>
      <c r="N343" s="131"/>
      <c r="O343" s="30"/>
      <c r="P343" s="29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133"/>
      <c r="L344" s="135"/>
      <c r="M344" s="19"/>
      <c r="N344" s="131"/>
      <c r="O344" s="30"/>
      <c r="P344" s="29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133"/>
      <c r="L345" s="135"/>
      <c r="M345" s="19"/>
      <c r="N345" s="131"/>
      <c r="O345" s="30"/>
      <c r="P345" s="29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133"/>
      <c r="L346" s="135"/>
      <c r="M346" s="19"/>
      <c r="N346" s="131"/>
      <c r="O346" s="30"/>
      <c r="P346" s="29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133"/>
      <c r="L347" s="135"/>
      <c r="M347" s="19"/>
      <c r="N347" s="131"/>
      <c r="O347" s="30"/>
      <c r="P347" s="29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133"/>
      <c r="L348" s="135"/>
      <c r="M348" s="19"/>
      <c r="N348" s="131"/>
      <c r="O348" s="30"/>
      <c r="P348" s="29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133"/>
      <c r="L349" s="135"/>
      <c r="M349" s="19"/>
      <c r="N349" s="131"/>
      <c r="O349" s="30"/>
      <c r="P349" s="29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133"/>
      <c r="L350" s="135"/>
      <c r="M350" s="19"/>
      <c r="N350" s="131"/>
      <c r="O350" s="30"/>
      <c r="P350" s="29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133"/>
      <c r="L351" s="135"/>
      <c r="M351" s="19"/>
      <c r="N351" s="131"/>
      <c r="O351" s="30"/>
      <c r="P351" s="29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133"/>
      <c r="L352" s="135"/>
      <c r="M352" s="19"/>
      <c r="N352" s="131"/>
      <c r="O352" s="30"/>
      <c r="P352" s="29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133"/>
      <c r="L353" s="135"/>
      <c r="M353" s="19"/>
      <c r="N353" s="131"/>
      <c r="O353" s="30"/>
      <c r="P353" s="29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133"/>
      <c r="L354" s="135"/>
      <c r="M354" s="19"/>
      <c r="N354" s="131"/>
      <c r="O354" s="30"/>
      <c r="P354" s="29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133"/>
      <c r="L355" s="135"/>
      <c r="M355" s="19"/>
      <c r="N355" s="131"/>
      <c r="O355" s="30"/>
      <c r="P355" s="29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133"/>
      <c r="L356" s="135"/>
      <c r="M356" s="19"/>
      <c r="N356" s="131"/>
      <c r="O356" s="30"/>
      <c r="P356" s="29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133"/>
      <c r="L357" s="135"/>
      <c r="M357" s="19"/>
      <c r="N357" s="131"/>
      <c r="O357" s="30"/>
      <c r="P357" s="29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133"/>
      <c r="L358" s="135"/>
      <c r="M358" s="19"/>
      <c r="N358" s="131"/>
      <c r="O358" s="30"/>
      <c r="P358" s="29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133"/>
      <c r="L359" s="135"/>
      <c r="M359" s="19"/>
      <c r="N359" s="131"/>
      <c r="O359" s="30"/>
      <c r="P359" s="29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133"/>
      <c r="L360" s="135"/>
      <c r="M360" s="19"/>
      <c r="N360" s="131"/>
      <c r="O360" s="30"/>
      <c r="P360" s="29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133"/>
      <c r="L361" s="135"/>
      <c r="M361" s="19"/>
      <c r="N361" s="131"/>
      <c r="O361" s="30"/>
      <c r="P361" s="29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133"/>
      <c r="L362" s="135"/>
      <c r="M362" s="19"/>
      <c r="N362" s="131"/>
      <c r="O362" s="30"/>
      <c r="P362" s="29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133"/>
      <c r="L363" s="135"/>
      <c r="M363" s="19"/>
      <c r="N363" s="131"/>
      <c r="O363" s="30"/>
      <c r="P363" s="29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133"/>
      <c r="L364" s="135"/>
      <c r="M364" s="19"/>
      <c r="N364" s="131"/>
      <c r="O364" s="30"/>
      <c r="P364" s="29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133"/>
      <c r="L365" s="135"/>
      <c r="M365" s="19"/>
      <c r="N365" s="131"/>
      <c r="O365" s="30"/>
      <c r="P365" s="29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133"/>
      <c r="L366" s="135"/>
      <c r="M366" s="19"/>
      <c r="N366" s="131"/>
      <c r="O366" s="30"/>
      <c r="P366" s="29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133"/>
      <c r="L367" s="135"/>
      <c r="M367" s="19"/>
      <c r="N367" s="131"/>
      <c r="O367" s="30"/>
      <c r="P367" s="29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133"/>
      <c r="L368" s="135"/>
      <c r="M368" s="19"/>
      <c r="N368" s="131"/>
      <c r="O368" s="30"/>
      <c r="P368" s="29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133"/>
      <c r="L369" s="135"/>
      <c r="M369" s="19"/>
      <c r="N369" s="131"/>
      <c r="O369" s="30"/>
      <c r="P369" s="29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133"/>
      <c r="L370" s="135"/>
      <c r="M370" s="19"/>
      <c r="N370" s="131"/>
      <c r="O370" s="30"/>
      <c r="P370" s="29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133"/>
      <c r="L371" s="135"/>
      <c r="M371" s="19"/>
      <c r="N371" s="131"/>
      <c r="O371" s="30"/>
      <c r="P371" s="29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133"/>
      <c r="L372" s="135"/>
      <c r="M372" s="19"/>
      <c r="N372" s="131"/>
      <c r="O372" s="30"/>
      <c r="P372" s="29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133"/>
      <c r="L373" s="135"/>
      <c r="M373" s="19"/>
      <c r="N373" s="131"/>
      <c r="O373" s="30"/>
      <c r="P373" s="29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133"/>
      <c r="L374" s="135"/>
      <c r="M374" s="19"/>
      <c r="N374" s="131"/>
      <c r="O374" s="30"/>
      <c r="P374" s="29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133"/>
      <c r="L375" s="135"/>
      <c r="M375" s="19"/>
      <c r="N375" s="131"/>
      <c r="O375" s="30"/>
      <c r="P375" s="29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133"/>
      <c r="L376" s="135"/>
      <c r="M376" s="19"/>
      <c r="N376" s="131"/>
      <c r="O376" s="30"/>
      <c r="P376" s="29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133"/>
      <c r="L377" s="135"/>
      <c r="M377" s="19"/>
      <c r="N377" s="131"/>
      <c r="O377" s="30"/>
      <c r="P377" s="29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133"/>
      <c r="L378" s="135"/>
      <c r="M378" s="19"/>
      <c r="N378" s="131"/>
      <c r="O378" s="30"/>
      <c r="P378" s="29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133"/>
      <c r="L379" s="135"/>
      <c r="M379" s="19"/>
      <c r="N379" s="131"/>
      <c r="O379" s="30"/>
      <c r="P379" s="29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133"/>
      <c r="L380" s="135"/>
      <c r="M380" s="19"/>
      <c r="N380" s="131"/>
      <c r="O380" s="30"/>
      <c r="P380" s="29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133"/>
      <c r="L381" s="135"/>
      <c r="M381" s="19"/>
      <c r="N381" s="131"/>
      <c r="O381" s="30"/>
      <c r="P381" s="29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133"/>
      <c r="L382" s="135"/>
      <c r="M382" s="19"/>
      <c r="N382" s="131"/>
      <c r="O382" s="30"/>
      <c r="P382" s="29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133"/>
      <c r="L383" s="135"/>
      <c r="M383" s="19"/>
      <c r="N383" s="131"/>
      <c r="O383" s="30"/>
      <c r="P383" s="29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133"/>
      <c r="L384" s="135"/>
      <c r="M384" s="19"/>
      <c r="N384" s="131"/>
      <c r="O384" s="30"/>
      <c r="P384" s="29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133"/>
      <c r="L385" s="135"/>
      <c r="M385" s="19"/>
      <c r="N385" s="131"/>
      <c r="O385" s="30"/>
      <c r="P385" s="29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133"/>
      <c r="L386" s="135"/>
      <c r="M386" s="19"/>
      <c r="N386" s="131"/>
      <c r="O386" s="30"/>
      <c r="P386" s="29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133"/>
      <c r="L387" s="135"/>
      <c r="M387" s="19"/>
      <c r="N387" s="131"/>
      <c r="O387" s="30"/>
      <c r="P387" s="29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133"/>
      <c r="L388" s="135"/>
      <c r="M388" s="19"/>
      <c r="N388" s="131"/>
      <c r="O388" s="30"/>
      <c r="P388" s="29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133"/>
      <c r="L389" s="135"/>
      <c r="M389" s="19"/>
      <c r="N389" s="131"/>
      <c r="O389" s="30"/>
      <c r="P389" s="29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133"/>
      <c r="L390" s="135"/>
      <c r="M390" s="19"/>
      <c r="N390" s="131"/>
      <c r="O390" s="30"/>
      <c r="P390" s="29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133"/>
      <c r="L391" s="135"/>
      <c r="M391" s="19"/>
      <c r="N391" s="131"/>
      <c r="O391" s="30"/>
      <c r="P391" s="29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133"/>
      <c r="L392" s="135"/>
      <c r="M392" s="19"/>
      <c r="N392" s="131"/>
      <c r="O392" s="30"/>
      <c r="P392" s="29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133"/>
      <c r="L393" s="135"/>
      <c r="M393" s="19"/>
      <c r="N393" s="131"/>
      <c r="O393" s="30"/>
      <c r="P393" s="29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133"/>
      <c r="L394" s="135"/>
      <c r="M394" s="19"/>
      <c r="N394" s="131"/>
      <c r="O394" s="30"/>
      <c r="P394" s="29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133"/>
      <c r="L395" s="135"/>
      <c r="M395" s="19"/>
      <c r="N395" s="131"/>
      <c r="O395" s="30"/>
      <c r="P395" s="29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133"/>
      <c r="L396" s="135"/>
      <c r="M396" s="19"/>
      <c r="N396" s="131"/>
      <c r="O396" s="30"/>
      <c r="P396" s="29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133"/>
      <c r="L397" s="135"/>
      <c r="M397" s="19"/>
      <c r="N397" s="131"/>
      <c r="O397" s="30"/>
      <c r="P397" s="29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133"/>
      <c r="L398" s="135"/>
      <c r="M398" s="19"/>
      <c r="N398" s="131"/>
      <c r="O398" s="30"/>
      <c r="P398" s="29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133"/>
      <c r="L399" s="135"/>
      <c r="M399" s="19"/>
      <c r="N399" s="131"/>
      <c r="O399" s="30"/>
      <c r="P399" s="29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133"/>
      <c r="L400" s="135"/>
      <c r="M400" s="19"/>
      <c r="N400" s="131"/>
      <c r="O400" s="30"/>
      <c r="P400" s="29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133"/>
      <c r="L401" s="135"/>
      <c r="M401" s="19"/>
      <c r="N401" s="131"/>
      <c r="O401" s="30"/>
      <c r="P401" s="29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133"/>
      <c r="L402" s="135"/>
      <c r="M402" s="19"/>
      <c r="N402" s="131"/>
      <c r="O402" s="30"/>
      <c r="P402" s="29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133"/>
      <c r="L403" s="135"/>
      <c r="M403" s="19"/>
      <c r="N403" s="131"/>
      <c r="O403" s="30"/>
      <c r="P403" s="29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133"/>
      <c r="L404" s="135"/>
      <c r="M404" s="19"/>
      <c r="N404" s="131"/>
      <c r="O404" s="30"/>
      <c r="P404" s="29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133"/>
      <c r="L405" s="135"/>
      <c r="M405" s="19"/>
      <c r="N405" s="131"/>
      <c r="O405" s="30"/>
      <c r="P405" s="29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133"/>
      <c r="L406" s="135"/>
      <c r="M406" s="19"/>
      <c r="N406" s="131"/>
      <c r="O406" s="30"/>
      <c r="P406" s="29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133"/>
      <c r="L407" s="135"/>
      <c r="M407" s="19"/>
      <c r="N407" s="131"/>
      <c r="O407" s="30"/>
      <c r="P407" s="29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133"/>
      <c r="L408" s="135"/>
      <c r="M408" s="19"/>
      <c r="N408" s="131"/>
      <c r="O408" s="30"/>
      <c r="P408" s="29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133"/>
      <c r="L409" s="135"/>
      <c r="M409" s="19"/>
      <c r="N409" s="131"/>
      <c r="O409" s="30"/>
      <c r="P409" s="29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133"/>
      <c r="L410" s="135"/>
      <c r="M410" s="19"/>
      <c r="N410" s="131"/>
      <c r="O410" s="30"/>
      <c r="P410" s="29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133"/>
      <c r="L411" s="135"/>
      <c r="M411" s="19"/>
      <c r="N411" s="131"/>
      <c r="O411" s="30"/>
      <c r="P411" s="29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133"/>
      <c r="L412" s="135"/>
      <c r="M412" s="19"/>
      <c r="N412" s="131"/>
      <c r="O412" s="30"/>
      <c r="P412" s="29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133"/>
      <c r="L413" s="135"/>
      <c r="M413" s="19"/>
      <c r="N413" s="131"/>
      <c r="O413" s="30"/>
      <c r="P413" s="29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133"/>
      <c r="L414" s="135"/>
      <c r="M414" s="19"/>
      <c r="N414" s="131"/>
      <c r="O414" s="30"/>
      <c r="P414" s="29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133"/>
      <c r="L415" s="135"/>
      <c r="M415" s="19"/>
      <c r="N415" s="131"/>
      <c r="O415" s="30"/>
      <c r="P415" s="29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133"/>
      <c r="L416" s="135"/>
      <c r="M416" s="19"/>
      <c r="N416" s="131"/>
      <c r="O416" s="30"/>
      <c r="P416" s="29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133"/>
      <c r="L417" s="135"/>
      <c r="M417" s="19"/>
      <c r="N417" s="131"/>
      <c r="O417" s="30"/>
      <c r="P417" s="29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5"/>
      <c r="M418" s="19"/>
      <c r="N418" s="131"/>
      <c r="O418" s="30"/>
      <c r="P418" s="29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135"/>
      <c r="M419" s="19"/>
      <c r="N419" s="131"/>
      <c r="O419" s="30"/>
      <c r="P419" s="29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135"/>
      <c r="M420" s="19"/>
      <c r="N420" s="131"/>
      <c r="O420" s="30"/>
      <c r="P420" s="29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135"/>
      <c r="M421" s="19"/>
      <c r="N421" s="131"/>
      <c r="O421" s="30"/>
      <c r="P421" s="29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135"/>
      <c r="M422" s="19"/>
      <c r="N422" s="131"/>
      <c r="O422" s="30"/>
      <c r="P422" s="29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135"/>
      <c r="M423" s="19"/>
      <c r="N423" s="131"/>
      <c r="O423" s="30"/>
      <c r="P423" s="29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135"/>
      <c r="M424" s="19"/>
      <c r="N424" s="131"/>
      <c r="O424" s="30"/>
      <c r="P424" s="29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135"/>
      <c r="M425" s="19"/>
      <c r="N425" s="131"/>
      <c r="O425" s="30"/>
      <c r="P425" s="29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135"/>
      <c r="M426" s="19"/>
      <c r="N426" s="131"/>
      <c r="O426" s="30"/>
      <c r="P426" s="29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135"/>
      <c r="M427" s="19"/>
      <c r="N427" s="131"/>
      <c r="O427" s="30"/>
      <c r="P427" s="29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135"/>
      <c r="M428" s="19"/>
      <c r="N428" s="131"/>
      <c r="O428" s="30"/>
      <c r="P428" s="29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135"/>
      <c r="M429" s="19"/>
      <c r="N429" s="131"/>
      <c r="O429" s="30"/>
      <c r="P429" s="29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135"/>
      <c r="M430" s="19"/>
      <c r="N430" s="131"/>
      <c r="O430" s="30"/>
      <c r="P430" s="29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135"/>
      <c r="M431" s="19"/>
      <c r="N431" s="131"/>
      <c r="O431" s="30"/>
      <c r="P431" s="29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135"/>
      <c r="M432" s="19"/>
      <c r="N432" s="131"/>
      <c r="O432" s="30"/>
      <c r="P432" s="29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135"/>
      <c r="M433" s="19"/>
      <c r="N433" s="131"/>
      <c r="O433" s="30"/>
      <c r="P433" s="29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135"/>
      <c r="M434" s="19"/>
      <c r="N434" s="131"/>
      <c r="O434" s="30"/>
      <c r="P434" s="29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135"/>
      <c r="M435" s="19"/>
      <c r="N435" s="131"/>
      <c r="O435" s="30"/>
      <c r="P435" s="29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135"/>
      <c r="M436" s="19"/>
      <c r="N436" s="131"/>
      <c r="O436" s="30"/>
      <c r="P436" s="29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135"/>
      <c r="M437" s="19"/>
      <c r="N437" s="131"/>
      <c r="O437" s="30"/>
      <c r="P437" s="29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135"/>
      <c r="M438" s="19"/>
      <c r="N438" s="131"/>
      <c r="O438" s="30"/>
      <c r="P438" s="29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135"/>
      <c r="M439" s="19"/>
      <c r="N439" s="131"/>
      <c r="O439" s="30"/>
      <c r="P439" s="29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135"/>
      <c r="M440" s="19"/>
      <c r="N440" s="131"/>
      <c r="O440" s="30"/>
      <c r="P440" s="29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135"/>
      <c r="M441" s="19"/>
      <c r="N441" s="131"/>
      <c r="O441" s="30"/>
      <c r="P441" s="29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135"/>
      <c r="M442" s="19"/>
      <c r="N442" s="131"/>
      <c r="O442" s="30"/>
      <c r="P442" s="29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135"/>
      <c r="M443" s="19"/>
      <c r="N443" s="131"/>
      <c r="O443" s="30"/>
      <c r="P443" s="29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135"/>
      <c r="M444" s="19"/>
      <c r="N444" s="131"/>
      <c r="O444" s="30"/>
      <c r="P444" s="29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135"/>
      <c r="M445" s="19"/>
      <c r="N445" s="131"/>
      <c r="O445" s="30"/>
      <c r="P445" s="29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135"/>
      <c r="M446" s="19"/>
      <c r="N446" s="131"/>
      <c r="O446" s="30"/>
      <c r="P446" s="29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135"/>
      <c r="M447" s="19"/>
      <c r="N447" s="131"/>
      <c r="O447" s="30"/>
      <c r="P447" s="29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135"/>
      <c r="M448" s="19"/>
      <c r="N448" s="131"/>
      <c r="O448" s="30"/>
      <c r="P448" s="29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135"/>
      <c r="M449" s="19"/>
      <c r="N449" s="131"/>
      <c r="O449" s="30"/>
      <c r="P449" s="29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135"/>
      <c r="M450" s="19"/>
      <c r="N450" s="131"/>
      <c r="O450" s="30"/>
      <c r="P450" s="29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135"/>
      <c r="M451" s="19"/>
      <c r="N451" s="131"/>
      <c r="O451" s="30"/>
      <c r="P451" s="29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135"/>
      <c r="M452" s="19"/>
      <c r="N452" s="131"/>
      <c r="O452" s="30"/>
      <c r="P452" s="29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135"/>
      <c r="M453" s="19"/>
      <c r="N453" s="131"/>
      <c r="O453" s="30"/>
      <c r="P453" s="29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135"/>
      <c r="M454" s="19"/>
      <c r="N454" s="131"/>
      <c r="O454" s="30"/>
      <c r="P454" s="29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135"/>
      <c r="M455" s="19"/>
      <c r="N455" s="131"/>
      <c r="O455" s="30"/>
      <c r="P455" s="29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135"/>
      <c r="M456" s="19"/>
      <c r="N456" s="131"/>
      <c r="O456" s="30"/>
      <c r="P456" s="29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135"/>
      <c r="M457" s="19"/>
      <c r="N457" s="131"/>
      <c r="O457" s="30"/>
      <c r="P457" s="29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135"/>
      <c r="M458" s="19"/>
      <c r="N458" s="131"/>
      <c r="O458" s="30"/>
      <c r="P458" s="29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135"/>
      <c r="M459" s="19"/>
      <c r="N459" s="131"/>
      <c r="O459" s="30"/>
      <c r="P459" s="29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135"/>
      <c r="M460" s="19"/>
      <c r="N460" s="131"/>
      <c r="O460" s="30"/>
      <c r="P460" s="29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135"/>
      <c r="M461" s="19"/>
      <c r="N461" s="131"/>
      <c r="O461" s="30"/>
      <c r="P461" s="29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135"/>
      <c r="M462" s="19"/>
      <c r="N462" s="131"/>
      <c r="O462" s="30"/>
      <c r="P462" s="29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135"/>
      <c r="M463" s="19"/>
      <c r="N463" s="131"/>
      <c r="O463" s="30"/>
      <c r="P463" s="29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135"/>
      <c r="M464" s="19"/>
      <c r="N464" s="131"/>
      <c r="O464" s="30"/>
      <c r="P464" s="29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135"/>
      <c r="M465" s="19"/>
      <c r="N465" s="131"/>
      <c r="O465" s="30"/>
      <c r="P465" s="29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135"/>
      <c r="M466" s="19"/>
      <c r="N466" s="131"/>
      <c r="O466" s="30"/>
      <c r="P466" s="29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135"/>
      <c r="M467" s="19"/>
      <c r="N467" s="131"/>
      <c r="O467" s="30"/>
      <c r="P467" s="29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135"/>
      <c r="M468" s="19"/>
      <c r="N468" s="131"/>
      <c r="O468" s="30"/>
      <c r="P468" s="29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135"/>
      <c r="M469" s="19"/>
      <c r="N469" s="131"/>
      <c r="O469" s="30"/>
      <c r="P469" s="29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135"/>
      <c r="M470" s="19"/>
      <c r="N470" s="131"/>
      <c r="O470" s="30"/>
      <c r="P470" s="29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135"/>
      <c r="M471" s="19"/>
      <c r="N471" s="131"/>
      <c r="O471" s="30"/>
      <c r="P471" s="29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135"/>
      <c r="M472" s="19"/>
      <c r="N472" s="131"/>
      <c r="O472" s="30"/>
      <c r="P472" s="29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135"/>
      <c r="M473" s="19"/>
      <c r="N473" s="131"/>
      <c r="O473" s="30"/>
      <c r="P473" s="29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135"/>
      <c r="M474" s="19"/>
      <c r="N474" s="131"/>
      <c r="O474" s="30"/>
      <c r="P474" s="29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135"/>
      <c r="M475" s="19"/>
      <c r="N475" s="131"/>
      <c r="O475" s="30"/>
      <c r="P475" s="29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135"/>
      <c r="M476" s="19"/>
      <c r="N476" s="131"/>
      <c r="O476" s="30"/>
      <c r="P476" s="29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135"/>
      <c r="M477" s="19"/>
      <c r="N477" s="131"/>
      <c r="O477" s="30"/>
      <c r="P477" s="29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135"/>
      <c r="M478" s="19"/>
      <c r="N478" s="131"/>
      <c r="O478" s="30"/>
      <c r="P478" s="29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135"/>
      <c r="M479" s="19"/>
      <c r="N479" s="131"/>
      <c r="O479" s="30"/>
      <c r="P479" s="29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135"/>
      <c r="M480" s="19"/>
      <c r="N480" s="131"/>
      <c r="O480" s="30"/>
      <c r="P480" s="29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135"/>
      <c r="M481" s="19"/>
      <c r="N481" s="131"/>
      <c r="O481" s="30"/>
      <c r="P481" s="29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135"/>
      <c r="M482" s="19"/>
      <c r="N482" s="131"/>
      <c r="O482" s="30"/>
      <c r="P482" s="29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135"/>
      <c r="M483" s="19"/>
      <c r="N483" s="131"/>
      <c r="O483" s="30"/>
      <c r="P483" s="29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135"/>
      <c r="M484" s="19"/>
      <c r="N484" s="131"/>
      <c r="O484" s="30"/>
      <c r="P484" s="29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135"/>
      <c r="M485" s="19"/>
      <c r="N485" s="131"/>
      <c r="O485" s="30"/>
      <c r="P485" s="29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135"/>
      <c r="M486" s="19"/>
      <c r="N486" s="131"/>
      <c r="O486" s="30"/>
      <c r="P486" s="29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135"/>
      <c r="M487" s="19"/>
      <c r="N487" s="131"/>
      <c r="O487" s="30"/>
      <c r="P487" s="29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135"/>
      <c r="M488" s="19"/>
      <c r="N488" s="131"/>
      <c r="O488" s="30"/>
      <c r="P488" s="29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135"/>
      <c r="M489" s="19"/>
      <c r="N489" s="131"/>
      <c r="O489" s="30"/>
      <c r="P489" s="29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135"/>
      <c r="M490" s="19"/>
      <c r="N490" s="131"/>
      <c r="O490" s="30"/>
      <c r="P490" s="29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135"/>
      <c r="M491" s="19"/>
      <c r="N491" s="131"/>
      <c r="O491" s="30"/>
      <c r="P491" s="29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135"/>
      <c r="M492" s="19"/>
      <c r="N492" s="131"/>
      <c r="O492" s="30"/>
      <c r="P492" s="29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135"/>
      <c r="M493" s="19"/>
      <c r="N493" s="131"/>
      <c r="O493" s="30"/>
      <c r="P493" s="29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135"/>
      <c r="M494" s="19"/>
      <c r="N494" s="131"/>
      <c r="O494" s="30"/>
      <c r="P494" s="29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135"/>
      <c r="M495" s="19"/>
      <c r="N495" s="131"/>
      <c r="O495" s="30"/>
      <c r="P495" s="29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135"/>
      <c r="M496" s="19"/>
      <c r="N496" s="131"/>
      <c r="O496" s="30"/>
      <c r="P496" s="29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135"/>
      <c r="M497" s="19"/>
      <c r="N497" s="131"/>
      <c r="O497" s="30"/>
      <c r="P497" s="29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135"/>
      <c r="M498" s="19"/>
      <c r="N498" s="131"/>
      <c r="O498" s="30"/>
      <c r="P498" s="29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135"/>
      <c r="M499" s="19"/>
      <c r="N499" s="131"/>
      <c r="O499" s="30"/>
      <c r="P499" s="29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135"/>
      <c r="M500" s="19"/>
      <c r="N500" s="131"/>
      <c r="O500" s="30"/>
      <c r="P500" s="29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135"/>
      <c r="M501" s="19"/>
      <c r="N501" s="131"/>
      <c r="O501" s="30"/>
      <c r="P501" s="29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135"/>
      <c r="M502" s="19"/>
      <c r="N502" s="131"/>
      <c r="O502" s="30"/>
      <c r="P502" s="29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135"/>
      <c r="M503" s="19"/>
      <c r="N503" s="131"/>
      <c r="O503" s="30"/>
      <c r="P503" s="29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135"/>
      <c r="M504" s="19"/>
      <c r="N504" s="131"/>
      <c r="O504" s="30"/>
      <c r="P504" s="29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135"/>
      <c r="M505" s="19"/>
      <c r="N505" s="131"/>
      <c r="O505" s="30"/>
      <c r="P505" s="29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135"/>
      <c r="M506" s="19"/>
      <c r="N506" s="131"/>
      <c r="O506" s="30"/>
      <c r="P506" s="29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135"/>
      <c r="M507" s="19"/>
      <c r="N507" s="131"/>
      <c r="O507" s="30"/>
      <c r="P507" s="29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135"/>
      <c r="M508" s="19"/>
      <c r="N508" s="131"/>
      <c r="O508" s="30"/>
      <c r="P508" s="29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135"/>
      <c r="M509" s="19"/>
      <c r="N509" s="131"/>
      <c r="O509" s="30"/>
      <c r="P509" s="29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135"/>
      <c r="M510" s="19"/>
      <c r="N510" s="131"/>
      <c r="O510" s="30"/>
      <c r="P510" s="29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135"/>
      <c r="M511" s="19"/>
      <c r="N511" s="131"/>
      <c r="O511" s="30"/>
      <c r="P511" s="29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135"/>
      <c r="M512" s="19"/>
      <c r="N512" s="131"/>
      <c r="O512" s="30"/>
      <c r="P512" s="29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135"/>
      <c r="M513" s="19"/>
      <c r="N513" s="131"/>
      <c r="O513" s="30"/>
      <c r="P513" s="29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135"/>
      <c r="M514" s="19"/>
      <c r="N514" s="131"/>
      <c r="O514" s="30"/>
      <c r="P514" s="29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135"/>
      <c r="M515" s="19"/>
      <c r="N515" s="131"/>
      <c r="O515" s="30"/>
      <c r="P515" s="29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135"/>
      <c r="M516" s="19"/>
      <c r="N516" s="131"/>
      <c r="O516" s="30"/>
      <c r="P516" s="29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135"/>
      <c r="M517" s="19"/>
      <c r="N517" s="131"/>
      <c r="O517" s="30"/>
      <c r="P517" s="29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135"/>
      <c r="M518" s="19"/>
      <c r="N518" s="131"/>
      <c r="O518" s="30"/>
      <c r="P518" s="29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135"/>
      <c r="M519" s="19"/>
      <c r="N519" s="131"/>
      <c r="O519" s="30"/>
      <c r="P519" s="29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135"/>
      <c r="M520" s="19"/>
      <c r="N520" s="131"/>
      <c r="O520" s="30"/>
      <c r="P520" s="29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135"/>
      <c r="M521" s="19"/>
      <c r="N521" s="131"/>
      <c r="O521" s="30"/>
      <c r="P521" s="29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135"/>
      <c r="M522" s="19"/>
      <c r="N522" s="131"/>
      <c r="O522" s="30"/>
      <c r="P522" s="29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135"/>
      <c r="M523" s="19"/>
      <c r="N523" s="131"/>
      <c r="O523" s="30"/>
      <c r="P523" s="29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135"/>
      <c r="M524" s="19"/>
      <c r="N524" s="131"/>
      <c r="O524" s="30"/>
      <c r="P524" s="29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135"/>
      <c r="M525" s="19"/>
      <c r="N525" s="131"/>
      <c r="O525" s="30"/>
      <c r="P525" s="29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135"/>
      <c r="M526" s="19"/>
      <c r="N526" s="131"/>
      <c r="O526" s="30"/>
      <c r="P526" s="29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135"/>
      <c r="M527" s="19"/>
      <c r="N527" s="131"/>
      <c r="O527" s="30"/>
      <c r="P527" s="29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135"/>
      <c r="M528" s="19"/>
      <c r="N528" s="131"/>
      <c r="O528" s="30"/>
      <c r="P528" s="29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135"/>
      <c r="M529" s="19"/>
      <c r="N529" s="131"/>
      <c r="O529" s="30"/>
      <c r="P529" s="29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135"/>
      <c r="M530" s="19"/>
      <c r="N530" s="131"/>
      <c r="O530" s="30"/>
      <c r="P530" s="29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135"/>
      <c r="M531" s="19"/>
      <c r="N531" s="131"/>
      <c r="O531" s="30"/>
      <c r="P531" s="29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135"/>
      <c r="M532" s="19"/>
      <c r="N532" s="131"/>
      <c r="O532" s="30"/>
      <c r="P532" s="29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135"/>
      <c r="M533" s="19"/>
      <c r="N533" s="131"/>
      <c r="O533" s="30"/>
      <c r="P533" s="29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135"/>
      <c r="M534" s="19"/>
      <c r="N534" s="131"/>
      <c r="O534" s="30"/>
      <c r="P534" s="29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135"/>
      <c r="M535" s="19"/>
      <c r="N535" s="131"/>
      <c r="O535" s="30"/>
      <c r="P535" s="29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135"/>
      <c r="M536" s="19"/>
      <c r="N536" s="131"/>
      <c r="O536" s="30"/>
      <c r="P536" s="29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135"/>
      <c r="M537" s="19"/>
      <c r="N537" s="131"/>
      <c r="O537" s="30"/>
      <c r="P537" s="29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135"/>
      <c r="M538" s="19"/>
      <c r="N538" s="131"/>
      <c r="O538" s="30"/>
      <c r="P538" s="29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135"/>
      <c r="M539" s="19"/>
      <c r="N539" s="131"/>
      <c r="O539" s="30"/>
      <c r="P539" s="29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135"/>
      <c r="M540" s="19"/>
      <c r="N540" s="131"/>
      <c r="O540" s="30"/>
      <c r="P540" s="29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135"/>
      <c r="M541" s="19"/>
      <c r="N541" s="131"/>
      <c r="O541" s="30"/>
      <c r="P541" s="29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135"/>
      <c r="M542" s="19"/>
      <c r="N542" s="131"/>
      <c r="O542" s="30"/>
      <c r="P542" s="29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135"/>
      <c r="M543" s="19"/>
      <c r="N543" s="131"/>
      <c r="O543" s="30"/>
      <c r="P543" s="29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135"/>
      <c r="M544" s="19"/>
      <c r="N544" s="131"/>
      <c r="O544" s="30"/>
      <c r="P544" s="29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135"/>
      <c r="M545" s="19"/>
      <c r="N545" s="131"/>
      <c r="O545" s="30"/>
      <c r="P545" s="29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135"/>
      <c r="M546" s="19"/>
      <c r="N546" s="131"/>
      <c r="O546" s="30"/>
      <c r="P546" s="29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135"/>
      <c r="M547" s="19"/>
      <c r="N547" s="131"/>
      <c r="O547" s="30"/>
      <c r="P547" s="29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135"/>
      <c r="M548" s="19"/>
      <c r="N548" s="131"/>
      <c r="O548" s="30"/>
      <c r="P548" s="29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135"/>
      <c r="M549" s="19"/>
      <c r="N549" s="131"/>
      <c r="O549" s="30"/>
      <c r="P549" s="29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135"/>
      <c r="M550" s="19"/>
      <c r="N550" s="131"/>
      <c r="O550" s="30"/>
      <c r="P550" s="29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135"/>
      <c r="M551" s="19"/>
      <c r="N551" s="131"/>
      <c r="O551" s="30"/>
      <c r="P551" s="29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135"/>
      <c r="M552" s="19"/>
      <c r="N552" s="131"/>
      <c r="O552" s="30"/>
      <c r="P552" s="29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135"/>
      <c r="M553" s="19"/>
      <c r="N553" s="131"/>
      <c r="O553" s="30"/>
      <c r="P553" s="29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135"/>
      <c r="M554" s="19"/>
      <c r="N554" s="131"/>
      <c r="O554" s="30"/>
      <c r="P554" s="29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135"/>
      <c r="M555" s="19"/>
      <c r="N555" s="131"/>
      <c r="O555" s="30"/>
      <c r="P555" s="29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135"/>
      <c r="M556" s="19"/>
      <c r="N556" s="131"/>
      <c r="O556" s="30"/>
      <c r="P556" s="29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135"/>
      <c r="M557" s="19"/>
      <c r="N557" s="131"/>
      <c r="O557" s="30"/>
      <c r="P557" s="29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135"/>
      <c r="M558" s="19"/>
      <c r="N558" s="131"/>
      <c r="O558" s="30"/>
      <c r="P558" s="29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135"/>
      <c r="M559" s="19"/>
      <c r="N559" s="131"/>
      <c r="O559" s="30"/>
      <c r="P559" s="29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135"/>
      <c r="M560" s="19"/>
      <c r="N560" s="131"/>
      <c r="O560" s="30"/>
      <c r="P560" s="29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135"/>
      <c r="M561" s="19"/>
      <c r="N561" s="131"/>
      <c r="O561" s="30"/>
      <c r="P561" s="29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135"/>
      <c r="M562" s="19"/>
      <c r="N562" s="131"/>
      <c r="O562" s="30"/>
      <c r="P562" s="29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135"/>
      <c r="M563" s="19"/>
      <c r="N563" s="131"/>
      <c r="O563" s="30"/>
      <c r="P563" s="29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135"/>
      <c r="M564" s="19"/>
      <c r="N564" s="131"/>
      <c r="O564" s="30"/>
      <c r="P564" s="29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135"/>
      <c r="M565" s="19"/>
      <c r="N565" s="131"/>
      <c r="O565" s="30"/>
      <c r="P565" s="29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135"/>
      <c r="M566" s="19"/>
      <c r="N566" s="131"/>
      <c r="O566" s="30"/>
      <c r="P566" s="29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135"/>
      <c r="M567" s="19"/>
      <c r="N567" s="131"/>
      <c r="O567" s="30"/>
      <c r="P567" s="29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135"/>
      <c r="M568" s="19"/>
      <c r="N568" s="131"/>
      <c r="O568" s="30"/>
      <c r="P568" s="29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135"/>
      <c r="M569" s="19"/>
      <c r="N569" s="131"/>
      <c r="O569" s="30"/>
      <c r="P569" s="29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135"/>
      <c r="M570" s="19"/>
      <c r="N570" s="131"/>
      <c r="O570" s="30"/>
      <c r="P570" s="29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135"/>
      <c r="M571" s="19"/>
      <c r="N571" s="131"/>
      <c r="O571" s="30"/>
      <c r="P571" s="29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135"/>
      <c r="M572" s="19"/>
      <c r="N572" s="131"/>
      <c r="O572" s="30"/>
      <c r="P572" s="29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135"/>
      <c r="M573" s="19"/>
      <c r="N573" s="131"/>
      <c r="O573" s="30"/>
      <c r="P573" s="29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135"/>
      <c r="M574" s="19"/>
      <c r="N574" s="131"/>
      <c r="O574" s="30"/>
      <c r="P574" s="29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135"/>
      <c r="M575" s="19"/>
      <c r="N575" s="131"/>
      <c r="O575" s="30"/>
      <c r="P575" s="29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135"/>
      <c r="M576" s="19"/>
      <c r="N576" s="131"/>
      <c r="O576" s="30"/>
      <c r="P576" s="29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135"/>
      <c r="M577" s="19"/>
      <c r="N577" s="131"/>
      <c r="O577" s="30"/>
      <c r="P577" s="29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135"/>
      <c r="M578" s="19"/>
      <c r="N578" s="131"/>
      <c r="O578" s="30"/>
      <c r="P578" s="29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135"/>
      <c r="M579" s="19"/>
      <c r="N579" s="131"/>
      <c r="O579" s="30"/>
      <c r="P579" s="29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135"/>
      <c r="M580" s="19"/>
      <c r="N580" s="131"/>
      <c r="O580" s="30"/>
      <c r="P580" s="29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135"/>
      <c r="M581" s="19"/>
      <c r="N581" s="131"/>
      <c r="O581" s="30"/>
      <c r="P581" s="29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135"/>
      <c r="M582" s="19"/>
      <c r="N582" s="131"/>
      <c r="O582" s="30"/>
      <c r="P582" s="29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135"/>
      <c r="M583" s="19"/>
      <c r="N583" s="131"/>
      <c r="O583" s="30"/>
      <c r="P583" s="29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135"/>
      <c r="M584" s="19"/>
      <c r="N584" s="131"/>
      <c r="O584" s="30"/>
      <c r="P584" s="29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135"/>
      <c r="M585" s="19"/>
      <c r="N585" s="131"/>
      <c r="O585" s="30"/>
      <c r="P585" s="29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135"/>
      <c r="M586" s="19"/>
      <c r="N586" s="131"/>
      <c r="O586" s="30"/>
      <c r="P586" s="29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135"/>
      <c r="M587" s="19"/>
      <c r="N587" s="131"/>
      <c r="O587" s="30"/>
      <c r="P587" s="29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135"/>
      <c r="M588" s="19"/>
      <c r="N588" s="131"/>
      <c r="O588" s="30"/>
      <c r="P588" s="29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135"/>
      <c r="M589" s="19"/>
      <c r="N589" s="131"/>
      <c r="O589" s="30"/>
      <c r="P589" s="29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135"/>
      <c r="M590" s="19"/>
      <c r="N590" s="131"/>
      <c r="O590" s="30"/>
      <c r="P590" s="29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135"/>
      <c r="M591" s="19"/>
      <c r="N591" s="131"/>
      <c r="O591" s="30"/>
      <c r="P591" s="29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135"/>
      <c r="M592" s="19"/>
      <c r="N592" s="131"/>
      <c r="O592" s="30"/>
      <c r="P592" s="29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135"/>
      <c r="M593" s="19"/>
      <c r="N593" s="131"/>
      <c r="O593" s="30"/>
      <c r="P593" s="29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135"/>
      <c r="M594" s="19"/>
      <c r="N594" s="131"/>
      <c r="O594" s="30"/>
      <c r="P594" s="29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135"/>
      <c r="M595" s="19"/>
      <c r="N595" s="131"/>
      <c r="O595" s="30"/>
      <c r="P595" s="29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135"/>
      <c r="M596" s="19"/>
      <c r="N596" s="131"/>
      <c r="O596" s="30"/>
      <c r="P596" s="29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135"/>
      <c r="M597" s="19"/>
      <c r="N597" s="131"/>
      <c r="O597" s="30"/>
      <c r="P597" s="29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135"/>
      <c r="M598" s="19"/>
      <c r="N598" s="131"/>
      <c r="O598" s="30"/>
      <c r="P598" s="29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135"/>
      <c r="M599" s="19"/>
      <c r="N599" s="131"/>
      <c r="O599" s="30"/>
      <c r="P599" s="29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135"/>
      <c r="M600" s="19"/>
      <c r="N600" s="131"/>
      <c r="O600" s="30"/>
      <c r="P600" s="29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135"/>
      <c r="M601" s="19"/>
      <c r="N601" s="131"/>
      <c r="O601" s="30"/>
      <c r="P601" s="29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135"/>
      <c r="M602" s="19"/>
      <c r="N602" s="131"/>
      <c r="O602" s="30"/>
      <c r="P602" s="29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135"/>
      <c r="M603" s="19"/>
      <c r="N603" s="131"/>
      <c r="O603" s="30"/>
      <c r="P603" s="29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135"/>
      <c r="M604" s="19"/>
      <c r="N604" s="131"/>
      <c r="O604" s="30"/>
      <c r="P604" s="29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135"/>
      <c r="M605" s="19"/>
      <c r="N605" s="131"/>
      <c r="O605" s="30"/>
      <c r="P605" s="29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135"/>
      <c r="M606" s="19"/>
      <c r="N606" s="131"/>
      <c r="O606" s="30"/>
      <c r="P606" s="29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135"/>
      <c r="M607" s="19"/>
      <c r="N607" s="131"/>
      <c r="O607" s="30"/>
      <c r="P607" s="29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135"/>
      <c r="M608" s="19"/>
      <c r="N608" s="131"/>
      <c r="O608" s="30"/>
      <c r="P608" s="29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135"/>
      <c r="M609" s="19"/>
      <c r="N609" s="131"/>
      <c r="O609" s="30"/>
      <c r="P609" s="29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135"/>
      <c r="M610" s="19"/>
      <c r="N610" s="131"/>
      <c r="O610" s="30"/>
      <c r="P610" s="29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135"/>
      <c r="M611" s="19"/>
      <c r="N611" s="131"/>
      <c r="O611" s="30"/>
      <c r="P611" s="29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135"/>
      <c r="M612" s="19"/>
      <c r="N612" s="131"/>
      <c r="O612" s="30"/>
      <c r="P612" s="29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135"/>
      <c r="M613" s="19"/>
      <c r="N613" s="131"/>
      <c r="O613" s="30"/>
      <c r="P613" s="29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135"/>
      <c r="M614" s="19"/>
      <c r="N614" s="131"/>
      <c r="O614" s="30"/>
      <c r="P614" s="29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135"/>
      <c r="M615" s="19"/>
      <c r="N615" s="131"/>
      <c r="O615" s="30"/>
      <c r="P615" s="29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135"/>
      <c r="M616" s="19"/>
      <c r="N616" s="131"/>
      <c r="O616" s="30"/>
      <c r="P616" s="29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135"/>
      <c r="M617" s="19"/>
      <c r="N617" s="131"/>
      <c r="O617" s="30"/>
      <c r="P617" s="29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135"/>
      <c r="M618" s="19"/>
      <c r="N618" s="131"/>
      <c r="O618" s="30"/>
      <c r="P618" s="29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135"/>
      <c r="M619" s="19"/>
      <c r="N619" s="131"/>
      <c r="O619" s="30"/>
      <c r="P619" s="29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135"/>
      <c r="M620" s="19"/>
      <c r="N620" s="131"/>
      <c r="O620" s="30"/>
      <c r="P620" s="29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135"/>
      <c r="M621" s="19"/>
      <c r="N621" s="131"/>
      <c r="O621" s="30"/>
      <c r="P621" s="29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135"/>
      <c r="M622" s="19"/>
      <c r="N622" s="131"/>
      <c r="O622" s="30"/>
      <c r="P622" s="29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135"/>
      <c r="M623" s="19"/>
      <c r="N623" s="131"/>
      <c r="O623" s="30"/>
      <c r="P623" s="29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135"/>
      <c r="M624" s="19"/>
      <c r="N624" s="131"/>
      <c r="O624" s="30"/>
      <c r="P624" s="29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135"/>
      <c r="M625" s="19"/>
      <c r="N625" s="131"/>
      <c r="O625" s="30"/>
      <c r="P625" s="29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135"/>
      <c r="M626" s="19"/>
      <c r="N626" s="131"/>
      <c r="O626" s="30"/>
      <c r="P626" s="29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135"/>
      <c r="M627" s="19"/>
      <c r="N627" s="131"/>
      <c r="O627" s="30"/>
      <c r="P627" s="29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135"/>
      <c r="M628" s="19"/>
      <c r="N628" s="131"/>
      <c r="O628" s="30"/>
      <c r="P628" s="29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135"/>
      <c r="M629" s="19"/>
      <c r="N629" s="131"/>
      <c r="O629" s="30"/>
      <c r="P629" s="29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135"/>
      <c r="M630" s="19"/>
      <c r="N630" s="131"/>
      <c r="O630" s="30"/>
      <c r="P630" s="29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135"/>
      <c r="M631" s="19"/>
      <c r="N631" s="131"/>
      <c r="O631" s="30"/>
      <c r="P631" s="29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135"/>
      <c r="M632" s="19"/>
      <c r="N632" s="131"/>
      <c r="O632" s="30"/>
      <c r="P632" s="29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135"/>
      <c r="M633" s="19"/>
      <c r="N633" s="131"/>
      <c r="O633" s="30"/>
      <c r="P633" s="29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135"/>
      <c r="M634" s="19"/>
      <c r="N634" s="131"/>
      <c r="O634" s="30"/>
      <c r="P634" s="29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135"/>
      <c r="M635" s="19"/>
      <c r="N635" s="131"/>
      <c r="O635" s="30"/>
      <c r="P635" s="29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135"/>
      <c r="M636" s="19"/>
      <c r="N636" s="131"/>
      <c r="O636" s="30"/>
      <c r="P636" s="29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135"/>
      <c r="M637" s="19"/>
      <c r="N637" s="131"/>
      <c r="O637" s="30"/>
      <c r="P637" s="29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135"/>
      <c r="M638" s="19"/>
      <c r="N638" s="131"/>
      <c r="O638" s="30"/>
      <c r="P638" s="29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135"/>
      <c r="M639" s="19"/>
      <c r="N639" s="131"/>
      <c r="O639" s="30"/>
      <c r="P639" s="29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135"/>
      <c r="M640" s="19"/>
      <c r="N640" s="131"/>
      <c r="O640" s="30"/>
      <c r="P640" s="29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135"/>
      <c r="M641" s="19"/>
      <c r="N641" s="131"/>
      <c r="O641" s="30"/>
      <c r="P641" s="29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135"/>
      <c r="M642" s="19"/>
      <c r="N642" s="131"/>
      <c r="O642" s="30"/>
      <c r="P642" s="29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135"/>
      <c r="M643" s="19"/>
      <c r="N643" s="131"/>
      <c r="O643" s="30"/>
      <c r="P643" s="29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135"/>
      <c r="M644" s="19"/>
      <c r="N644" s="131"/>
      <c r="O644" s="30"/>
      <c r="P644" s="29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135"/>
      <c r="M645" s="19"/>
      <c r="N645" s="131"/>
      <c r="O645" s="30"/>
      <c r="P645" s="29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135"/>
      <c r="M646" s="19"/>
      <c r="N646" s="131"/>
      <c r="O646" s="30"/>
      <c r="P646" s="29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135"/>
      <c r="M647" s="19"/>
      <c r="N647" s="131"/>
      <c r="O647" s="30"/>
      <c r="P647" s="29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135"/>
      <c r="M648" s="19"/>
      <c r="N648" s="131"/>
      <c r="O648" s="30"/>
      <c r="P648" s="29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135"/>
      <c r="M649" s="19"/>
      <c r="N649" s="131"/>
      <c r="O649" s="30"/>
      <c r="P649" s="29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135"/>
      <c r="M650" s="19"/>
      <c r="N650" s="131"/>
      <c r="O650" s="30"/>
      <c r="P650" s="29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135"/>
      <c r="M651" s="19"/>
      <c r="N651" s="131"/>
      <c r="O651" s="30"/>
      <c r="P651" s="29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135"/>
      <c r="M652" s="19"/>
      <c r="N652" s="131"/>
      <c r="O652" s="30"/>
      <c r="P652" s="29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135"/>
      <c r="M653" s="19"/>
      <c r="N653" s="131"/>
      <c r="O653" s="30"/>
      <c r="P653" s="29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135"/>
      <c r="M654" s="19"/>
      <c r="N654" s="131"/>
      <c r="O654" s="30"/>
      <c r="P654" s="29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135"/>
      <c r="M655" s="19"/>
      <c r="N655" s="131"/>
      <c r="O655" s="30"/>
      <c r="P655" s="29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135"/>
      <c r="M656" s="19"/>
      <c r="N656" s="131"/>
      <c r="O656" s="30"/>
      <c r="P656" s="29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135"/>
      <c r="M657" s="19"/>
      <c r="N657" s="131"/>
      <c r="O657" s="30"/>
      <c r="P657" s="29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135"/>
      <c r="M658" s="19"/>
      <c r="N658" s="131"/>
      <c r="O658" s="30"/>
      <c r="P658" s="29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135"/>
      <c r="M659" s="19"/>
      <c r="N659" s="131"/>
      <c r="O659" s="30"/>
      <c r="P659" s="29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135"/>
      <c r="M660" s="19"/>
      <c r="N660" s="131"/>
      <c r="O660" s="30"/>
      <c r="P660" s="29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135"/>
      <c r="M661" s="19"/>
      <c r="N661" s="131"/>
      <c r="O661" s="30"/>
      <c r="P661" s="29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135"/>
      <c r="M662" s="19"/>
      <c r="N662" s="131"/>
      <c r="O662" s="30"/>
      <c r="P662" s="29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135"/>
      <c r="M663" s="19"/>
      <c r="N663" s="131"/>
      <c r="O663" s="30"/>
      <c r="P663" s="29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135"/>
      <c r="M664" s="19"/>
      <c r="N664" s="131"/>
      <c r="O664" s="30"/>
      <c r="P664" s="29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135"/>
      <c r="M665" s="19"/>
      <c r="N665" s="131"/>
      <c r="O665" s="30"/>
      <c r="P665" s="29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135"/>
      <c r="M666" s="19"/>
      <c r="N666" s="131"/>
      <c r="O666" s="30"/>
      <c r="P666" s="29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135"/>
      <c r="M667" s="19"/>
      <c r="N667" s="131"/>
      <c r="O667" s="30"/>
      <c r="P667" s="29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135"/>
      <c r="M668" s="19"/>
      <c r="N668" s="131"/>
      <c r="O668" s="30"/>
      <c r="P668" s="29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135"/>
      <c r="M669" s="19"/>
      <c r="N669" s="131"/>
      <c r="O669" s="30"/>
      <c r="P669" s="29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135"/>
      <c r="M670" s="19"/>
      <c r="N670" s="131"/>
      <c r="O670" s="30"/>
      <c r="P670" s="29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135"/>
      <c r="M671" s="19"/>
      <c r="N671" s="131"/>
      <c r="O671" s="30"/>
      <c r="P671" s="29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135"/>
      <c r="M672" s="19"/>
      <c r="N672" s="131"/>
      <c r="O672" s="30"/>
      <c r="P672" s="29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135"/>
      <c r="M673" s="19"/>
      <c r="N673" s="131"/>
      <c r="O673" s="30"/>
      <c r="P673" s="29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135"/>
      <c r="M674" s="19"/>
      <c r="N674" s="131"/>
      <c r="O674" s="30"/>
      <c r="P674" s="29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135"/>
      <c r="M675" s="19"/>
      <c r="N675" s="131"/>
      <c r="O675" s="30"/>
      <c r="P675" s="29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135"/>
      <c r="M676" s="19"/>
      <c r="N676" s="131"/>
      <c r="O676" s="30"/>
      <c r="P676" s="29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135"/>
      <c r="M677" s="19"/>
      <c r="N677" s="131"/>
      <c r="O677" s="30"/>
      <c r="P677" s="29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135"/>
      <c r="M678" s="19"/>
      <c r="N678" s="131"/>
      <c r="O678" s="30"/>
      <c r="P678" s="29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135"/>
      <c r="M679" s="19"/>
      <c r="N679" s="131"/>
      <c r="O679" s="30"/>
      <c r="P679" s="29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135"/>
      <c r="M680" s="19"/>
      <c r="N680" s="131"/>
      <c r="O680" s="30"/>
      <c r="P680" s="29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135"/>
      <c r="M681" s="19"/>
      <c r="N681" s="131"/>
      <c r="O681" s="30"/>
      <c r="P681" s="29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135"/>
      <c r="M682" s="19"/>
      <c r="N682" s="131"/>
      <c r="O682" s="30"/>
      <c r="P682" s="29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135"/>
      <c r="M683" s="19"/>
      <c r="N683" s="131"/>
      <c r="O683" s="30"/>
      <c r="P683" s="29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135"/>
      <c r="M684" s="19"/>
      <c r="N684" s="131"/>
      <c r="O684" s="30"/>
      <c r="P684" s="29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135"/>
      <c r="M685" s="19"/>
      <c r="N685" s="131"/>
      <c r="O685" s="30"/>
      <c r="P685" s="29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135"/>
      <c r="M686" s="19"/>
      <c r="N686" s="131"/>
      <c r="O686" s="30"/>
      <c r="P686" s="29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135"/>
      <c r="M687" s="19"/>
      <c r="N687" s="131"/>
      <c r="O687" s="30"/>
      <c r="P687" s="29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135"/>
      <c r="M688" s="19"/>
      <c r="N688" s="131"/>
      <c r="O688" s="30"/>
      <c r="P688" s="29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135"/>
      <c r="M689" s="19"/>
      <c r="N689" s="131"/>
      <c r="O689" s="30"/>
      <c r="P689" s="29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135"/>
      <c r="M690" s="19"/>
      <c r="N690" s="131"/>
      <c r="O690" s="30"/>
      <c r="P690" s="29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135"/>
      <c r="M691" s="19"/>
      <c r="N691" s="131"/>
      <c r="O691" s="30"/>
      <c r="P691" s="29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135"/>
      <c r="M692" s="19"/>
      <c r="N692" s="131"/>
      <c r="O692" s="30"/>
      <c r="P692" s="29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135"/>
      <c r="M693" s="19"/>
      <c r="N693" s="131"/>
      <c r="O693" s="30"/>
      <c r="P693" s="29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135"/>
      <c r="M694" s="19"/>
      <c r="N694" s="131"/>
      <c r="O694" s="30"/>
      <c r="P694" s="29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135"/>
      <c r="M695" s="19"/>
      <c r="N695" s="131"/>
      <c r="O695" s="30"/>
      <c r="P695" s="29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135"/>
      <c r="M696" s="19"/>
      <c r="N696" s="131"/>
      <c r="O696" s="30"/>
      <c r="P696" s="29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135"/>
      <c r="M697" s="19"/>
      <c r="N697" s="131"/>
      <c r="O697" s="30"/>
      <c r="P697" s="29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135"/>
      <c r="M698" s="19"/>
      <c r="N698" s="131"/>
      <c r="O698" s="30"/>
      <c r="P698" s="29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135"/>
      <c r="M699" s="19"/>
      <c r="N699" s="131"/>
      <c r="O699" s="30"/>
      <c r="P699" s="29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135"/>
      <c r="M700" s="19"/>
      <c r="N700" s="131"/>
      <c r="O700" s="30"/>
      <c r="P700" s="29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135"/>
      <c r="M701" s="19"/>
      <c r="N701" s="131"/>
      <c r="O701" s="30"/>
      <c r="P701" s="29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135"/>
      <c r="M702" s="19"/>
      <c r="N702" s="131"/>
      <c r="O702" s="30"/>
      <c r="P702" s="29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135"/>
      <c r="M703" s="19"/>
      <c r="N703" s="131"/>
      <c r="O703" s="30"/>
      <c r="P703" s="29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135"/>
      <c r="M704" s="19"/>
      <c r="N704" s="131"/>
      <c r="O704" s="30"/>
      <c r="P704" s="29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135"/>
      <c r="M705" s="19"/>
      <c r="N705" s="131"/>
      <c r="O705" s="30"/>
      <c r="P705" s="29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135"/>
      <c r="M706" s="19"/>
      <c r="N706" s="131"/>
      <c r="O706" s="30"/>
      <c r="P706" s="29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135"/>
      <c r="M707" s="19"/>
      <c r="N707" s="131"/>
      <c r="O707" s="30"/>
      <c r="P707" s="29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135"/>
      <c r="M708" s="19"/>
      <c r="N708" s="131"/>
      <c r="O708" s="30"/>
      <c r="P708" s="29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135"/>
      <c r="M709" s="19"/>
      <c r="N709" s="131"/>
      <c r="O709" s="30"/>
      <c r="P709" s="29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135"/>
      <c r="M710" s="19"/>
      <c r="N710" s="131"/>
      <c r="O710" s="30"/>
      <c r="P710" s="29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135"/>
      <c r="M711" s="19"/>
      <c r="N711" s="131"/>
      <c r="O711" s="30"/>
      <c r="P711" s="29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135"/>
      <c r="M712" s="19"/>
      <c r="N712" s="131"/>
      <c r="O712" s="30"/>
      <c r="P712" s="29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135"/>
      <c r="M713" s="19"/>
      <c r="N713" s="131"/>
      <c r="O713" s="30"/>
      <c r="P713" s="29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135"/>
      <c r="M714" s="19"/>
      <c r="N714" s="131"/>
      <c r="O714" s="30"/>
      <c r="P714" s="29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135"/>
      <c r="M715" s="19"/>
      <c r="N715" s="131"/>
      <c r="O715" s="30"/>
      <c r="P715" s="29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135"/>
      <c r="M716" s="19"/>
      <c r="N716" s="131"/>
      <c r="O716" s="30"/>
      <c r="P716" s="29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135"/>
      <c r="M717" s="19"/>
      <c r="N717" s="131"/>
      <c r="O717" s="30"/>
      <c r="P717" s="29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135"/>
      <c r="M718" s="19"/>
      <c r="N718" s="131"/>
      <c r="O718" s="30"/>
      <c r="P718" s="29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135"/>
      <c r="M719" s="19"/>
      <c r="N719" s="131"/>
      <c r="O719" s="30"/>
      <c r="P719" s="29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135"/>
      <c r="M720" s="19"/>
      <c r="N720" s="131"/>
      <c r="O720" s="30"/>
      <c r="P720" s="29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135"/>
      <c r="M721" s="19"/>
      <c r="N721" s="131"/>
      <c r="O721" s="30"/>
      <c r="P721" s="29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135"/>
      <c r="M722" s="19"/>
      <c r="N722" s="131"/>
      <c r="O722" s="30"/>
      <c r="P722" s="29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135"/>
      <c r="M723" s="19"/>
      <c r="N723" s="131"/>
      <c r="O723" s="30"/>
      <c r="P723" s="29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135"/>
      <c r="M724" s="19"/>
      <c r="N724" s="131"/>
      <c r="O724" s="30"/>
      <c r="P724" s="29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135"/>
      <c r="M725" s="19"/>
      <c r="N725" s="131"/>
      <c r="O725" s="30"/>
      <c r="P725" s="29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135"/>
      <c r="M726" s="19"/>
      <c r="N726" s="131"/>
      <c r="O726" s="30"/>
      <c r="P726" s="29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135"/>
      <c r="M727" s="19"/>
      <c r="N727" s="131"/>
      <c r="O727" s="30"/>
      <c r="P727" s="29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135"/>
      <c r="M728" s="19"/>
      <c r="N728" s="131"/>
      <c r="O728" s="30"/>
      <c r="P728" s="29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135"/>
      <c r="M729" s="19"/>
      <c r="N729" s="131"/>
      <c r="O729" s="30"/>
      <c r="P729" s="29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135"/>
      <c r="M730" s="19"/>
      <c r="N730" s="131"/>
      <c r="O730" s="30"/>
      <c r="P730" s="29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135"/>
      <c r="M731" s="19"/>
      <c r="N731" s="131"/>
      <c r="O731" s="30"/>
      <c r="P731" s="29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135"/>
      <c r="M732" s="19"/>
      <c r="N732" s="131"/>
      <c r="O732" s="30"/>
      <c r="P732" s="29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135"/>
      <c r="M733" s="19"/>
      <c r="N733" s="131"/>
      <c r="O733" s="30"/>
      <c r="P733" s="29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135"/>
      <c r="M734" s="19"/>
      <c r="N734" s="131"/>
      <c r="O734" s="30"/>
      <c r="P734" s="29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135"/>
      <c r="M735" s="19"/>
      <c r="N735" s="131"/>
      <c r="O735" s="30"/>
      <c r="P735" s="29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135"/>
      <c r="M736" s="19"/>
      <c r="N736" s="131"/>
      <c r="O736" s="30"/>
      <c r="P736" s="29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135"/>
      <c r="M737" s="19"/>
      <c r="N737" s="131"/>
      <c r="O737" s="30"/>
      <c r="P737" s="29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135"/>
      <c r="M738" s="19"/>
      <c r="N738" s="131"/>
      <c r="O738" s="30"/>
      <c r="P738" s="29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135"/>
      <c r="M739" s="19"/>
      <c r="N739" s="131"/>
      <c r="O739" s="30"/>
      <c r="P739" s="29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135"/>
      <c r="M740" s="19"/>
      <c r="N740" s="131"/>
      <c r="O740" s="30"/>
      <c r="P740" s="29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135"/>
      <c r="M741" s="19"/>
      <c r="N741" s="131"/>
      <c r="O741" s="30"/>
      <c r="P741" s="29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135"/>
      <c r="M742" s="19"/>
      <c r="N742" s="131"/>
      <c r="O742" s="30"/>
      <c r="P742" s="29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135"/>
      <c r="M743" s="19"/>
      <c r="N743" s="131"/>
      <c r="O743" s="30"/>
      <c r="P743" s="29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135"/>
      <c r="M744" s="19"/>
      <c r="N744" s="131"/>
      <c r="O744" s="30"/>
      <c r="P744" s="29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135"/>
      <c r="M745" s="19"/>
      <c r="N745" s="131"/>
      <c r="O745" s="30"/>
      <c r="P745" s="29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135"/>
      <c r="M746" s="19"/>
      <c r="N746" s="131"/>
      <c r="O746" s="30"/>
      <c r="P746" s="29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135"/>
      <c r="M747" s="19"/>
      <c r="N747" s="131"/>
      <c r="O747" s="30"/>
      <c r="P747" s="29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135"/>
      <c r="M748" s="19"/>
      <c r="N748" s="131"/>
      <c r="O748" s="30"/>
      <c r="P748" s="29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135"/>
      <c r="M749" s="19"/>
      <c r="N749" s="131"/>
      <c r="O749" s="30"/>
      <c r="P749" s="29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135"/>
      <c r="M750" s="19"/>
      <c r="N750" s="131"/>
      <c r="O750" s="30"/>
      <c r="P750" s="29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135"/>
      <c r="M751" s="19"/>
      <c r="N751" s="131"/>
      <c r="O751" s="30"/>
      <c r="P751" s="29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135"/>
      <c r="M752" s="19"/>
      <c r="N752" s="131"/>
      <c r="O752" s="30"/>
      <c r="P752" s="29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135"/>
      <c r="M753" s="19"/>
      <c r="N753" s="131"/>
      <c r="O753" s="30"/>
      <c r="P753" s="29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135"/>
      <c r="M754" s="19"/>
      <c r="N754" s="131"/>
      <c r="O754" s="30"/>
      <c r="P754" s="29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135"/>
      <c r="M755" s="19"/>
      <c r="N755" s="131"/>
      <c r="O755" s="30"/>
      <c r="P755" s="29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135"/>
      <c r="M756" s="19"/>
      <c r="N756" s="131"/>
      <c r="O756" s="30"/>
      <c r="P756" s="29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135"/>
      <c r="M757" s="19"/>
      <c r="N757" s="131"/>
      <c r="O757" s="30"/>
      <c r="P757" s="29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135"/>
      <c r="M758" s="19"/>
      <c r="N758" s="131"/>
      <c r="O758" s="30"/>
      <c r="P758" s="29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135"/>
      <c r="M759" s="19"/>
      <c r="N759" s="131"/>
      <c r="O759" s="30"/>
      <c r="P759" s="29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135"/>
      <c r="M760" s="19"/>
      <c r="N760" s="131"/>
      <c r="O760" s="30"/>
      <c r="P760" s="29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135"/>
      <c r="M761" s="19"/>
      <c r="N761" s="131"/>
      <c r="O761" s="30"/>
      <c r="P761" s="29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135"/>
      <c r="M762" s="19"/>
      <c r="N762" s="131"/>
      <c r="O762" s="30"/>
      <c r="P762" s="29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135"/>
      <c r="M763" s="19"/>
      <c r="N763" s="131"/>
      <c r="O763" s="30"/>
      <c r="P763" s="29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135"/>
      <c r="M764" s="19"/>
      <c r="N764" s="131"/>
      <c r="O764" s="30"/>
      <c r="P764" s="29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135"/>
      <c r="M765" s="19"/>
      <c r="N765" s="131"/>
      <c r="O765" s="30"/>
      <c r="P765" s="29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135"/>
      <c r="M766" s="19"/>
      <c r="N766" s="131"/>
      <c r="O766" s="30"/>
      <c r="P766" s="29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135"/>
      <c r="M767" s="19"/>
      <c r="N767" s="131"/>
      <c r="O767" s="30"/>
      <c r="P767" s="29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135"/>
      <c r="M768" s="19"/>
      <c r="N768" s="131"/>
      <c r="O768" s="30"/>
      <c r="P768" s="29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135"/>
      <c r="M769" s="19"/>
      <c r="N769" s="131"/>
      <c r="O769" s="30"/>
      <c r="P769" s="29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135"/>
      <c r="M770" s="19"/>
      <c r="N770" s="131"/>
      <c r="O770" s="30"/>
      <c r="P770" s="29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135"/>
      <c r="M771" s="19"/>
      <c r="N771" s="131"/>
      <c r="O771" s="30"/>
      <c r="P771" s="29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135"/>
      <c r="M772" s="19"/>
      <c r="N772" s="131"/>
      <c r="O772" s="30"/>
      <c r="P772" s="29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135"/>
      <c r="M773" s="19"/>
      <c r="N773" s="131"/>
      <c r="O773" s="30"/>
      <c r="P773" s="29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135"/>
      <c r="M774" s="19"/>
      <c r="N774" s="131"/>
      <c r="O774" s="30"/>
      <c r="P774" s="29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135"/>
      <c r="M775" s="19"/>
      <c r="N775" s="131"/>
      <c r="O775" s="30"/>
      <c r="P775" s="29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135"/>
      <c r="M776" s="19"/>
      <c r="N776" s="131"/>
      <c r="O776" s="30"/>
      <c r="P776" s="29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135"/>
      <c r="M777" s="19"/>
      <c r="N777" s="131"/>
      <c r="O777" s="30"/>
      <c r="P777" s="29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135"/>
      <c r="M778" s="19"/>
      <c r="N778" s="131"/>
      <c r="O778" s="30"/>
      <c r="P778" s="29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135"/>
      <c r="M779" s="19"/>
      <c r="N779" s="131"/>
      <c r="O779" s="30"/>
      <c r="P779" s="29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135"/>
      <c r="M780" s="19"/>
      <c r="N780" s="131"/>
      <c r="O780" s="30"/>
      <c r="P780" s="29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135"/>
      <c r="M781" s="19"/>
      <c r="N781" s="131"/>
      <c r="O781" s="30"/>
      <c r="P781" s="29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135"/>
      <c r="M782" s="19"/>
      <c r="N782" s="131"/>
      <c r="O782" s="30"/>
      <c r="P782" s="29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135"/>
      <c r="M783" s="19"/>
      <c r="N783" s="131"/>
      <c r="O783" s="30"/>
      <c r="P783" s="29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135"/>
      <c r="M784" s="19"/>
      <c r="N784" s="131"/>
      <c r="O784" s="30"/>
      <c r="P784" s="29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135"/>
      <c r="M785" s="19"/>
      <c r="N785" s="131"/>
      <c r="O785" s="30"/>
      <c r="P785" s="29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135"/>
      <c r="M786" s="19"/>
      <c r="N786" s="131"/>
      <c r="O786" s="30"/>
      <c r="P786" s="29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135"/>
      <c r="M787" s="19"/>
      <c r="N787" s="131"/>
      <c r="O787" s="30"/>
      <c r="P787" s="29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135"/>
      <c r="M788" s="19"/>
      <c r="N788" s="131"/>
      <c r="O788" s="30"/>
      <c r="P788" s="29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135"/>
      <c r="M789" s="19"/>
      <c r="N789" s="131"/>
      <c r="O789" s="30"/>
      <c r="P789" s="29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135"/>
      <c r="M790" s="19"/>
      <c r="N790" s="131"/>
      <c r="O790" s="30"/>
      <c r="P790" s="29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135"/>
      <c r="M791" s="19"/>
      <c r="N791" s="131"/>
      <c r="O791" s="30"/>
      <c r="P791" s="29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135"/>
      <c r="M792" s="19"/>
      <c r="N792" s="131"/>
      <c r="O792" s="30"/>
      <c r="P792" s="29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135"/>
      <c r="M793" s="19"/>
      <c r="N793" s="131"/>
      <c r="O793" s="30"/>
      <c r="P793" s="29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135"/>
      <c r="M794" s="19"/>
      <c r="N794" s="131"/>
      <c r="O794" s="30"/>
      <c r="P794" s="29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135"/>
      <c r="M795" s="19"/>
      <c r="N795" s="131"/>
      <c r="O795" s="30"/>
      <c r="P795" s="29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135"/>
      <c r="M796" s="19"/>
      <c r="N796" s="131"/>
      <c r="O796" s="30"/>
      <c r="P796" s="29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135"/>
      <c r="M797" s="19"/>
      <c r="N797" s="131"/>
      <c r="O797" s="30"/>
      <c r="P797" s="29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135"/>
      <c r="M798" s="19"/>
      <c r="N798" s="131"/>
      <c r="O798" s="30"/>
      <c r="P798" s="29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135"/>
      <c r="M799" s="19"/>
      <c r="N799" s="131"/>
      <c r="O799" s="30"/>
      <c r="P799" s="29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135"/>
      <c r="M800" s="19"/>
      <c r="N800" s="131"/>
      <c r="O800" s="30"/>
      <c r="P800" s="29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135"/>
      <c r="M801" s="19"/>
      <c r="N801" s="131"/>
      <c r="O801" s="30"/>
      <c r="P801" s="29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135"/>
      <c r="M802" s="19"/>
      <c r="N802" s="131"/>
      <c r="O802" s="30"/>
      <c r="P802" s="29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135"/>
      <c r="M803" s="19"/>
      <c r="N803" s="131"/>
      <c r="O803" s="30"/>
      <c r="P803" s="29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135"/>
      <c r="M804" s="19"/>
      <c r="N804" s="131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135"/>
      <c r="M805" s="19"/>
      <c r="N805" s="131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135"/>
      <c r="M806" s="19"/>
      <c r="N806" s="131"/>
      <c r="O806" s="30"/>
      <c r="P806" s="29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135"/>
      <c r="M807" s="19"/>
      <c r="N807" s="131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135"/>
      <c r="M808" s="19"/>
      <c r="N808" s="131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135"/>
      <c r="M809" s="19"/>
      <c r="N809" s="131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135"/>
      <c r="M810" s="19"/>
      <c r="N810" s="131"/>
      <c r="O810" s="30"/>
      <c r="P810" s="29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135"/>
      <c r="M811" s="19"/>
      <c r="N811" s="131"/>
      <c r="O811" s="30"/>
      <c r="P811" s="29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135"/>
      <c r="M812" s="19"/>
      <c r="N812" s="131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135"/>
      <c r="M813" s="19"/>
      <c r="N813" s="131"/>
      <c r="O813" s="30"/>
      <c r="P813" s="29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135"/>
      <c r="M814" s="19"/>
      <c r="N814" s="131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135"/>
      <c r="M815" s="19"/>
      <c r="N815" s="131"/>
      <c r="O815" s="30"/>
      <c r="P815" s="29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135"/>
      <c r="M816" s="19"/>
      <c r="N816" s="131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135"/>
      <c r="M817" s="19"/>
      <c r="N817" s="131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135"/>
      <c r="M818" s="19"/>
      <c r="N818" s="131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135"/>
      <c r="M819" s="19"/>
      <c r="N819" s="131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135"/>
      <c r="M820" s="19"/>
      <c r="N820" s="131"/>
      <c r="O820" s="30"/>
      <c r="P820" s="29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135"/>
      <c r="M821" s="19"/>
      <c r="N821" s="131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135"/>
      <c r="M822" s="19"/>
      <c r="N822" s="131"/>
      <c r="O822" s="30"/>
      <c r="P822" s="29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135"/>
      <c r="M823" s="19"/>
      <c r="N823" s="131"/>
      <c r="O823" s="30"/>
      <c r="P823" s="29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135"/>
      <c r="M824" s="19"/>
      <c r="N824" s="131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135"/>
      <c r="M825" s="19"/>
      <c r="N825" s="131"/>
      <c r="O825" s="30"/>
      <c r="P825" s="29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135"/>
      <c r="M826" s="19"/>
      <c r="N826" s="131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135"/>
      <c r="M827" s="19"/>
      <c r="N827" s="131"/>
      <c r="O827" s="30"/>
      <c r="P827" s="29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135"/>
      <c r="M828" s="19"/>
      <c r="N828" s="131"/>
      <c r="O828" s="30"/>
      <c r="P828" s="29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135"/>
      <c r="M829" s="19"/>
      <c r="N829" s="131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135"/>
      <c r="M830" s="19"/>
      <c r="N830" s="131"/>
      <c r="O830" s="30"/>
      <c r="P830" s="29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135"/>
      <c r="M831" s="19"/>
      <c r="N831" s="131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135"/>
      <c r="M832" s="19"/>
      <c r="N832" s="131"/>
      <c r="O832" s="30"/>
      <c r="P832" s="29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135"/>
      <c r="M833" s="19"/>
      <c r="N833" s="131"/>
      <c r="O833" s="30"/>
      <c r="P833" s="29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135"/>
      <c r="M834" s="19"/>
      <c r="N834" s="131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135"/>
      <c r="M835" s="19"/>
      <c r="N835" s="131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135"/>
      <c r="M836" s="19"/>
      <c r="N836" s="131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135"/>
      <c r="M837" s="19"/>
      <c r="N837" s="131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135"/>
      <c r="M838" s="19"/>
      <c r="N838" s="131"/>
      <c r="O838" s="30"/>
      <c r="P838" s="29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135"/>
      <c r="M839" s="19"/>
      <c r="N839" s="131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135"/>
      <c r="M840" s="19"/>
      <c r="N840" s="131"/>
      <c r="O840" s="30"/>
      <c r="P840" s="29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135"/>
      <c r="M841" s="19"/>
      <c r="N841" s="131"/>
      <c r="O841" s="30"/>
      <c r="P841" s="29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135"/>
      <c r="M842" s="19"/>
      <c r="N842" s="131"/>
      <c r="O842" s="30"/>
      <c r="P842" s="29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135"/>
      <c r="M843" s="19"/>
      <c r="N843" s="131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135"/>
      <c r="M844" s="19"/>
      <c r="N844" s="131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135"/>
      <c r="M845" s="19"/>
      <c r="N845" s="131"/>
      <c r="O845" s="30"/>
      <c r="P845" s="29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135"/>
      <c r="M846" s="19"/>
      <c r="N846" s="131"/>
      <c r="O846" s="30"/>
      <c r="P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135"/>
      <c r="M847" s="19"/>
      <c r="N847" s="131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135"/>
      <c r="M848" s="19"/>
      <c r="N848" s="131"/>
      <c r="O848" s="30"/>
      <c r="P848" s="29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135"/>
      <c r="M849" s="19"/>
      <c r="N849" s="131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135"/>
      <c r="M850" s="19"/>
      <c r="N850" s="131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135"/>
      <c r="M851" s="19"/>
      <c r="N851" s="131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135"/>
      <c r="M852" s="19"/>
      <c r="N852" s="131"/>
      <c r="O852" s="30"/>
      <c r="P852" s="29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135"/>
      <c r="M853" s="19"/>
      <c r="N853" s="131"/>
      <c r="O853" s="30"/>
      <c r="P853" s="29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135"/>
      <c r="M854" s="19"/>
      <c r="N854" s="131"/>
      <c r="O854" s="30"/>
      <c r="P854" s="29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135"/>
      <c r="M855" s="19"/>
      <c r="N855" s="131"/>
      <c r="O855" s="30"/>
      <c r="P855" s="29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135"/>
      <c r="M856" s="19"/>
      <c r="N856" s="131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135"/>
      <c r="M857" s="19"/>
      <c r="N857" s="131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135"/>
      <c r="M858" s="19"/>
      <c r="N858" s="131"/>
      <c r="O858" s="30"/>
      <c r="P858" s="29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135"/>
      <c r="M859" s="19"/>
      <c r="N859" s="131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135"/>
      <c r="M860" s="19"/>
      <c r="N860" s="131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135"/>
      <c r="M861" s="19"/>
      <c r="N861" s="131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135"/>
      <c r="M862" s="19"/>
      <c r="N862" s="131"/>
      <c r="O862" s="30"/>
      <c r="P862" s="29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135"/>
      <c r="M863" s="19"/>
      <c r="N863" s="131"/>
      <c r="O863" s="30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135"/>
      <c r="M864" s="19"/>
      <c r="N864" s="131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135"/>
      <c r="M865" s="19"/>
      <c r="N865" s="131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135"/>
      <c r="M866" s="19"/>
      <c r="N866" s="131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135"/>
      <c r="M867" s="19"/>
      <c r="N867" s="131"/>
      <c r="O867" s="30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135"/>
      <c r="M868" s="19"/>
      <c r="N868" s="131"/>
      <c r="O868" s="30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135"/>
      <c r="M869" s="19"/>
      <c r="N869" s="131"/>
      <c r="O869" s="30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135"/>
      <c r="M870" s="19"/>
      <c r="N870" s="131"/>
      <c r="O870" s="30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135"/>
      <c r="M871" s="19"/>
      <c r="N871" s="131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135"/>
      <c r="M872" s="19"/>
      <c r="N872" s="131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135"/>
      <c r="M873" s="19"/>
      <c r="N873" s="131"/>
      <c r="O873" s="30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135"/>
      <c r="M874" s="19"/>
      <c r="N874" s="131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135"/>
      <c r="M875" s="19"/>
      <c r="N875" s="131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135"/>
      <c r="M876" s="19"/>
      <c r="N876" s="131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135"/>
      <c r="M877" s="19"/>
      <c r="N877" s="131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135"/>
      <c r="M878" s="19"/>
      <c r="N878" s="131"/>
      <c r="O878" s="30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135"/>
      <c r="M879" s="19"/>
      <c r="N879" s="131"/>
      <c r="O879" s="30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135"/>
      <c r="M880" s="19"/>
      <c r="N880" s="131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135"/>
      <c r="M881" s="19"/>
      <c r="N881" s="131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135"/>
      <c r="M882" s="19"/>
      <c r="N882" s="131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135"/>
      <c r="M883" s="19"/>
      <c r="N883" s="131"/>
      <c r="O883" s="30"/>
      <c r="P883" s="29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135"/>
      <c r="M884" s="19"/>
      <c r="N884" s="131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135"/>
      <c r="M885" s="19"/>
      <c r="N885" s="131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135"/>
      <c r="M886" s="19"/>
      <c r="N886" s="131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135"/>
      <c r="M887" s="19"/>
      <c r="N887" s="131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135"/>
      <c r="M888" s="19"/>
      <c r="N888" s="131"/>
      <c r="O888" s="30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135"/>
      <c r="M889" s="19"/>
      <c r="N889" s="131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135"/>
      <c r="M890" s="19"/>
      <c r="N890" s="131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135"/>
      <c r="M891" s="19"/>
      <c r="N891" s="131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135"/>
      <c r="M892" s="19"/>
      <c r="N892" s="131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135"/>
      <c r="M893" s="19"/>
      <c r="N893" s="131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135"/>
      <c r="M894" s="19"/>
      <c r="N894" s="131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135"/>
      <c r="M895" s="19"/>
      <c r="N895" s="131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135"/>
      <c r="M896" s="19"/>
      <c r="N896" s="131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135"/>
      <c r="M897" s="19"/>
      <c r="N897" s="131"/>
      <c r="O897" s="30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135"/>
      <c r="M898" s="19"/>
      <c r="N898" s="131"/>
      <c r="O898" s="30"/>
      <c r="P898" s="29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135"/>
      <c r="M899" s="19"/>
      <c r="N899" s="131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135"/>
      <c r="M900" s="19"/>
      <c r="N900" s="131"/>
      <c r="O900" s="30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135"/>
      <c r="M901" s="19"/>
      <c r="N901" s="131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135"/>
      <c r="M902" s="19"/>
      <c r="N902" s="131"/>
      <c r="O902" s="30"/>
      <c r="P902" s="29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135"/>
      <c r="M903" s="19"/>
      <c r="N903" s="131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135"/>
      <c r="M904" s="19"/>
      <c r="N904" s="131"/>
      <c r="O904" s="30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135"/>
      <c r="M905" s="19"/>
      <c r="N905" s="131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135"/>
      <c r="M906" s="19"/>
      <c r="N906" s="131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135"/>
      <c r="M907" s="19"/>
      <c r="N907" s="131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135"/>
      <c r="M908" s="19"/>
      <c r="N908" s="131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135"/>
      <c r="M909" s="19"/>
      <c r="N909" s="131"/>
      <c r="O909" s="30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135"/>
      <c r="M910" s="19"/>
      <c r="N910" s="131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135"/>
      <c r="M911" s="19"/>
      <c r="N911" s="131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135"/>
      <c r="M912" s="19"/>
      <c r="N912" s="131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135"/>
      <c r="M913" s="19"/>
      <c r="N913" s="131"/>
      <c r="O913" s="30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135"/>
      <c r="M914" s="19"/>
      <c r="N914" s="131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135"/>
      <c r="M915" s="19"/>
      <c r="N915" s="131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135"/>
      <c r="M916" s="19"/>
      <c r="N916" s="131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135"/>
      <c r="M917" s="19"/>
      <c r="N917" s="131"/>
      <c r="O917" s="30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135"/>
      <c r="M918" s="19"/>
      <c r="N918" s="131"/>
      <c r="O918" s="30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135"/>
      <c r="M919" s="19"/>
      <c r="N919" s="131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135"/>
      <c r="M920" s="19"/>
      <c r="N920" s="131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135"/>
      <c r="M921" s="19"/>
      <c r="N921" s="131"/>
      <c r="O921" s="30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135"/>
      <c r="M922" s="19"/>
      <c r="N922" s="131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135"/>
      <c r="M923" s="19"/>
      <c r="N923" s="131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135"/>
      <c r="M924" s="19"/>
      <c r="N924" s="131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135"/>
      <c r="M925" s="19"/>
      <c r="N925" s="131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135"/>
      <c r="M926" s="19"/>
      <c r="N926" s="131"/>
      <c r="O926" s="30"/>
      <c r="P926" s="29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135"/>
      <c r="M927" s="19"/>
      <c r="N927" s="131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135"/>
      <c r="M928" s="19"/>
      <c r="N928" s="131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135"/>
      <c r="M929" s="19"/>
      <c r="N929" s="131"/>
      <c r="O929" s="30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135"/>
      <c r="M930" s="19"/>
      <c r="N930" s="131"/>
      <c r="O930" s="30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135"/>
      <c r="M931" s="19"/>
      <c r="N931" s="131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135"/>
      <c r="M932" s="19"/>
      <c r="N932" s="131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135"/>
      <c r="M933" s="19"/>
      <c r="N933" s="131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135"/>
      <c r="M934" s="19"/>
      <c r="N934" s="131"/>
      <c r="O934" s="30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135"/>
      <c r="M935" s="19"/>
      <c r="N935" s="131"/>
      <c r="O935" s="30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135"/>
      <c r="M936" s="19"/>
      <c r="N936" s="131"/>
      <c r="O936" s="30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135"/>
      <c r="M937" s="19"/>
      <c r="N937" s="131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135"/>
      <c r="M938" s="19"/>
      <c r="N938" s="131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135"/>
      <c r="M939" s="19"/>
      <c r="N939" s="131"/>
      <c r="O939" s="30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135"/>
      <c r="M940" s="19"/>
      <c r="N940" s="131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135"/>
      <c r="M941" s="19"/>
      <c r="N941" s="131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135"/>
      <c r="M942" s="19"/>
      <c r="N942" s="131"/>
      <c r="O942" s="30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135"/>
      <c r="M943" s="19"/>
      <c r="N943" s="131"/>
      <c r="O943" s="30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135"/>
      <c r="M944" s="19"/>
      <c r="N944" s="131"/>
      <c r="O944" s="30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135"/>
      <c r="M945" s="19"/>
      <c r="N945" s="131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135"/>
      <c r="M946" s="19"/>
      <c r="N946" s="131"/>
      <c r="O946" s="30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135"/>
      <c r="M947" s="19"/>
      <c r="N947" s="131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135"/>
      <c r="M948" s="19"/>
      <c r="N948" s="131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135"/>
      <c r="M949" s="19"/>
      <c r="N949" s="131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135"/>
      <c r="M950" s="19"/>
      <c r="N950" s="131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135"/>
      <c r="M951" s="19"/>
      <c r="N951" s="131"/>
      <c r="O951" s="30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135"/>
      <c r="M952" s="19"/>
      <c r="N952" s="131"/>
      <c r="O952" s="30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135"/>
      <c r="M953" s="19"/>
      <c r="N953" s="131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135"/>
      <c r="M954" s="19"/>
      <c r="N954" s="131"/>
      <c r="O954" s="30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135"/>
      <c r="M955" s="19"/>
      <c r="N955" s="131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135"/>
      <c r="M956" s="19"/>
      <c r="N956" s="131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135"/>
      <c r="M957" s="19"/>
      <c r="N957" s="131"/>
      <c r="O957" s="30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135"/>
      <c r="M958" s="19"/>
      <c r="N958" s="131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135"/>
      <c r="M959" s="19"/>
      <c r="N959" s="131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135"/>
      <c r="M960" s="19"/>
      <c r="N960" s="131"/>
      <c r="O960" s="30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135"/>
      <c r="M961" s="19"/>
      <c r="N961" s="131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135"/>
      <c r="M962" s="19"/>
      <c r="N962" s="131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135"/>
      <c r="M963" s="19"/>
      <c r="N963" s="131"/>
      <c r="O963" s="30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135"/>
      <c r="M964" s="19"/>
      <c r="N964" s="131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135"/>
      <c r="M965" s="19"/>
      <c r="N965" s="131"/>
      <c r="O965" s="30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135"/>
      <c r="M966" s="19"/>
      <c r="N966" s="131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135"/>
      <c r="M967" s="19"/>
      <c r="N967" s="131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135"/>
      <c r="M968" s="19"/>
      <c r="N968" s="131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135"/>
      <c r="M969" s="19"/>
      <c r="N969" s="131"/>
      <c r="O969" s="30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135"/>
      <c r="M970" s="19"/>
      <c r="N970" s="131"/>
      <c r="O970" s="30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135"/>
      <c r="M971" s="19"/>
      <c r="N971" s="131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135"/>
      <c r="M972" s="19"/>
      <c r="N972" s="131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135"/>
      <c r="M973" s="19"/>
      <c r="N973" s="131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135"/>
      <c r="M974" s="19"/>
      <c r="N974" s="131"/>
      <c r="O974" s="30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135"/>
      <c r="M975" s="19"/>
      <c r="N975" s="131"/>
      <c r="O975" s="30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135"/>
      <c r="M976" s="19"/>
      <c r="N976" s="131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135"/>
      <c r="M977" s="19"/>
      <c r="N977" s="131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135"/>
      <c r="M978" s="19"/>
      <c r="N978" s="131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135"/>
      <c r="M979" s="19"/>
      <c r="N979" s="131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135"/>
      <c r="M980" s="19"/>
      <c r="N980" s="131"/>
      <c r="O980" s="30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135"/>
      <c r="M981" s="19"/>
      <c r="N981" s="131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135"/>
      <c r="M982" s="19"/>
      <c r="N982" s="131"/>
      <c r="O982" s="30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135"/>
      <c r="M983" s="19"/>
      <c r="N983" s="131"/>
      <c r="O983" s="30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135"/>
      <c r="M984" s="19"/>
      <c r="N984" s="131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135"/>
      <c r="M985" s="19"/>
      <c r="N985" s="131"/>
      <c r="O985" s="30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135"/>
      <c r="M986" s="19"/>
      <c r="N986" s="131"/>
      <c r="O986" s="30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135"/>
      <c r="M987" s="19"/>
      <c r="N987" s="131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135"/>
      <c r="M988" s="19"/>
      <c r="N988" s="131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135"/>
      <c r="M989" s="19"/>
      <c r="N989" s="131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135"/>
      <c r="M990" s="19"/>
      <c r="N990" s="131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135"/>
      <c r="M991" s="19"/>
      <c r="N991" s="131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135"/>
      <c r="M992" s="19"/>
      <c r="N992" s="131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135"/>
      <c r="M993" s="19"/>
      <c r="N993" s="131"/>
      <c r="O993" s="30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135"/>
      <c r="M994" s="19"/>
      <c r="N994" s="131"/>
      <c r="O994" s="30"/>
      <c r="P994" s="29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135"/>
      <c r="M995" s="19"/>
      <c r="N995" s="131"/>
      <c r="O995" s="30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135"/>
      <c r="M996" s="19"/>
      <c r="N996" s="131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135"/>
      <c r="M997" s="19"/>
      <c r="N997" s="131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135"/>
      <c r="M998" s="19"/>
      <c r="N998" s="131"/>
      <c r="O998" s="30"/>
      <c r="P998" s="29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135"/>
      <c r="M999" s="19"/>
      <c r="N999" s="131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135"/>
      <c r="M1000" s="19"/>
      <c r="N1000" s="131"/>
      <c r="O1000" s="30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6">
    <mergeCell ref="C1:O1"/>
    <mergeCell ref="G4:N4"/>
    <mergeCell ref="G5:G6"/>
    <mergeCell ref="H5:H6"/>
    <mergeCell ref="I5:K5"/>
    <mergeCell ref="L5:N5"/>
  </mergeCells>
  <conditionalFormatting sqref="G2:N1000">
    <cfRule type="expression" dxfId="3" priority="1">
      <formula>AND(ISODD(ROW()),ROW()&gt;ROW($G$7))</formula>
    </cfRule>
  </conditionalFormatting>
  <dataValidations>
    <dataValidation type="list" allowBlank="1" showErrorMessage="1" sqref="C7">
      <formula1>"1,2月,3月,4,5,6,7,8,9,10,11,12"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20.25"/>
    <col customWidth="1" min="4" max="4" width="4.13"/>
    <col customWidth="1" min="5" max="5" width="2.13"/>
    <col customWidth="1" min="6" max="6" width="3.38"/>
    <col customWidth="1" min="7" max="7" width="4.88"/>
    <col customWidth="1" min="8" max="8" width="12.38"/>
    <col customWidth="1" min="9" max="14" width="13.25"/>
    <col customWidth="1" min="15" max="15" width="3.38"/>
    <col customWidth="1" min="16" max="16" width="4.25"/>
    <col customWidth="1" min="17" max="17" width="32.5"/>
    <col customWidth="1" min="18" max="26" width="6.88"/>
  </cols>
  <sheetData>
    <row r="1" ht="48.75" customHeight="1">
      <c r="A1" s="9"/>
      <c r="B1" s="2"/>
      <c r="C1" s="3" t="s">
        <v>3126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2"/>
      <c r="K2" s="11"/>
      <c r="L2" s="13"/>
      <c r="M2" s="14"/>
      <c r="N2" s="13"/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6.75" customHeight="1">
      <c r="A3" s="9"/>
      <c r="B3" s="8"/>
      <c r="C3" s="8"/>
      <c r="D3" s="8"/>
      <c r="E3" s="9"/>
      <c r="F3" s="8"/>
      <c r="G3" s="8"/>
      <c r="H3" s="15"/>
      <c r="I3" s="16"/>
      <c r="J3" s="17"/>
      <c r="K3" s="16"/>
      <c r="L3" s="18"/>
      <c r="M3" s="19"/>
      <c r="N3" s="1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57.0" customHeight="1">
      <c r="A4" s="20"/>
      <c r="B4" s="21"/>
      <c r="C4" s="22" t="s">
        <v>3127</v>
      </c>
      <c r="D4" s="21"/>
      <c r="E4" s="20"/>
      <c r="F4" s="21"/>
      <c r="G4" s="23" t="s">
        <v>3128</v>
      </c>
      <c r="H4" s="4"/>
      <c r="I4" s="4"/>
      <c r="J4" s="4"/>
      <c r="K4" s="4"/>
      <c r="L4" s="4"/>
      <c r="M4" s="4"/>
      <c r="N4" s="4"/>
      <c r="O4" s="21"/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75" customHeight="1">
      <c r="A5" s="29"/>
      <c r="B5" s="30"/>
      <c r="C5" s="30"/>
      <c r="D5" s="30"/>
      <c r="E5" s="29"/>
      <c r="F5" s="30"/>
      <c r="G5" s="31" t="s">
        <v>5</v>
      </c>
      <c r="H5" s="32" t="s">
        <v>6</v>
      </c>
      <c r="I5" s="33" t="s">
        <v>7</v>
      </c>
      <c r="J5" s="34"/>
      <c r="K5" s="35"/>
      <c r="L5" s="36" t="s">
        <v>8</v>
      </c>
      <c r="M5" s="37"/>
      <c r="N5" s="38"/>
      <c r="O5" s="30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7.75" customHeight="1">
      <c r="A6" s="29"/>
      <c r="B6" s="42"/>
      <c r="C6" s="42" t="s">
        <v>9</v>
      </c>
      <c r="D6" s="42"/>
      <c r="E6" s="29"/>
      <c r="F6" s="30"/>
      <c r="G6" s="43"/>
      <c r="H6" s="44"/>
      <c r="I6" s="45" t="s">
        <v>10</v>
      </c>
      <c r="J6" s="46" t="s">
        <v>11</v>
      </c>
      <c r="K6" s="48" t="s">
        <v>12</v>
      </c>
      <c r="L6" s="49" t="s">
        <v>10</v>
      </c>
      <c r="M6" s="50" t="s">
        <v>11</v>
      </c>
      <c r="N6" s="51" t="s">
        <v>12</v>
      </c>
      <c r="O6" s="30"/>
      <c r="P6" s="29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7.75" customHeight="1">
      <c r="A7" s="29"/>
      <c r="B7" s="30"/>
      <c r="C7" s="308" t="s">
        <v>1484</v>
      </c>
      <c r="D7" s="54" t="s">
        <v>16</v>
      </c>
      <c r="E7" s="29"/>
      <c r="F7" s="30"/>
      <c r="G7" s="66">
        <v>1.0</v>
      </c>
      <c r="H7" s="153">
        <v>45342.0</v>
      </c>
      <c r="I7" s="68" t="s">
        <v>3129</v>
      </c>
      <c r="J7" s="69">
        <v>10000.0</v>
      </c>
      <c r="K7" s="314" t="s">
        <v>3130</v>
      </c>
      <c r="L7" s="315"/>
      <c r="M7" s="90"/>
      <c r="N7" s="131"/>
      <c r="O7" s="30"/>
      <c r="P7" s="29"/>
      <c r="Q7" s="243" t="s">
        <v>3131</v>
      </c>
      <c r="R7" s="30"/>
      <c r="S7" s="30"/>
      <c r="T7" s="30"/>
      <c r="U7" s="30"/>
      <c r="V7" s="30"/>
      <c r="W7" s="30"/>
      <c r="X7" s="30"/>
      <c r="Y7" s="30"/>
      <c r="Z7" s="30"/>
    </row>
    <row r="8" ht="27.75" customHeight="1">
      <c r="A8" s="29"/>
      <c r="B8" s="30"/>
      <c r="C8" s="65" t="s">
        <v>7</v>
      </c>
      <c r="D8" s="30"/>
      <c r="E8" s="29"/>
      <c r="F8" s="30"/>
      <c r="G8" s="66">
        <v>2.0</v>
      </c>
      <c r="H8" s="130">
        <v>45342.0</v>
      </c>
      <c r="I8" s="68" t="s">
        <v>3132</v>
      </c>
      <c r="J8" s="17">
        <v>20000.0</v>
      </c>
      <c r="K8" s="133"/>
      <c r="L8" s="315"/>
      <c r="M8" s="90"/>
      <c r="N8" s="131"/>
      <c r="O8" s="30"/>
      <c r="P8" s="29"/>
      <c r="Q8" s="243"/>
      <c r="R8" s="30"/>
      <c r="S8" s="30"/>
      <c r="T8" s="30"/>
      <c r="U8" s="30"/>
      <c r="V8" s="30"/>
      <c r="W8" s="30"/>
      <c r="X8" s="30"/>
      <c r="Y8" s="30"/>
      <c r="Z8" s="30"/>
    </row>
    <row r="9" ht="27.75" customHeight="1">
      <c r="A9" s="29"/>
      <c r="B9" s="30"/>
      <c r="C9" s="77">
        <f>C21</f>
        <v>246799</v>
      </c>
      <c r="D9" s="30"/>
      <c r="E9" s="29"/>
      <c r="F9" s="30"/>
      <c r="G9" s="66">
        <v>3.0</v>
      </c>
      <c r="H9" s="130">
        <v>45342.0</v>
      </c>
      <c r="I9" s="68" t="s">
        <v>3133</v>
      </c>
      <c r="J9" s="17">
        <v>20000.0</v>
      </c>
      <c r="K9" s="133"/>
      <c r="L9" s="315"/>
      <c r="M9" s="90"/>
      <c r="N9" s="131"/>
      <c r="O9" s="30"/>
      <c r="P9" s="29"/>
      <c r="Q9" s="243"/>
      <c r="R9" s="30"/>
      <c r="S9" s="30"/>
      <c r="T9" s="30"/>
      <c r="U9" s="30"/>
      <c r="V9" s="30"/>
      <c r="W9" s="30"/>
      <c r="X9" s="30"/>
      <c r="Y9" s="30"/>
      <c r="Z9" s="30"/>
    </row>
    <row r="10" ht="27.75" customHeight="1">
      <c r="A10" s="29"/>
      <c r="B10" s="30"/>
      <c r="C10" s="78" t="s">
        <v>8</v>
      </c>
      <c r="D10" s="30"/>
      <c r="E10" s="29"/>
      <c r="F10" s="30"/>
      <c r="G10" s="66">
        <v>4.0</v>
      </c>
      <c r="H10" s="130">
        <v>45342.0</v>
      </c>
      <c r="I10" s="84"/>
      <c r="J10" s="17"/>
      <c r="K10" s="133"/>
      <c r="L10" s="315" t="s">
        <v>2504</v>
      </c>
      <c r="M10" s="90">
        <f>7000+8160</f>
        <v>15160</v>
      </c>
      <c r="N10" s="131"/>
      <c r="O10" s="30"/>
      <c r="P10" s="29"/>
      <c r="Q10" s="109">
        <f>SUMIF(I:I,"金鑫",J:J)</f>
        <v>16799</v>
      </c>
      <c r="R10" s="26" t="s">
        <v>3072</v>
      </c>
      <c r="S10" s="30"/>
      <c r="T10" s="30"/>
      <c r="U10" s="30"/>
      <c r="V10" s="30"/>
      <c r="W10" s="30"/>
      <c r="X10" s="30"/>
      <c r="Y10" s="30"/>
      <c r="Z10" s="30"/>
    </row>
    <row r="11" ht="27.75" customHeight="1">
      <c r="A11" s="29"/>
      <c r="B11" s="30"/>
      <c r="C11" s="79">
        <f>C23</f>
        <v>242439.36</v>
      </c>
      <c r="D11" s="30"/>
      <c r="E11" s="29"/>
      <c r="F11" s="30"/>
      <c r="G11" s="66">
        <v>5.0</v>
      </c>
      <c r="H11" s="153">
        <v>45342.0</v>
      </c>
      <c r="I11" s="84"/>
      <c r="J11" s="17"/>
      <c r="K11" s="133"/>
      <c r="L11" s="315" t="s">
        <v>2509</v>
      </c>
      <c r="M11" s="90">
        <v>17.0</v>
      </c>
      <c r="N11" s="131"/>
      <c r="O11" s="30"/>
      <c r="P11" s="29"/>
      <c r="Q11" s="109">
        <f>SUMIF(I:I,"&lt;UNK&gt;",J:J)</f>
        <v>246799</v>
      </c>
      <c r="R11" s="26" t="s">
        <v>3133</v>
      </c>
      <c r="S11" s="30"/>
      <c r="T11" s="30"/>
      <c r="U11" s="30"/>
      <c r="V11" s="243">
        <v>17.0</v>
      </c>
      <c r="W11" s="30"/>
      <c r="X11" s="30"/>
      <c r="Y11" s="30"/>
      <c r="Z11" s="30"/>
    </row>
    <row r="12" ht="27.75" customHeight="1">
      <c r="A12" s="29"/>
      <c r="B12" s="30"/>
      <c r="C12" s="81" t="s">
        <v>32</v>
      </c>
      <c r="D12" s="30"/>
      <c r="E12" s="29"/>
      <c r="F12" s="30"/>
      <c r="G12" s="66">
        <v>6.0</v>
      </c>
      <c r="H12" s="153">
        <v>45343.0</v>
      </c>
      <c r="I12" s="84"/>
      <c r="J12" s="17"/>
      <c r="K12" s="133"/>
      <c r="L12" s="315" t="s">
        <v>453</v>
      </c>
      <c r="M12" s="90">
        <f>125+30</f>
        <v>155</v>
      </c>
      <c r="N12" s="131"/>
      <c r="O12" s="30"/>
      <c r="P12" s="29"/>
      <c r="Q12" s="30"/>
      <c r="R12" s="30"/>
      <c r="S12" s="30"/>
      <c r="T12" s="30"/>
      <c r="U12" s="30"/>
      <c r="V12" s="243">
        <v>3.48</v>
      </c>
      <c r="W12" s="30"/>
      <c r="X12" s="30"/>
      <c r="Y12" s="30"/>
      <c r="Z12" s="30"/>
    </row>
    <row r="13" ht="27.75" customHeight="1">
      <c r="A13" s="29"/>
      <c r="B13" s="30"/>
      <c r="C13" s="82">
        <f>C9-C11</f>
        <v>4359.64</v>
      </c>
      <c r="D13" s="30"/>
      <c r="E13" s="29"/>
      <c r="F13" s="30"/>
      <c r="G13" s="66">
        <v>7.0</v>
      </c>
      <c r="H13" s="153">
        <v>45343.0</v>
      </c>
      <c r="I13" s="84"/>
      <c r="J13" s="17"/>
      <c r="K13" s="133"/>
      <c r="L13" s="315" t="s">
        <v>2504</v>
      </c>
      <c r="M13" s="90">
        <v>3000.0</v>
      </c>
      <c r="N13" s="131"/>
      <c r="O13" s="30"/>
      <c r="P13" s="29"/>
      <c r="Q13" s="243" t="s">
        <v>0</v>
      </c>
      <c r="R13" s="30"/>
      <c r="S13" s="30"/>
      <c r="T13" s="30"/>
      <c r="U13" s="30"/>
      <c r="V13" s="243">
        <v>5.0</v>
      </c>
      <c r="W13" s="30"/>
      <c r="X13" s="30"/>
      <c r="Y13" s="30"/>
      <c r="Z13" s="30"/>
    </row>
    <row r="14" ht="27.75" customHeight="1">
      <c r="A14" s="29"/>
      <c r="B14" s="30"/>
      <c r="C14" s="83"/>
      <c r="D14" s="30"/>
      <c r="E14" s="29"/>
      <c r="F14" s="30"/>
      <c r="G14" s="66">
        <v>8.0</v>
      </c>
      <c r="H14" s="153">
        <v>45343.0</v>
      </c>
      <c r="I14" s="84"/>
      <c r="J14" s="17"/>
      <c r="K14" s="133"/>
      <c r="L14" s="315" t="s">
        <v>2504</v>
      </c>
      <c r="M14" s="19">
        <f>8160+3000</f>
        <v>11160</v>
      </c>
      <c r="N14" s="131"/>
      <c r="O14" s="30"/>
      <c r="P14" s="29"/>
      <c r="Q14" s="30"/>
      <c r="R14" s="30"/>
      <c r="S14" s="30"/>
      <c r="T14" s="30"/>
      <c r="U14" s="30"/>
      <c r="V14" s="243">
        <v>17.5</v>
      </c>
      <c r="W14" s="30"/>
      <c r="X14" s="30"/>
      <c r="Y14" s="30"/>
      <c r="Z14" s="30"/>
    </row>
    <row r="15" ht="27.75" customHeight="1">
      <c r="A15" s="29"/>
      <c r="B15" s="42"/>
      <c r="C15" s="42" t="s">
        <v>40</v>
      </c>
      <c r="D15" s="42"/>
      <c r="E15" s="29"/>
      <c r="F15" s="30"/>
      <c r="G15" s="66">
        <v>9.0</v>
      </c>
      <c r="H15" s="153">
        <v>45343.0</v>
      </c>
      <c r="I15" s="84"/>
      <c r="J15" s="17"/>
      <c r="K15" s="133"/>
      <c r="L15" s="315" t="s">
        <v>2504</v>
      </c>
      <c r="M15" s="90">
        <v>3000.0</v>
      </c>
      <c r="N15" s="131"/>
      <c r="O15" s="30"/>
      <c r="P15" s="29"/>
      <c r="Q15" s="30"/>
      <c r="R15" s="30"/>
      <c r="S15" s="30"/>
      <c r="T15" s="30"/>
      <c r="U15" s="30"/>
      <c r="V15" s="243">
        <v>11.0</v>
      </c>
      <c r="W15" s="30"/>
      <c r="X15" s="30"/>
      <c r="Y15" s="30"/>
      <c r="Z15" s="30"/>
    </row>
    <row r="16" ht="27.75" customHeight="1">
      <c r="A16" s="29"/>
      <c r="B16" s="30"/>
      <c r="C16" s="89" t="s">
        <v>44</v>
      </c>
      <c r="D16" s="30"/>
      <c r="E16" s="29"/>
      <c r="F16" s="30"/>
      <c r="G16" s="66">
        <v>10.0</v>
      </c>
      <c r="H16" s="153">
        <v>45344.0</v>
      </c>
      <c r="I16" s="84"/>
      <c r="J16" s="17"/>
      <c r="K16" s="133"/>
      <c r="L16" s="315" t="s">
        <v>3134</v>
      </c>
      <c r="M16" s="90">
        <v>3.48</v>
      </c>
      <c r="N16" s="131"/>
      <c r="O16" s="30"/>
      <c r="P16" s="29"/>
      <c r="Q16" s="30"/>
      <c r="R16" s="30"/>
      <c r="S16" s="30"/>
      <c r="T16" s="30"/>
      <c r="U16" s="30"/>
      <c r="V16" s="243">
        <v>20.0</v>
      </c>
      <c r="W16" s="30"/>
      <c r="X16" s="30"/>
      <c r="Y16" s="30"/>
      <c r="Z16" s="30"/>
    </row>
    <row r="17" ht="27.75" customHeight="1">
      <c r="A17" s="29"/>
      <c r="B17" s="30"/>
      <c r="C17" s="91">
        <v>45292.0</v>
      </c>
      <c r="D17" s="30"/>
      <c r="E17" s="29"/>
      <c r="F17" s="30"/>
      <c r="G17" s="66">
        <v>11.0</v>
      </c>
      <c r="H17" s="153">
        <v>45344.0</v>
      </c>
      <c r="I17" s="84"/>
      <c r="J17" s="17"/>
      <c r="K17" s="133"/>
      <c r="L17" s="315" t="s">
        <v>3074</v>
      </c>
      <c r="M17" s="90">
        <v>428.6</v>
      </c>
      <c r="N17" s="131"/>
      <c r="O17" s="30"/>
      <c r="P17" s="29"/>
      <c r="Q17" s="30"/>
      <c r="R17" s="30"/>
      <c r="S17" s="30"/>
      <c r="T17" s="30"/>
      <c r="U17" s="30"/>
      <c r="V17" s="243">
        <v>3.48</v>
      </c>
      <c r="W17" s="30"/>
      <c r="X17" s="30"/>
      <c r="Y17" s="30"/>
      <c r="Z17" s="30"/>
    </row>
    <row r="18" ht="27.75" customHeight="1">
      <c r="A18" s="29"/>
      <c r="B18" s="30"/>
      <c r="C18" s="89" t="s">
        <v>51</v>
      </c>
      <c r="D18" s="30"/>
      <c r="E18" s="29"/>
      <c r="F18" s="30"/>
      <c r="G18" s="66">
        <v>12.0</v>
      </c>
      <c r="H18" s="153">
        <v>45344.0</v>
      </c>
      <c r="I18" s="84"/>
      <c r="J18" s="17"/>
      <c r="K18" s="133"/>
      <c r="L18" s="315" t="s">
        <v>2504</v>
      </c>
      <c r="M18" s="90">
        <v>3000.0</v>
      </c>
      <c r="N18" s="131"/>
      <c r="O18" s="30"/>
      <c r="P18" s="29"/>
      <c r="Q18" s="30"/>
      <c r="R18" s="30"/>
      <c r="S18" s="30"/>
      <c r="T18" s="30"/>
      <c r="U18" s="30"/>
      <c r="V18" s="243">
        <v>3.48</v>
      </c>
      <c r="W18" s="30"/>
      <c r="X18" s="30"/>
      <c r="Y18" s="30"/>
      <c r="Z18" s="30"/>
    </row>
    <row r="19" ht="27.75" customHeight="1">
      <c r="A19" s="29"/>
      <c r="B19" s="30"/>
      <c r="C19" s="91">
        <v>72805.0</v>
      </c>
      <c r="D19" s="30"/>
      <c r="E19" s="29"/>
      <c r="F19" s="30"/>
      <c r="G19" s="66">
        <v>13.0</v>
      </c>
      <c r="H19" s="153">
        <v>45344.0</v>
      </c>
      <c r="I19" s="84"/>
      <c r="J19" s="17"/>
      <c r="K19" s="133"/>
      <c r="L19" s="315" t="s">
        <v>2500</v>
      </c>
      <c r="M19" s="90">
        <v>5.0</v>
      </c>
      <c r="N19" s="131"/>
      <c r="O19" s="30"/>
      <c r="P19" s="29"/>
      <c r="Q19" s="30"/>
      <c r="R19" s="30"/>
      <c r="S19" s="30"/>
      <c r="T19" s="30"/>
      <c r="U19" s="30"/>
      <c r="V19" s="243">
        <v>20.0</v>
      </c>
      <c r="W19" s="30"/>
      <c r="X19" s="30"/>
      <c r="Y19" s="30"/>
      <c r="Z19" s="30"/>
    </row>
    <row r="20" ht="27.75" customHeight="1">
      <c r="A20" s="29"/>
      <c r="B20" s="30"/>
      <c r="C20" s="65" t="s">
        <v>7</v>
      </c>
      <c r="D20" s="30"/>
      <c r="E20" s="29"/>
      <c r="F20" s="30"/>
      <c r="G20" s="66">
        <v>14.0</v>
      </c>
      <c r="H20" s="153">
        <v>45344.0</v>
      </c>
      <c r="I20" s="84"/>
      <c r="J20" s="17"/>
      <c r="K20" s="133"/>
      <c r="L20" s="315" t="s">
        <v>2504</v>
      </c>
      <c r="M20" s="90">
        <v>5000.0</v>
      </c>
      <c r="N20" s="131"/>
      <c r="O20" s="30"/>
      <c r="P20" s="29"/>
      <c r="Q20" s="30"/>
      <c r="R20" s="30"/>
      <c r="S20" s="30"/>
      <c r="T20" s="30"/>
      <c r="U20" s="30"/>
      <c r="V20" s="30">
        <f>SUM(V11:V19)</f>
        <v>100.94</v>
      </c>
      <c r="W20" s="30"/>
      <c r="X20" s="30"/>
      <c r="Y20" s="30"/>
      <c r="Z20" s="30"/>
    </row>
    <row r="21" ht="27.75" customHeight="1">
      <c r="A21" s="29"/>
      <c r="B21" s="30"/>
      <c r="C21" s="77">
        <f>SUMIFS(J:J,H:H,"&gt;="&amp;$C$17,H:H,"&lt;="&amp;$C$19)</f>
        <v>246799</v>
      </c>
      <c r="D21" s="30"/>
      <c r="E21" s="29"/>
      <c r="F21" s="30"/>
      <c r="G21" s="66">
        <v>15.0</v>
      </c>
      <c r="H21" s="153">
        <v>45344.0</v>
      </c>
      <c r="I21" s="84"/>
      <c r="J21" s="17"/>
      <c r="K21" s="133"/>
      <c r="L21" s="315" t="s">
        <v>2504</v>
      </c>
      <c r="M21" s="90">
        <v>8160.0</v>
      </c>
      <c r="N21" s="131"/>
      <c r="O21" s="30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7.75" customHeight="1">
      <c r="A22" s="29"/>
      <c r="B22" s="30"/>
      <c r="C22" s="78" t="s">
        <v>8</v>
      </c>
      <c r="D22" s="30"/>
      <c r="E22" s="29"/>
      <c r="F22" s="30"/>
      <c r="G22" s="66">
        <v>16.0</v>
      </c>
      <c r="H22" s="153">
        <v>45345.0</v>
      </c>
      <c r="I22" s="84"/>
      <c r="J22" s="17"/>
      <c r="K22" s="133"/>
      <c r="L22" s="315" t="s">
        <v>2504</v>
      </c>
      <c r="M22" s="90">
        <v>3001.0</v>
      </c>
      <c r="N22" s="131"/>
      <c r="O22" s="30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7.75" customHeight="1">
      <c r="A23" s="29"/>
      <c r="B23" s="30"/>
      <c r="C23" s="79">
        <f>SUMIFS(M:M,H:H,"&gt;="&amp;$C$17,H:H,"&lt;="&amp;$C$19)</f>
        <v>242439.36</v>
      </c>
      <c r="D23" s="30"/>
      <c r="E23" s="29"/>
      <c r="F23" s="30"/>
      <c r="G23" s="66">
        <v>17.0</v>
      </c>
      <c r="H23" s="153">
        <v>45345.0</v>
      </c>
      <c r="I23" s="68" t="s">
        <v>3132</v>
      </c>
      <c r="J23" s="69">
        <v>20000.0</v>
      </c>
      <c r="K23" s="133"/>
      <c r="L23" s="315"/>
      <c r="M23" s="19"/>
      <c r="N23" s="131"/>
      <c r="O23" s="30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7.75" customHeight="1">
      <c r="A24" s="29"/>
      <c r="B24" s="30"/>
      <c r="C24" s="81" t="s">
        <v>32</v>
      </c>
      <c r="D24" s="30"/>
      <c r="E24" s="29"/>
      <c r="F24" s="30"/>
      <c r="G24" s="66">
        <v>18.0</v>
      </c>
      <c r="H24" s="153">
        <v>45345.0</v>
      </c>
      <c r="I24" s="68" t="s">
        <v>3133</v>
      </c>
      <c r="J24" s="69">
        <v>20000.0</v>
      </c>
      <c r="K24" s="133"/>
      <c r="L24" s="135"/>
      <c r="M24" s="19"/>
      <c r="N24" s="131"/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29"/>
      <c r="B25" s="30"/>
      <c r="C25" s="82">
        <f>C21-C23</f>
        <v>4359.64</v>
      </c>
      <c r="D25" s="30"/>
      <c r="E25" s="29"/>
      <c r="F25" s="30"/>
      <c r="G25" s="66">
        <v>19.0</v>
      </c>
      <c r="H25" s="153">
        <v>45345.0</v>
      </c>
      <c r="I25" s="84"/>
      <c r="J25" s="17"/>
      <c r="K25" s="133"/>
      <c r="L25" s="315" t="s">
        <v>2504</v>
      </c>
      <c r="M25" s="90">
        <v>5000.0</v>
      </c>
      <c r="N25" s="131"/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29"/>
      <c r="B26" s="30"/>
      <c r="C26" s="30"/>
      <c r="D26" s="30"/>
      <c r="E26" s="29"/>
      <c r="F26" s="30"/>
      <c r="G26" s="66">
        <v>20.0</v>
      </c>
      <c r="H26" s="153">
        <v>45345.0</v>
      </c>
      <c r="I26" s="84"/>
      <c r="J26" s="17"/>
      <c r="K26" s="133"/>
      <c r="L26" s="315" t="s">
        <v>211</v>
      </c>
      <c r="M26" s="90">
        <v>200.0</v>
      </c>
      <c r="N26" s="131"/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7.75" customHeight="1">
      <c r="A27" s="29"/>
      <c r="B27" s="30"/>
      <c r="C27" s="30"/>
      <c r="D27" s="30"/>
      <c r="E27" s="29"/>
      <c r="F27" s="30"/>
      <c r="G27" s="66">
        <v>21.0</v>
      </c>
      <c r="H27" s="153">
        <v>45345.0</v>
      </c>
      <c r="I27" s="84"/>
      <c r="J27" s="17"/>
      <c r="K27" s="133"/>
      <c r="L27" s="315" t="s">
        <v>2504</v>
      </c>
      <c r="M27" s="90">
        <v>8160.0</v>
      </c>
      <c r="N27" s="131"/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7.75" customHeight="1">
      <c r="A28" s="29"/>
      <c r="B28" s="29"/>
      <c r="C28" s="29"/>
      <c r="D28" s="29"/>
      <c r="E28" s="29"/>
      <c r="F28" s="30"/>
      <c r="G28" s="66">
        <v>22.0</v>
      </c>
      <c r="H28" s="153">
        <v>45345.0</v>
      </c>
      <c r="I28" s="84"/>
      <c r="J28" s="17"/>
      <c r="K28" s="133"/>
      <c r="L28" s="315" t="s">
        <v>2504</v>
      </c>
      <c r="M28" s="90">
        <v>5000.0</v>
      </c>
      <c r="N28" s="131"/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7.75" customHeight="1">
      <c r="A29" s="29"/>
      <c r="B29" s="29"/>
      <c r="C29" s="29"/>
      <c r="D29" s="29"/>
      <c r="E29" s="29"/>
      <c r="F29" s="30"/>
      <c r="G29" s="66">
        <v>23.0</v>
      </c>
      <c r="H29" s="153">
        <v>45345.0</v>
      </c>
      <c r="I29" s="84"/>
      <c r="J29" s="17"/>
      <c r="K29" s="133"/>
      <c r="L29" s="315" t="s">
        <v>2504</v>
      </c>
      <c r="M29" s="90">
        <v>8160.0</v>
      </c>
      <c r="N29" s="131"/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7.75" customHeight="1">
      <c r="A30" s="29"/>
      <c r="B30" s="29"/>
      <c r="C30" s="29"/>
      <c r="D30" s="29"/>
      <c r="E30" s="29"/>
      <c r="F30" s="30"/>
      <c r="G30" s="66">
        <v>24.0</v>
      </c>
      <c r="H30" s="153">
        <v>45345.0</v>
      </c>
      <c r="I30" s="84"/>
      <c r="J30" s="17"/>
      <c r="K30" s="133"/>
      <c r="L30" s="315" t="s">
        <v>2504</v>
      </c>
      <c r="M30" s="90">
        <v>5000.0</v>
      </c>
      <c r="N30" s="131"/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7.75" customHeight="1">
      <c r="A31" s="29"/>
      <c r="B31" s="29"/>
      <c r="C31" s="29"/>
      <c r="D31" s="29"/>
      <c r="E31" s="29"/>
      <c r="F31" s="30"/>
      <c r="G31" s="66">
        <v>25.0</v>
      </c>
      <c r="H31" s="153">
        <v>45345.0</v>
      </c>
      <c r="I31" s="84"/>
      <c r="J31" s="17"/>
      <c r="K31" s="133"/>
      <c r="L31" s="315" t="s">
        <v>3074</v>
      </c>
      <c r="M31" s="90">
        <v>542.9</v>
      </c>
      <c r="N31" s="316">
        <v>10.0</v>
      </c>
      <c r="O31" s="30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7.75" customHeight="1">
      <c r="A32" s="29"/>
      <c r="B32" s="29"/>
      <c r="C32" s="29"/>
      <c r="D32" s="29"/>
      <c r="E32" s="29"/>
      <c r="F32" s="30"/>
      <c r="G32" s="66">
        <v>26.0</v>
      </c>
      <c r="H32" s="153">
        <v>45345.0</v>
      </c>
      <c r="I32" s="84"/>
      <c r="J32" s="17"/>
      <c r="K32" s="133"/>
      <c r="L32" s="315" t="s">
        <v>2513</v>
      </c>
      <c r="M32" s="90">
        <v>17.5</v>
      </c>
      <c r="N32" s="316">
        <v>5.0</v>
      </c>
      <c r="O32" s="30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7.75" customHeight="1">
      <c r="A33" s="29"/>
      <c r="B33" s="29"/>
      <c r="C33" s="29"/>
      <c r="D33" s="29"/>
      <c r="E33" s="29"/>
      <c r="F33" s="30"/>
      <c r="G33" s="66">
        <v>27.0</v>
      </c>
      <c r="H33" s="153">
        <v>45345.0</v>
      </c>
      <c r="I33" s="68" t="s">
        <v>3129</v>
      </c>
      <c r="J33" s="69">
        <v>6799.0</v>
      </c>
      <c r="K33" s="133"/>
      <c r="L33" s="135"/>
      <c r="M33" s="19"/>
      <c r="N33" s="131"/>
      <c r="O33" s="30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7.75" customHeight="1">
      <c r="A34" s="29"/>
      <c r="B34" s="29"/>
      <c r="C34" s="29"/>
      <c r="D34" s="29"/>
      <c r="E34" s="29"/>
      <c r="F34" s="30"/>
      <c r="G34" s="66">
        <v>28.0</v>
      </c>
      <c r="H34" s="153">
        <v>45346.0</v>
      </c>
      <c r="I34" s="84"/>
      <c r="J34" s="17"/>
      <c r="K34" s="133"/>
      <c r="L34" s="315" t="s">
        <v>2513</v>
      </c>
      <c r="M34" s="90">
        <v>11.0</v>
      </c>
      <c r="N34" s="316">
        <v>3.0</v>
      </c>
      <c r="O34" s="30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7.75" customHeight="1">
      <c r="A35" s="29"/>
      <c r="B35" s="29"/>
      <c r="C35" s="29"/>
      <c r="D35" s="29"/>
      <c r="E35" s="29"/>
      <c r="F35" s="30"/>
      <c r="G35" s="66">
        <v>29.0</v>
      </c>
      <c r="H35" s="153">
        <v>45346.0</v>
      </c>
      <c r="I35" s="84"/>
      <c r="J35" s="17"/>
      <c r="K35" s="133"/>
      <c r="L35" s="315" t="s">
        <v>2504</v>
      </c>
      <c r="M35" s="90">
        <v>3060.0</v>
      </c>
      <c r="N35" s="131"/>
      <c r="O35" s="30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27.75" customHeight="1">
      <c r="A36" s="29"/>
      <c r="B36" s="29"/>
      <c r="C36" s="29"/>
      <c r="D36" s="29"/>
      <c r="E36" s="29"/>
      <c r="F36" s="30"/>
      <c r="G36" s="66">
        <v>30.0</v>
      </c>
      <c r="H36" s="153">
        <v>45346.0</v>
      </c>
      <c r="I36" s="84"/>
      <c r="J36" s="17"/>
      <c r="K36" s="133"/>
      <c r="L36" s="315" t="s">
        <v>2504</v>
      </c>
      <c r="M36" s="90">
        <v>6120.0</v>
      </c>
      <c r="N36" s="131"/>
      <c r="O36" s="30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7.75" customHeight="1">
      <c r="A37" s="29"/>
      <c r="B37" s="29"/>
      <c r="C37" s="29"/>
      <c r="D37" s="29"/>
      <c r="E37" s="29"/>
      <c r="F37" s="30"/>
      <c r="G37" s="66">
        <v>31.0</v>
      </c>
      <c r="H37" s="153">
        <v>45346.0</v>
      </c>
      <c r="I37" s="84"/>
      <c r="J37" s="17"/>
      <c r="K37" s="133"/>
      <c r="L37" s="315" t="s">
        <v>2504</v>
      </c>
      <c r="M37" s="90">
        <v>5000.0</v>
      </c>
      <c r="N37" s="131"/>
      <c r="O37" s="30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7.75" customHeight="1">
      <c r="A38" s="29"/>
      <c r="B38" s="29"/>
      <c r="C38" s="29"/>
      <c r="D38" s="29"/>
      <c r="E38" s="29"/>
      <c r="F38" s="30"/>
      <c r="G38" s="66">
        <v>32.0</v>
      </c>
      <c r="H38" s="153">
        <v>45346.0</v>
      </c>
      <c r="I38" s="68" t="s">
        <v>3133</v>
      </c>
      <c r="J38" s="69">
        <v>20000.0</v>
      </c>
      <c r="K38" s="133"/>
      <c r="L38" s="135"/>
      <c r="M38" s="19"/>
      <c r="N38" s="131"/>
      <c r="O38" s="30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7.75" customHeight="1">
      <c r="A39" s="29"/>
      <c r="B39" s="29"/>
      <c r="C39" s="29"/>
      <c r="D39" s="29"/>
      <c r="E39" s="29"/>
      <c r="F39" s="30"/>
      <c r="G39" s="66">
        <v>33.0</v>
      </c>
      <c r="H39" s="153">
        <v>45346.0</v>
      </c>
      <c r="I39" s="84"/>
      <c r="J39" s="17"/>
      <c r="K39" s="133"/>
      <c r="L39" s="315" t="s">
        <v>2504</v>
      </c>
      <c r="M39" s="90">
        <v>8160.0</v>
      </c>
      <c r="N39" s="131"/>
      <c r="O39" s="30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7.75" customHeight="1">
      <c r="A40" s="29"/>
      <c r="B40" s="29"/>
      <c r="C40" s="29"/>
      <c r="D40" s="29"/>
      <c r="E40" s="29"/>
      <c r="F40" s="30"/>
      <c r="G40" s="66">
        <v>34.0</v>
      </c>
      <c r="H40" s="153">
        <v>45346.0</v>
      </c>
      <c r="I40" s="84"/>
      <c r="J40" s="17"/>
      <c r="K40" s="133"/>
      <c r="L40" s="315" t="s">
        <v>3074</v>
      </c>
      <c r="M40" s="90">
        <v>542.9</v>
      </c>
      <c r="N40" s="316">
        <v>10.0</v>
      </c>
      <c r="O40" s="30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7.75" customHeight="1">
      <c r="A41" s="29"/>
      <c r="B41" s="29"/>
      <c r="C41" s="29"/>
      <c r="D41" s="29"/>
      <c r="E41" s="29"/>
      <c r="F41" s="30"/>
      <c r="G41" s="66">
        <v>35.0</v>
      </c>
      <c r="H41" s="153">
        <v>45346.0</v>
      </c>
      <c r="I41" s="84"/>
      <c r="J41" s="17"/>
      <c r="K41" s="133"/>
      <c r="L41" s="315" t="s">
        <v>2504</v>
      </c>
      <c r="M41" s="90">
        <v>5000.0</v>
      </c>
      <c r="N41" s="131"/>
      <c r="O41" s="30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27.75" customHeight="1">
      <c r="A42" s="29"/>
      <c r="B42" s="29"/>
      <c r="C42" s="29"/>
      <c r="D42" s="29"/>
      <c r="E42" s="29"/>
      <c r="F42" s="30"/>
      <c r="G42" s="66">
        <v>36.0</v>
      </c>
      <c r="H42" s="153">
        <v>45346.0</v>
      </c>
      <c r="I42" s="84"/>
      <c r="J42" s="17"/>
      <c r="K42" s="133"/>
      <c r="L42" s="315" t="s">
        <v>2504</v>
      </c>
      <c r="M42" s="90">
        <v>3060.0</v>
      </c>
      <c r="N42" s="131"/>
      <c r="O42" s="30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75" customHeight="1">
      <c r="A43" s="29"/>
      <c r="B43" s="29"/>
      <c r="C43" s="29"/>
      <c r="D43" s="29"/>
      <c r="E43" s="29"/>
      <c r="F43" s="30"/>
      <c r="G43" s="66">
        <v>37.0</v>
      </c>
      <c r="H43" s="153">
        <v>45346.0</v>
      </c>
      <c r="I43" s="84"/>
      <c r="J43" s="17"/>
      <c r="K43" s="133"/>
      <c r="L43" s="315" t="s">
        <v>2704</v>
      </c>
      <c r="M43" s="90">
        <v>20.0</v>
      </c>
      <c r="N43" s="316">
        <v>4.0</v>
      </c>
      <c r="O43" s="30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7.75" customHeight="1">
      <c r="A44" s="29"/>
      <c r="B44" s="29"/>
      <c r="C44" s="29"/>
      <c r="D44" s="29"/>
      <c r="E44" s="29"/>
      <c r="F44" s="30"/>
      <c r="G44" s="66">
        <v>38.0</v>
      </c>
      <c r="H44" s="153">
        <v>45346.0</v>
      </c>
      <c r="I44" s="84"/>
      <c r="J44" s="17"/>
      <c r="K44" s="133"/>
      <c r="L44" s="315" t="s">
        <v>2504</v>
      </c>
      <c r="M44" s="90">
        <v>4000.0</v>
      </c>
      <c r="N44" s="131"/>
      <c r="O44" s="30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27.75" customHeight="1">
      <c r="A45" s="29"/>
      <c r="B45" s="29"/>
      <c r="C45" s="29"/>
      <c r="D45" s="29"/>
      <c r="E45" s="29"/>
      <c r="F45" s="30"/>
      <c r="G45" s="66">
        <v>39.0</v>
      </c>
      <c r="H45" s="153">
        <v>45346.0</v>
      </c>
      <c r="I45" s="84"/>
      <c r="J45" s="17"/>
      <c r="K45" s="133"/>
      <c r="L45" s="315" t="s">
        <v>3134</v>
      </c>
      <c r="M45" s="90" t="s">
        <v>3135</v>
      </c>
      <c r="N45" s="131"/>
      <c r="O45" s="30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27.75" customHeight="1">
      <c r="A46" s="29"/>
      <c r="B46" s="29"/>
      <c r="C46" s="29"/>
      <c r="D46" s="29"/>
      <c r="E46" s="29"/>
      <c r="F46" s="30"/>
      <c r="G46" s="66">
        <v>40.0</v>
      </c>
      <c r="H46" s="153">
        <v>45347.0</v>
      </c>
      <c r="I46" s="84"/>
      <c r="J46" s="17"/>
      <c r="K46" s="133"/>
      <c r="L46" s="315" t="s">
        <v>2504</v>
      </c>
      <c r="M46" s="90">
        <v>800.0</v>
      </c>
      <c r="N46" s="316" t="s">
        <v>3136</v>
      </c>
      <c r="O46" s="30"/>
      <c r="P46" s="29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27.75" customHeight="1">
      <c r="A47" s="29"/>
      <c r="B47" s="29"/>
      <c r="C47" s="29"/>
      <c r="D47" s="29"/>
      <c r="E47" s="29"/>
      <c r="F47" s="30"/>
      <c r="G47" s="66">
        <v>41.0</v>
      </c>
      <c r="H47" s="153">
        <v>45347.0</v>
      </c>
      <c r="I47" s="68" t="s">
        <v>3132</v>
      </c>
      <c r="J47" s="69">
        <v>20000.0</v>
      </c>
      <c r="K47" s="133"/>
      <c r="L47" s="135"/>
      <c r="M47" s="19"/>
      <c r="N47" s="131"/>
      <c r="O47" s="30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27.75" customHeight="1">
      <c r="A48" s="29"/>
      <c r="B48" s="29"/>
      <c r="C48" s="29"/>
      <c r="D48" s="29"/>
      <c r="E48" s="29"/>
      <c r="F48" s="30"/>
      <c r="G48" s="66">
        <v>42.0</v>
      </c>
      <c r="H48" s="153">
        <v>45347.0</v>
      </c>
      <c r="I48" s="84"/>
      <c r="J48" s="17"/>
      <c r="K48" s="133"/>
      <c r="L48" s="315" t="s">
        <v>2504</v>
      </c>
      <c r="M48" s="90">
        <v>5000.0</v>
      </c>
      <c r="N48" s="316" t="s">
        <v>3136</v>
      </c>
      <c r="O48" s="30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27.75" customHeight="1">
      <c r="A49" s="29"/>
      <c r="B49" s="29"/>
      <c r="C49" s="29"/>
      <c r="D49" s="29"/>
      <c r="E49" s="29"/>
      <c r="F49" s="30"/>
      <c r="G49" s="66">
        <v>43.0</v>
      </c>
      <c r="H49" s="153">
        <v>45347.0</v>
      </c>
      <c r="I49" s="84"/>
      <c r="J49" s="17"/>
      <c r="K49" s="133"/>
      <c r="L49" s="315" t="s">
        <v>2504</v>
      </c>
      <c r="M49" s="90">
        <v>8160.0</v>
      </c>
      <c r="N49" s="131"/>
      <c r="O49" s="30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27.75" customHeight="1">
      <c r="A50" s="29"/>
      <c r="B50" s="29"/>
      <c r="C50" s="29"/>
      <c r="D50" s="29"/>
      <c r="E50" s="29"/>
      <c r="F50" s="30"/>
      <c r="G50" s="66">
        <v>44.0</v>
      </c>
      <c r="H50" s="153">
        <v>45347.0</v>
      </c>
      <c r="I50" s="84"/>
      <c r="J50" s="17"/>
      <c r="K50" s="133"/>
      <c r="L50" s="315" t="s">
        <v>2504</v>
      </c>
      <c r="M50" s="90">
        <v>7000.0</v>
      </c>
      <c r="N50" s="316" t="s">
        <v>3136</v>
      </c>
      <c r="O50" s="30"/>
      <c r="P50" s="29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27.75" customHeight="1">
      <c r="A51" s="29"/>
      <c r="B51" s="29"/>
      <c r="C51" s="29"/>
      <c r="D51" s="29"/>
      <c r="E51" s="29"/>
      <c r="F51" s="30"/>
      <c r="G51" s="66">
        <v>45.0</v>
      </c>
      <c r="H51" s="153">
        <v>45347.0</v>
      </c>
      <c r="I51" s="68" t="s">
        <v>3133</v>
      </c>
      <c r="J51" s="69">
        <v>40000.0</v>
      </c>
      <c r="K51" s="133"/>
      <c r="L51" s="315"/>
      <c r="M51" s="19"/>
      <c r="N51" s="131"/>
      <c r="O51" s="30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27.75" customHeight="1">
      <c r="A52" s="29"/>
      <c r="B52" s="29"/>
      <c r="C52" s="29"/>
      <c r="D52" s="29"/>
      <c r="E52" s="29"/>
      <c r="F52" s="30"/>
      <c r="G52" s="66">
        <v>46.0</v>
      </c>
      <c r="H52" s="153">
        <v>45347.0</v>
      </c>
      <c r="I52" s="84"/>
      <c r="J52" s="17"/>
      <c r="K52" s="133"/>
      <c r="L52" s="315" t="s">
        <v>3074</v>
      </c>
      <c r="M52" s="90">
        <v>542.9</v>
      </c>
      <c r="N52" s="316"/>
      <c r="O52" s="30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27.75" customHeight="1">
      <c r="A53" s="29"/>
      <c r="B53" s="29"/>
      <c r="C53" s="29"/>
      <c r="D53" s="29"/>
      <c r="E53" s="29"/>
      <c r="F53" s="30"/>
      <c r="G53" s="66">
        <v>47.0</v>
      </c>
      <c r="H53" s="153">
        <v>45347.0</v>
      </c>
      <c r="I53" s="84"/>
      <c r="J53" s="17"/>
      <c r="K53" s="133"/>
      <c r="L53" s="315" t="s">
        <v>2504</v>
      </c>
      <c r="M53" s="90">
        <v>3060.0</v>
      </c>
      <c r="N53" s="131"/>
      <c r="O53" s="30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27.75" customHeight="1">
      <c r="A54" s="29"/>
      <c r="B54" s="29"/>
      <c r="C54" s="29"/>
      <c r="D54" s="29"/>
      <c r="E54" s="29"/>
      <c r="F54" s="30"/>
      <c r="G54" s="66">
        <v>48.0</v>
      </c>
      <c r="H54" s="153">
        <v>45347.0</v>
      </c>
      <c r="I54" s="84"/>
      <c r="J54" s="17"/>
      <c r="K54" s="133"/>
      <c r="L54" s="315" t="s">
        <v>2504</v>
      </c>
      <c r="M54" s="90">
        <v>8160.0</v>
      </c>
      <c r="N54" s="131"/>
      <c r="O54" s="30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7.75" customHeight="1">
      <c r="A55" s="29"/>
      <c r="B55" s="29"/>
      <c r="C55" s="29"/>
      <c r="D55" s="29"/>
      <c r="E55" s="29"/>
      <c r="F55" s="30"/>
      <c r="G55" s="66">
        <v>49.0</v>
      </c>
      <c r="H55" s="153">
        <v>45347.0</v>
      </c>
      <c r="I55" s="84"/>
      <c r="J55" s="17"/>
      <c r="K55" s="133"/>
      <c r="L55" s="315" t="s">
        <v>2513</v>
      </c>
      <c r="M55" s="90">
        <v>3.48</v>
      </c>
      <c r="N55" s="131"/>
      <c r="O55" s="30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27.75" customHeight="1">
      <c r="A56" s="29"/>
      <c r="B56" s="29"/>
      <c r="C56" s="29"/>
      <c r="D56" s="29"/>
      <c r="E56" s="29"/>
      <c r="F56" s="30"/>
      <c r="G56" s="66">
        <v>50.0</v>
      </c>
      <c r="H56" s="153">
        <v>45347.0</v>
      </c>
      <c r="I56" s="84"/>
      <c r="J56" s="17"/>
      <c r="K56" s="133"/>
      <c r="L56" s="315" t="s">
        <v>2504</v>
      </c>
      <c r="M56" s="90">
        <v>8160.0</v>
      </c>
      <c r="N56" s="131"/>
      <c r="O56" s="30"/>
      <c r="P56" s="29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27.75" customHeight="1">
      <c r="A57" s="29"/>
      <c r="B57" s="29"/>
      <c r="C57" s="29"/>
      <c r="D57" s="29"/>
      <c r="E57" s="29"/>
      <c r="F57" s="30"/>
      <c r="G57" s="66">
        <v>51.0</v>
      </c>
      <c r="H57" s="153">
        <v>45347.0</v>
      </c>
      <c r="I57" s="84"/>
      <c r="J57" s="17"/>
      <c r="K57" s="133"/>
      <c r="L57" s="315" t="s">
        <v>2504</v>
      </c>
      <c r="M57" s="90">
        <v>3060.0</v>
      </c>
      <c r="N57" s="131"/>
      <c r="O57" s="30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7.75" customHeight="1">
      <c r="A58" s="29"/>
      <c r="B58" s="29"/>
      <c r="C58" s="29"/>
      <c r="D58" s="29"/>
      <c r="E58" s="29"/>
      <c r="F58" s="30"/>
      <c r="G58" s="66">
        <v>52.0</v>
      </c>
      <c r="H58" s="153">
        <v>45347.0</v>
      </c>
      <c r="I58" s="68" t="s">
        <v>3133</v>
      </c>
      <c r="J58" s="69">
        <v>40000.0</v>
      </c>
      <c r="K58" s="133"/>
      <c r="L58" s="315" t="s">
        <v>2504</v>
      </c>
      <c r="M58" s="90">
        <v>8000.0</v>
      </c>
      <c r="N58" s="316" t="s">
        <v>3136</v>
      </c>
      <c r="O58" s="30"/>
      <c r="P58" s="29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7.75" customHeight="1">
      <c r="A59" s="29"/>
      <c r="B59" s="29"/>
      <c r="C59" s="29"/>
      <c r="D59" s="29"/>
      <c r="E59" s="29"/>
      <c r="F59" s="30"/>
      <c r="G59" s="66">
        <v>53.0</v>
      </c>
      <c r="H59" s="153">
        <v>45347.0</v>
      </c>
      <c r="I59" s="84"/>
      <c r="J59" s="17"/>
      <c r="K59" s="133"/>
      <c r="L59" s="315" t="s">
        <v>2504</v>
      </c>
      <c r="M59" s="90">
        <v>10000.0</v>
      </c>
      <c r="N59" s="316" t="s">
        <v>3136</v>
      </c>
      <c r="O59" s="30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7.75" customHeight="1">
      <c r="A60" s="29"/>
      <c r="B60" s="29"/>
      <c r="C60" s="29"/>
      <c r="D60" s="29"/>
      <c r="E60" s="29"/>
      <c r="F60" s="30"/>
      <c r="G60" s="66">
        <v>54.0</v>
      </c>
      <c r="H60" s="153">
        <v>45348.0</v>
      </c>
      <c r="I60" s="84"/>
      <c r="J60" s="17"/>
      <c r="K60" s="133"/>
      <c r="L60" s="315" t="s">
        <v>2504</v>
      </c>
      <c r="M60" s="90">
        <v>10000.0</v>
      </c>
      <c r="N60" s="316" t="s">
        <v>3136</v>
      </c>
      <c r="O60" s="30"/>
      <c r="P60" s="29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7.75" customHeight="1">
      <c r="A61" s="29"/>
      <c r="B61" s="29"/>
      <c r="C61" s="29"/>
      <c r="D61" s="29"/>
      <c r="E61" s="29"/>
      <c r="F61" s="30"/>
      <c r="G61" s="66">
        <v>55.0</v>
      </c>
      <c r="H61" s="153">
        <v>45348.0</v>
      </c>
      <c r="I61" s="84"/>
      <c r="J61" s="17"/>
      <c r="K61" s="133"/>
      <c r="L61" s="315" t="s">
        <v>3074</v>
      </c>
      <c r="M61" s="90">
        <v>1128.6</v>
      </c>
      <c r="N61" s="131"/>
      <c r="O61" s="30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7.75" customHeight="1">
      <c r="A62" s="29"/>
      <c r="B62" s="29"/>
      <c r="C62" s="29"/>
      <c r="D62" s="29"/>
      <c r="E62" s="29"/>
      <c r="F62" s="30"/>
      <c r="G62" s="66">
        <v>56.0</v>
      </c>
      <c r="H62" s="153">
        <v>45348.0</v>
      </c>
      <c r="I62" s="68" t="s">
        <v>3132</v>
      </c>
      <c r="J62" s="69">
        <v>20000.0</v>
      </c>
      <c r="K62" s="133"/>
      <c r="L62" s="135"/>
      <c r="M62" s="19"/>
      <c r="N62" s="131"/>
      <c r="O62" s="30"/>
      <c r="P62" s="29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7.75" customHeight="1">
      <c r="A63" s="29"/>
      <c r="B63" s="29"/>
      <c r="C63" s="29"/>
      <c r="D63" s="29"/>
      <c r="E63" s="29"/>
      <c r="F63" s="30"/>
      <c r="G63" s="66">
        <v>57.0</v>
      </c>
      <c r="H63" s="153">
        <v>45348.0</v>
      </c>
      <c r="I63" s="84"/>
      <c r="J63" s="17"/>
      <c r="K63" s="133"/>
      <c r="L63" s="315" t="s">
        <v>2504</v>
      </c>
      <c r="M63" s="90">
        <v>20000.0</v>
      </c>
      <c r="N63" s="131"/>
      <c r="O63" s="30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7.75" customHeight="1">
      <c r="A64" s="29"/>
      <c r="B64" s="29"/>
      <c r="C64" s="29"/>
      <c r="D64" s="29"/>
      <c r="E64" s="29"/>
      <c r="F64" s="30"/>
      <c r="G64" s="66">
        <v>58.0</v>
      </c>
      <c r="H64" s="153">
        <v>45348.0</v>
      </c>
      <c r="I64" s="84"/>
      <c r="J64" s="17"/>
      <c r="K64" s="133"/>
      <c r="L64" s="315" t="s">
        <v>2504</v>
      </c>
      <c r="M64" s="90">
        <v>10000.0</v>
      </c>
      <c r="N64" s="131"/>
      <c r="O64" s="30"/>
      <c r="P64" s="29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7.75" customHeight="1">
      <c r="A65" s="29"/>
      <c r="B65" s="29"/>
      <c r="C65" s="29"/>
      <c r="D65" s="29"/>
      <c r="E65" s="29"/>
      <c r="F65" s="30"/>
      <c r="G65" s="66">
        <v>59.0</v>
      </c>
      <c r="H65" s="153">
        <v>45349.0</v>
      </c>
      <c r="I65" s="84"/>
      <c r="J65" s="17"/>
      <c r="K65" s="133"/>
      <c r="L65" s="315" t="s">
        <v>2504</v>
      </c>
      <c r="M65" s="90">
        <v>10000.0</v>
      </c>
      <c r="N65" s="131"/>
      <c r="O65" s="30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7.75" customHeight="1">
      <c r="A66" s="29"/>
      <c r="B66" s="29"/>
      <c r="C66" s="29"/>
      <c r="D66" s="29"/>
      <c r="E66" s="29"/>
      <c r="F66" s="30"/>
      <c r="G66" s="66">
        <v>60.0</v>
      </c>
      <c r="H66" s="153">
        <v>45349.0</v>
      </c>
      <c r="I66" s="84"/>
      <c r="J66" s="17"/>
      <c r="K66" s="133"/>
      <c r="L66" s="315" t="s">
        <v>2704</v>
      </c>
      <c r="M66" s="90">
        <v>20.0</v>
      </c>
      <c r="N66" s="316">
        <v>4.0</v>
      </c>
      <c r="O66" s="30"/>
      <c r="P66" s="29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7.75" customHeight="1">
      <c r="A67" s="29"/>
      <c r="B67" s="29"/>
      <c r="C67" s="29"/>
      <c r="D67" s="29"/>
      <c r="E67" s="29"/>
      <c r="F67" s="30"/>
      <c r="G67" s="66">
        <v>61.0</v>
      </c>
      <c r="H67" s="153">
        <v>45350.0</v>
      </c>
      <c r="I67" s="68" t="s">
        <v>3133</v>
      </c>
      <c r="J67" s="69">
        <v>10000.0</v>
      </c>
      <c r="K67" s="133"/>
      <c r="L67" s="135"/>
      <c r="M67" s="19"/>
      <c r="N67" s="131"/>
      <c r="O67" s="30"/>
      <c r="P67" s="29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7.75" customHeight="1">
      <c r="A68" s="29"/>
      <c r="B68" s="29"/>
      <c r="C68" s="29"/>
      <c r="D68" s="29"/>
      <c r="E68" s="29"/>
      <c r="F68" s="30"/>
      <c r="G68" s="66">
        <v>62.0</v>
      </c>
      <c r="H68" s="153">
        <v>45350.0</v>
      </c>
      <c r="I68" s="84"/>
      <c r="J68" s="17"/>
      <c r="K68" s="133"/>
      <c r="L68" s="315" t="s">
        <v>211</v>
      </c>
      <c r="M68" s="90">
        <v>200.0</v>
      </c>
      <c r="N68" s="131"/>
      <c r="O68" s="30"/>
      <c r="P68" s="29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7.75" customHeight="1">
      <c r="A69" s="29"/>
      <c r="B69" s="29"/>
      <c r="C69" s="29"/>
      <c r="D69" s="29"/>
      <c r="E69" s="29"/>
      <c r="F69" s="30"/>
      <c r="G69" s="66">
        <v>63.0</v>
      </c>
      <c r="H69" s="153">
        <v>45350.0</v>
      </c>
      <c r="I69" s="84"/>
      <c r="J69" s="17"/>
      <c r="K69" s="133"/>
      <c r="L69" s="315" t="s">
        <v>2504</v>
      </c>
      <c r="M69" s="90">
        <v>10000.0</v>
      </c>
      <c r="N69" s="131"/>
      <c r="O69" s="30"/>
      <c r="P69" s="29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7.75" customHeight="1">
      <c r="A70" s="29"/>
      <c r="B70" s="29"/>
      <c r="C70" s="29"/>
      <c r="D70" s="29"/>
      <c r="E70" s="29"/>
      <c r="F70" s="30"/>
      <c r="G70" s="66">
        <v>64.0</v>
      </c>
      <c r="H70" s="153"/>
      <c r="I70" s="68"/>
      <c r="J70" s="69"/>
      <c r="K70" s="133"/>
      <c r="L70" s="135"/>
      <c r="M70" s="19"/>
      <c r="N70" s="131"/>
      <c r="O70" s="30"/>
      <c r="P70" s="29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7.75" customHeight="1">
      <c r="A71" s="29"/>
      <c r="B71" s="29"/>
      <c r="C71" s="29"/>
      <c r="D71" s="29"/>
      <c r="E71" s="29"/>
      <c r="F71" s="30"/>
      <c r="G71" s="66">
        <v>65.0</v>
      </c>
      <c r="H71" s="153"/>
      <c r="I71" s="84"/>
      <c r="J71" s="17"/>
      <c r="K71" s="133"/>
      <c r="L71" s="315"/>
      <c r="M71" s="90"/>
      <c r="N71" s="131"/>
      <c r="O71" s="30"/>
      <c r="P71" s="29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27.75" customHeight="1">
      <c r="A72" s="29"/>
      <c r="B72" s="29"/>
      <c r="C72" s="29"/>
      <c r="D72" s="29"/>
      <c r="E72" s="29"/>
      <c r="F72" s="30"/>
      <c r="G72" s="66">
        <v>66.0</v>
      </c>
      <c r="H72" s="153"/>
      <c r="I72" s="68"/>
      <c r="J72" s="69"/>
      <c r="K72" s="133"/>
      <c r="L72" s="315"/>
      <c r="M72" s="90"/>
      <c r="N72" s="131"/>
      <c r="O72" s="30"/>
      <c r="P72" s="29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27.75" customHeight="1">
      <c r="A73" s="29"/>
      <c r="B73" s="29"/>
      <c r="C73" s="29"/>
      <c r="D73" s="29"/>
      <c r="E73" s="29"/>
      <c r="F73" s="30"/>
      <c r="G73" s="66">
        <v>67.0</v>
      </c>
      <c r="H73" s="130"/>
      <c r="I73" s="84"/>
      <c r="J73" s="17"/>
      <c r="K73" s="133"/>
      <c r="L73" s="135"/>
      <c r="M73" s="19"/>
      <c r="N73" s="131"/>
      <c r="O73" s="30"/>
      <c r="P73" s="29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27.75" customHeight="1">
      <c r="A74" s="29"/>
      <c r="B74" s="29"/>
      <c r="C74" s="29"/>
      <c r="D74" s="29"/>
      <c r="E74" s="29"/>
      <c r="F74" s="30"/>
      <c r="G74" s="66">
        <v>68.0</v>
      </c>
      <c r="H74" s="130"/>
      <c r="I74" s="84"/>
      <c r="J74" s="17"/>
      <c r="K74" s="133"/>
      <c r="L74" s="135"/>
      <c r="M74" s="19"/>
      <c r="N74" s="131"/>
      <c r="O74" s="30"/>
      <c r="P74" s="29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7.75" customHeight="1">
      <c r="A75" s="29"/>
      <c r="B75" s="29"/>
      <c r="C75" s="29"/>
      <c r="D75" s="29"/>
      <c r="E75" s="29"/>
      <c r="F75" s="30"/>
      <c r="G75" s="66">
        <v>69.0</v>
      </c>
      <c r="H75" s="130"/>
      <c r="I75" s="84"/>
      <c r="J75" s="17"/>
      <c r="K75" s="133"/>
      <c r="L75" s="135"/>
      <c r="M75" s="19"/>
      <c r="N75" s="131"/>
      <c r="O75" s="30"/>
      <c r="P75" s="29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7.75" customHeight="1">
      <c r="A76" s="29"/>
      <c r="B76" s="29"/>
      <c r="C76" s="29"/>
      <c r="D76" s="29"/>
      <c r="E76" s="29"/>
      <c r="F76" s="30"/>
      <c r="G76" s="66">
        <v>70.0</v>
      </c>
      <c r="H76" s="130"/>
      <c r="I76" s="84"/>
      <c r="J76" s="17"/>
      <c r="K76" s="133"/>
      <c r="L76" s="135"/>
      <c r="M76" s="19"/>
      <c r="N76" s="131"/>
      <c r="O76" s="30"/>
      <c r="P76" s="29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7.75" customHeight="1">
      <c r="A77" s="29"/>
      <c r="B77" s="29"/>
      <c r="C77" s="29"/>
      <c r="D77" s="29"/>
      <c r="E77" s="29"/>
      <c r="F77" s="30"/>
      <c r="G77" s="66">
        <v>71.0</v>
      </c>
      <c r="H77" s="130"/>
      <c r="I77" s="84"/>
      <c r="J77" s="17"/>
      <c r="K77" s="133"/>
      <c r="L77" s="135"/>
      <c r="M77" s="19"/>
      <c r="N77" s="131"/>
      <c r="O77" s="30"/>
      <c r="P77" s="29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7.75" customHeight="1">
      <c r="A78" s="29"/>
      <c r="B78" s="29"/>
      <c r="C78" s="29"/>
      <c r="D78" s="29"/>
      <c r="E78" s="29"/>
      <c r="F78" s="30"/>
      <c r="G78" s="66">
        <v>72.0</v>
      </c>
      <c r="H78" s="130"/>
      <c r="I78" s="84"/>
      <c r="J78" s="17"/>
      <c r="K78" s="133"/>
      <c r="L78" s="135"/>
      <c r="M78" s="19"/>
      <c r="N78" s="131"/>
      <c r="O78" s="30"/>
      <c r="P78" s="29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7.75" customHeight="1">
      <c r="A79" s="29"/>
      <c r="B79" s="29"/>
      <c r="C79" s="29"/>
      <c r="D79" s="29"/>
      <c r="E79" s="29"/>
      <c r="F79" s="30"/>
      <c r="G79" s="66">
        <v>73.0</v>
      </c>
      <c r="H79" s="130"/>
      <c r="I79" s="84"/>
      <c r="J79" s="17"/>
      <c r="K79" s="133"/>
      <c r="L79" s="135"/>
      <c r="M79" s="19"/>
      <c r="N79" s="131"/>
      <c r="O79" s="30"/>
      <c r="P79" s="29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7.75" customHeight="1">
      <c r="A80" s="29"/>
      <c r="B80" s="29"/>
      <c r="C80" s="29"/>
      <c r="D80" s="29"/>
      <c r="E80" s="29"/>
      <c r="F80" s="30"/>
      <c r="G80" s="66">
        <v>74.0</v>
      </c>
      <c r="H80" s="130"/>
      <c r="I80" s="84"/>
      <c r="J80" s="17"/>
      <c r="K80" s="133"/>
      <c r="L80" s="135"/>
      <c r="M80" s="19"/>
      <c r="N80" s="131"/>
      <c r="O80" s="30"/>
      <c r="P80" s="29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7.75" customHeight="1">
      <c r="A81" s="29"/>
      <c r="B81" s="29"/>
      <c r="C81" s="29"/>
      <c r="D81" s="29"/>
      <c r="E81" s="29"/>
      <c r="F81" s="30"/>
      <c r="G81" s="66">
        <v>75.0</v>
      </c>
      <c r="H81" s="130"/>
      <c r="I81" s="84"/>
      <c r="J81" s="17"/>
      <c r="K81" s="133"/>
      <c r="L81" s="135"/>
      <c r="M81" s="19"/>
      <c r="N81" s="131"/>
      <c r="O81" s="30"/>
      <c r="P81" s="29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7.75" customHeight="1">
      <c r="A82" s="29"/>
      <c r="B82" s="29"/>
      <c r="C82" s="29"/>
      <c r="D82" s="29"/>
      <c r="E82" s="29"/>
      <c r="F82" s="30"/>
      <c r="G82" s="66">
        <v>76.0</v>
      </c>
      <c r="H82" s="130"/>
      <c r="I82" s="84"/>
      <c r="J82" s="17"/>
      <c r="K82" s="133"/>
      <c r="L82" s="135"/>
      <c r="M82" s="19"/>
      <c r="N82" s="131"/>
      <c r="O82" s="30"/>
      <c r="P82" s="29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7.75" customHeight="1">
      <c r="A83" s="29"/>
      <c r="B83" s="29"/>
      <c r="C83" s="29"/>
      <c r="D83" s="29"/>
      <c r="E83" s="29"/>
      <c r="F83" s="30"/>
      <c r="G83" s="66">
        <v>77.0</v>
      </c>
      <c r="H83" s="130"/>
      <c r="I83" s="84"/>
      <c r="J83" s="17"/>
      <c r="K83" s="133"/>
      <c r="L83" s="135"/>
      <c r="M83" s="19"/>
      <c r="N83" s="131"/>
      <c r="O83" s="30"/>
      <c r="P83" s="29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27.75" customHeight="1">
      <c r="A84" s="29"/>
      <c r="B84" s="29"/>
      <c r="C84" s="29"/>
      <c r="D84" s="29"/>
      <c r="E84" s="29"/>
      <c r="F84" s="30"/>
      <c r="G84" s="66">
        <v>78.0</v>
      </c>
      <c r="H84" s="130"/>
      <c r="I84" s="84"/>
      <c r="J84" s="17"/>
      <c r="K84" s="133"/>
      <c r="L84" s="135"/>
      <c r="M84" s="19"/>
      <c r="N84" s="131"/>
      <c r="O84" s="30"/>
      <c r="P84" s="29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7.75" customHeight="1">
      <c r="A85" s="29"/>
      <c r="B85" s="29"/>
      <c r="C85" s="29"/>
      <c r="D85" s="29"/>
      <c r="E85" s="29"/>
      <c r="F85" s="30"/>
      <c r="G85" s="66">
        <v>79.0</v>
      </c>
      <c r="H85" s="130"/>
      <c r="I85" s="84"/>
      <c r="J85" s="17"/>
      <c r="K85" s="133"/>
      <c r="L85" s="135"/>
      <c r="M85" s="19"/>
      <c r="N85" s="131"/>
      <c r="O85" s="30"/>
      <c r="P85" s="29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27.75" customHeight="1">
      <c r="A86" s="29"/>
      <c r="B86" s="29"/>
      <c r="C86" s="29"/>
      <c r="D86" s="29"/>
      <c r="E86" s="29"/>
      <c r="F86" s="30"/>
      <c r="G86" s="66">
        <v>80.0</v>
      </c>
      <c r="H86" s="130"/>
      <c r="I86" s="84"/>
      <c r="J86" s="17"/>
      <c r="K86" s="133"/>
      <c r="L86" s="135"/>
      <c r="M86" s="19"/>
      <c r="N86" s="131"/>
      <c r="O86" s="30"/>
      <c r="P86" s="29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7.75" customHeight="1">
      <c r="A87" s="29"/>
      <c r="B87" s="29"/>
      <c r="C87" s="29"/>
      <c r="D87" s="29"/>
      <c r="E87" s="29"/>
      <c r="F87" s="30"/>
      <c r="G87" s="66">
        <v>81.0</v>
      </c>
      <c r="H87" s="130"/>
      <c r="I87" s="84"/>
      <c r="J87" s="17"/>
      <c r="K87" s="133"/>
      <c r="L87" s="135"/>
      <c r="M87" s="19"/>
      <c r="N87" s="131"/>
      <c r="O87" s="30"/>
      <c r="P87" s="29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7.75" customHeight="1">
      <c r="A88" s="29"/>
      <c r="B88" s="29"/>
      <c r="C88" s="29"/>
      <c r="D88" s="29"/>
      <c r="E88" s="29"/>
      <c r="F88" s="30"/>
      <c r="G88" s="66">
        <v>82.0</v>
      </c>
      <c r="H88" s="130"/>
      <c r="I88" s="84"/>
      <c r="J88" s="17"/>
      <c r="K88" s="133"/>
      <c r="L88" s="135"/>
      <c r="M88" s="19"/>
      <c r="N88" s="131"/>
      <c r="O88" s="30"/>
      <c r="P88" s="29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27.75" customHeight="1">
      <c r="A89" s="29"/>
      <c r="B89" s="29"/>
      <c r="C89" s="29"/>
      <c r="D89" s="29"/>
      <c r="E89" s="29"/>
      <c r="F89" s="30"/>
      <c r="G89" s="66">
        <v>83.0</v>
      </c>
      <c r="H89" s="130"/>
      <c r="I89" s="84"/>
      <c r="J89" s="17"/>
      <c r="K89" s="133"/>
      <c r="L89" s="135"/>
      <c r="M89" s="19"/>
      <c r="N89" s="131"/>
      <c r="O89" s="30"/>
      <c r="P89" s="29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7.75" customHeight="1">
      <c r="A90" s="29"/>
      <c r="B90" s="29"/>
      <c r="C90" s="29"/>
      <c r="D90" s="29"/>
      <c r="E90" s="29"/>
      <c r="F90" s="30"/>
      <c r="G90" s="66">
        <v>84.0</v>
      </c>
      <c r="H90" s="130"/>
      <c r="I90" s="84"/>
      <c r="J90" s="17"/>
      <c r="K90" s="133"/>
      <c r="L90" s="135"/>
      <c r="M90" s="19"/>
      <c r="N90" s="131"/>
      <c r="O90" s="30"/>
      <c r="P90" s="29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27.75" customHeight="1">
      <c r="A91" s="29"/>
      <c r="B91" s="29"/>
      <c r="C91" s="29"/>
      <c r="D91" s="29"/>
      <c r="E91" s="29"/>
      <c r="F91" s="30"/>
      <c r="G91" s="66">
        <v>85.0</v>
      </c>
      <c r="H91" s="130"/>
      <c r="I91" s="84"/>
      <c r="J91" s="17"/>
      <c r="K91" s="133"/>
      <c r="L91" s="135"/>
      <c r="M91" s="19"/>
      <c r="N91" s="131"/>
      <c r="O91" s="30"/>
      <c r="P91" s="29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7.75" customHeight="1">
      <c r="A92" s="29"/>
      <c r="B92" s="29"/>
      <c r="C92" s="29"/>
      <c r="D92" s="29"/>
      <c r="E92" s="29"/>
      <c r="F92" s="30"/>
      <c r="G92" s="66">
        <v>86.0</v>
      </c>
      <c r="H92" s="130"/>
      <c r="I92" s="84"/>
      <c r="J92" s="17"/>
      <c r="K92" s="133"/>
      <c r="L92" s="135"/>
      <c r="M92" s="19"/>
      <c r="N92" s="131"/>
      <c r="O92" s="30"/>
      <c r="P92" s="29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7.75" customHeight="1">
      <c r="A93" s="29"/>
      <c r="B93" s="29"/>
      <c r="C93" s="29"/>
      <c r="D93" s="29"/>
      <c r="E93" s="29"/>
      <c r="F93" s="30"/>
      <c r="G93" s="66">
        <v>87.0</v>
      </c>
      <c r="H93" s="130"/>
      <c r="I93" s="84"/>
      <c r="J93" s="17"/>
      <c r="K93" s="133"/>
      <c r="L93" s="135"/>
      <c r="M93" s="19"/>
      <c r="N93" s="131"/>
      <c r="O93" s="30"/>
      <c r="P93" s="29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7.75" customHeight="1">
      <c r="A94" s="29"/>
      <c r="B94" s="29"/>
      <c r="C94" s="29"/>
      <c r="D94" s="29"/>
      <c r="E94" s="29"/>
      <c r="F94" s="30"/>
      <c r="G94" s="66">
        <v>88.0</v>
      </c>
      <c r="H94" s="130"/>
      <c r="I94" s="84"/>
      <c r="J94" s="17"/>
      <c r="K94" s="133"/>
      <c r="L94" s="135"/>
      <c r="M94" s="19"/>
      <c r="N94" s="131"/>
      <c r="O94" s="30"/>
      <c r="P94" s="29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7.75" customHeight="1">
      <c r="A95" s="29"/>
      <c r="B95" s="29"/>
      <c r="C95" s="29"/>
      <c r="D95" s="29"/>
      <c r="E95" s="29"/>
      <c r="F95" s="30"/>
      <c r="G95" s="66">
        <v>89.0</v>
      </c>
      <c r="H95" s="130"/>
      <c r="I95" s="84"/>
      <c r="J95" s="17"/>
      <c r="K95" s="133"/>
      <c r="L95" s="135"/>
      <c r="M95" s="19"/>
      <c r="N95" s="131"/>
      <c r="O95" s="30"/>
      <c r="P95" s="29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7.75" customHeight="1">
      <c r="A96" s="29"/>
      <c r="B96" s="29"/>
      <c r="C96" s="29"/>
      <c r="D96" s="29"/>
      <c r="E96" s="29"/>
      <c r="F96" s="30"/>
      <c r="G96" s="66">
        <v>90.0</v>
      </c>
      <c r="H96" s="130"/>
      <c r="I96" s="84"/>
      <c r="J96" s="17"/>
      <c r="K96" s="133"/>
      <c r="L96" s="135"/>
      <c r="M96" s="19"/>
      <c r="N96" s="131"/>
      <c r="O96" s="30"/>
      <c r="P96" s="29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7.75" customHeight="1">
      <c r="A97" s="29"/>
      <c r="B97" s="29"/>
      <c r="C97" s="29"/>
      <c r="D97" s="29"/>
      <c r="E97" s="29"/>
      <c r="F97" s="30"/>
      <c r="G97" s="66">
        <v>91.0</v>
      </c>
      <c r="H97" s="130"/>
      <c r="I97" s="84"/>
      <c r="J97" s="17"/>
      <c r="K97" s="133"/>
      <c r="L97" s="135"/>
      <c r="M97" s="19"/>
      <c r="N97" s="131"/>
      <c r="O97" s="30"/>
      <c r="P97" s="29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7.75" customHeight="1">
      <c r="A98" s="29"/>
      <c r="B98" s="29"/>
      <c r="C98" s="29"/>
      <c r="D98" s="29"/>
      <c r="E98" s="29"/>
      <c r="F98" s="30"/>
      <c r="G98" s="66">
        <v>92.0</v>
      </c>
      <c r="H98" s="130"/>
      <c r="I98" s="84"/>
      <c r="J98" s="17"/>
      <c r="K98" s="133"/>
      <c r="L98" s="135"/>
      <c r="M98" s="19"/>
      <c r="N98" s="131"/>
      <c r="O98" s="30"/>
      <c r="P98" s="29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7.75" customHeight="1">
      <c r="A99" s="29"/>
      <c r="B99" s="29"/>
      <c r="C99" s="29"/>
      <c r="D99" s="29"/>
      <c r="E99" s="29"/>
      <c r="F99" s="30"/>
      <c r="G99" s="66">
        <v>93.0</v>
      </c>
      <c r="H99" s="130"/>
      <c r="I99" s="84"/>
      <c r="J99" s="17"/>
      <c r="K99" s="133"/>
      <c r="L99" s="135"/>
      <c r="M99" s="19"/>
      <c r="N99" s="131"/>
      <c r="O99" s="30"/>
      <c r="P99" s="29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7.75" customHeight="1">
      <c r="A100" s="29"/>
      <c r="B100" s="29"/>
      <c r="C100" s="29"/>
      <c r="D100" s="29"/>
      <c r="E100" s="29"/>
      <c r="F100" s="30"/>
      <c r="G100" s="66">
        <v>94.0</v>
      </c>
      <c r="H100" s="130"/>
      <c r="I100" s="84"/>
      <c r="J100" s="17"/>
      <c r="K100" s="133"/>
      <c r="L100" s="135"/>
      <c r="M100" s="19"/>
      <c r="N100" s="131"/>
      <c r="O100" s="30"/>
      <c r="P100" s="29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7.75" customHeight="1">
      <c r="A101" s="29"/>
      <c r="B101" s="29"/>
      <c r="C101" s="29"/>
      <c r="D101" s="29"/>
      <c r="E101" s="29"/>
      <c r="F101" s="30"/>
      <c r="G101" s="66">
        <v>95.0</v>
      </c>
      <c r="H101" s="130"/>
      <c r="I101" s="84"/>
      <c r="J101" s="17"/>
      <c r="K101" s="133"/>
      <c r="L101" s="135"/>
      <c r="M101" s="19"/>
      <c r="N101" s="131"/>
      <c r="O101" s="30"/>
      <c r="P101" s="29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7.75" customHeight="1">
      <c r="A102" s="29"/>
      <c r="B102" s="29"/>
      <c r="C102" s="29"/>
      <c r="D102" s="29"/>
      <c r="E102" s="29"/>
      <c r="F102" s="30"/>
      <c r="G102" s="66">
        <v>96.0</v>
      </c>
      <c r="H102" s="130"/>
      <c r="I102" s="84"/>
      <c r="J102" s="17"/>
      <c r="K102" s="133"/>
      <c r="L102" s="135"/>
      <c r="M102" s="19"/>
      <c r="N102" s="131"/>
      <c r="O102" s="30"/>
      <c r="P102" s="29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7.75" customHeight="1">
      <c r="A103" s="29"/>
      <c r="B103" s="29"/>
      <c r="C103" s="29"/>
      <c r="D103" s="29"/>
      <c r="E103" s="29"/>
      <c r="F103" s="30"/>
      <c r="G103" s="66">
        <v>97.0</v>
      </c>
      <c r="H103" s="130"/>
      <c r="I103" s="84"/>
      <c r="J103" s="17"/>
      <c r="K103" s="133"/>
      <c r="L103" s="135"/>
      <c r="M103" s="19"/>
      <c r="N103" s="131"/>
      <c r="O103" s="30"/>
      <c r="P103" s="29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7.75" customHeight="1">
      <c r="A104" s="29"/>
      <c r="B104" s="29"/>
      <c r="C104" s="29"/>
      <c r="D104" s="29"/>
      <c r="E104" s="29"/>
      <c r="F104" s="30"/>
      <c r="G104" s="66">
        <v>98.0</v>
      </c>
      <c r="H104" s="130"/>
      <c r="I104" s="84"/>
      <c r="J104" s="17"/>
      <c r="K104" s="133"/>
      <c r="L104" s="135"/>
      <c r="M104" s="19"/>
      <c r="N104" s="131"/>
      <c r="O104" s="30"/>
      <c r="P104" s="29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7.75" customHeight="1">
      <c r="A105" s="29"/>
      <c r="B105" s="29"/>
      <c r="C105" s="29"/>
      <c r="D105" s="29"/>
      <c r="E105" s="29"/>
      <c r="F105" s="30"/>
      <c r="G105" s="66">
        <v>99.0</v>
      </c>
      <c r="H105" s="130"/>
      <c r="I105" s="84"/>
      <c r="J105" s="17"/>
      <c r="K105" s="133"/>
      <c r="L105" s="135"/>
      <c r="M105" s="19"/>
      <c r="N105" s="131"/>
      <c r="O105" s="30"/>
      <c r="P105" s="29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7.75" customHeight="1">
      <c r="A106" s="29"/>
      <c r="B106" s="29"/>
      <c r="C106" s="29"/>
      <c r="D106" s="29"/>
      <c r="E106" s="29"/>
      <c r="F106" s="30"/>
      <c r="G106" s="66">
        <v>100.0</v>
      </c>
      <c r="H106" s="130"/>
      <c r="I106" s="84"/>
      <c r="J106" s="17"/>
      <c r="K106" s="133"/>
      <c r="L106" s="135"/>
      <c r="M106" s="19"/>
      <c r="N106" s="131"/>
      <c r="O106" s="30"/>
      <c r="P106" s="29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7.75" customHeight="1">
      <c r="A107" s="29"/>
      <c r="B107" s="29"/>
      <c r="C107" s="29"/>
      <c r="D107" s="29"/>
      <c r="E107" s="29"/>
      <c r="F107" s="30"/>
      <c r="G107" s="66"/>
      <c r="H107" s="130"/>
      <c r="I107" s="84"/>
      <c r="J107" s="17"/>
      <c r="K107" s="133"/>
      <c r="L107" s="135"/>
      <c r="M107" s="19"/>
      <c r="N107" s="131"/>
      <c r="O107" s="30"/>
      <c r="P107" s="29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7.75" customHeight="1">
      <c r="A108" s="29"/>
      <c r="B108" s="29"/>
      <c r="C108" s="29"/>
      <c r="D108" s="29"/>
      <c r="E108" s="29"/>
      <c r="F108" s="30"/>
      <c r="G108" s="66"/>
      <c r="H108" s="130"/>
      <c r="I108" s="84"/>
      <c r="J108" s="17"/>
      <c r="K108" s="133"/>
      <c r="L108" s="135"/>
      <c r="M108" s="19"/>
      <c r="N108" s="131"/>
      <c r="O108" s="30"/>
      <c r="P108" s="29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7.75" customHeight="1">
      <c r="A109" s="29"/>
      <c r="B109" s="29"/>
      <c r="C109" s="29"/>
      <c r="D109" s="29"/>
      <c r="E109" s="29"/>
      <c r="F109" s="30"/>
      <c r="G109" s="66"/>
      <c r="H109" s="130"/>
      <c r="I109" s="84"/>
      <c r="J109" s="17"/>
      <c r="K109" s="133"/>
      <c r="L109" s="135"/>
      <c r="M109" s="19"/>
      <c r="N109" s="131"/>
      <c r="O109" s="30"/>
      <c r="P109" s="29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7.75" customHeight="1">
      <c r="A110" s="29"/>
      <c r="B110" s="29"/>
      <c r="C110" s="29"/>
      <c r="D110" s="29"/>
      <c r="E110" s="29"/>
      <c r="F110" s="30"/>
      <c r="G110" s="66"/>
      <c r="H110" s="130"/>
      <c r="I110" s="84"/>
      <c r="J110" s="17"/>
      <c r="K110" s="133"/>
      <c r="L110" s="135"/>
      <c r="M110" s="19"/>
      <c r="N110" s="131"/>
      <c r="O110" s="30"/>
      <c r="P110" s="29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7.75" customHeight="1">
      <c r="A111" s="29"/>
      <c r="B111" s="29"/>
      <c r="C111" s="29"/>
      <c r="D111" s="29"/>
      <c r="E111" s="29"/>
      <c r="F111" s="30"/>
      <c r="G111" s="66"/>
      <c r="H111" s="130"/>
      <c r="I111" s="84"/>
      <c r="J111" s="17"/>
      <c r="K111" s="133"/>
      <c r="L111" s="135"/>
      <c r="M111" s="19"/>
      <c r="N111" s="131"/>
      <c r="O111" s="30"/>
      <c r="P111" s="29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7.75" customHeight="1">
      <c r="A112" s="29"/>
      <c r="B112" s="29"/>
      <c r="C112" s="29"/>
      <c r="D112" s="29"/>
      <c r="E112" s="29"/>
      <c r="F112" s="30"/>
      <c r="G112" s="66"/>
      <c r="H112" s="130"/>
      <c r="I112" s="84"/>
      <c r="J112" s="17"/>
      <c r="K112" s="133"/>
      <c r="L112" s="135"/>
      <c r="M112" s="19"/>
      <c r="N112" s="131"/>
      <c r="O112" s="30"/>
      <c r="P112" s="29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7.75" customHeight="1">
      <c r="A113" s="29"/>
      <c r="B113" s="29"/>
      <c r="C113" s="29"/>
      <c r="D113" s="29"/>
      <c r="E113" s="29"/>
      <c r="F113" s="30"/>
      <c r="G113" s="66"/>
      <c r="H113" s="130"/>
      <c r="I113" s="84"/>
      <c r="J113" s="17"/>
      <c r="K113" s="133"/>
      <c r="L113" s="135"/>
      <c r="M113" s="19"/>
      <c r="N113" s="131"/>
      <c r="O113" s="30"/>
      <c r="P113" s="29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27.75" customHeight="1">
      <c r="A114" s="29"/>
      <c r="B114" s="29"/>
      <c r="C114" s="29"/>
      <c r="D114" s="29"/>
      <c r="E114" s="29"/>
      <c r="F114" s="30"/>
      <c r="G114" s="66"/>
      <c r="H114" s="130"/>
      <c r="I114" s="84"/>
      <c r="J114" s="17"/>
      <c r="K114" s="133"/>
      <c r="L114" s="135"/>
      <c r="M114" s="19"/>
      <c r="N114" s="131"/>
      <c r="O114" s="30"/>
      <c r="P114" s="29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7.75" customHeight="1">
      <c r="A115" s="29"/>
      <c r="B115" s="29"/>
      <c r="C115" s="29"/>
      <c r="D115" s="29"/>
      <c r="E115" s="29"/>
      <c r="F115" s="30"/>
      <c r="G115" s="66"/>
      <c r="H115" s="130"/>
      <c r="I115" s="84"/>
      <c r="J115" s="17"/>
      <c r="K115" s="133"/>
      <c r="L115" s="135"/>
      <c r="M115" s="19"/>
      <c r="N115" s="131"/>
      <c r="O115" s="30"/>
      <c r="P115" s="29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7.75" customHeight="1">
      <c r="A116" s="29"/>
      <c r="B116" s="29"/>
      <c r="C116" s="29"/>
      <c r="D116" s="29"/>
      <c r="E116" s="29"/>
      <c r="F116" s="30"/>
      <c r="G116" s="66"/>
      <c r="H116" s="130"/>
      <c r="I116" s="84"/>
      <c r="J116" s="17"/>
      <c r="K116" s="133"/>
      <c r="L116" s="135"/>
      <c r="M116" s="19"/>
      <c r="N116" s="131"/>
      <c r="O116" s="30"/>
      <c r="P116" s="29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7.75" customHeight="1">
      <c r="A117" s="29"/>
      <c r="B117" s="29"/>
      <c r="C117" s="29"/>
      <c r="D117" s="29"/>
      <c r="E117" s="29"/>
      <c r="F117" s="30"/>
      <c r="G117" s="66"/>
      <c r="H117" s="130"/>
      <c r="I117" s="84"/>
      <c r="J117" s="17"/>
      <c r="K117" s="133"/>
      <c r="L117" s="135"/>
      <c r="M117" s="19"/>
      <c r="N117" s="131"/>
      <c r="O117" s="30"/>
      <c r="P117" s="29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7.75" customHeight="1">
      <c r="A118" s="29"/>
      <c r="B118" s="29"/>
      <c r="C118" s="29"/>
      <c r="D118" s="29"/>
      <c r="E118" s="29"/>
      <c r="F118" s="30"/>
      <c r="G118" s="66"/>
      <c r="H118" s="130"/>
      <c r="I118" s="84"/>
      <c r="J118" s="17"/>
      <c r="K118" s="133"/>
      <c r="L118" s="135"/>
      <c r="M118" s="19"/>
      <c r="N118" s="131"/>
      <c r="O118" s="30"/>
      <c r="P118" s="29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7.75" customHeight="1">
      <c r="A119" s="29"/>
      <c r="B119" s="29"/>
      <c r="C119" s="29"/>
      <c r="D119" s="29"/>
      <c r="E119" s="29"/>
      <c r="F119" s="30"/>
      <c r="G119" s="66"/>
      <c r="H119" s="130"/>
      <c r="I119" s="84"/>
      <c r="J119" s="17"/>
      <c r="K119" s="133"/>
      <c r="L119" s="135"/>
      <c r="M119" s="19"/>
      <c r="N119" s="131"/>
      <c r="O119" s="30"/>
      <c r="P119" s="29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7.75" customHeight="1">
      <c r="A120" s="29"/>
      <c r="B120" s="29"/>
      <c r="C120" s="29"/>
      <c r="D120" s="29"/>
      <c r="E120" s="29"/>
      <c r="F120" s="30"/>
      <c r="G120" s="66"/>
      <c r="H120" s="130"/>
      <c r="I120" s="84"/>
      <c r="J120" s="17"/>
      <c r="K120" s="133"/>
      <c r="L120" s="135"/>
      <c r="M120" s="19"/>
      <c r="N120" s="131"/>
      <c r="O120" s="30"/>
      <c r="P120" s="29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7.75" customHeight="1">
      <c r="A121" s="29"/>
      <c r="B121" s="29"/>
      <c r="C121" s="29"/>
      <c r="D121" s="29"/>
      <c r="E121" s="29"/>
      <c r="F121" s="30"/>
      <c r="G121" s="66"/>
      <c r="H121" s="130"/>
      <c r="I121" s="84"/>
      <c r="J121" s="17"/>
      <c r="K121" s="133"/>
      <c r="L121" s="135"/>
      <c r="M121" s="19"/>
      <c r="N121" s="131"/>
      <c r="O121" s="30"/>
      <c r="P121" s="29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7.75" customHeight="1">
      <c r="A122" s="29"/>
      <c r="B122" s="29"/>
      <c r="C122" s="29"/>
      <c r="D122" s="29"/>
      <c r="E122" s="29"/>
      <c r="F122" s="30"/>
      <c r="G122" s="66"/>
      <c r="H122" s="130"/>
      <c r="I122" s="84"/>
      <c r="J122" s="17"/>
      <c r="K122" s="133"/>
      <c r="L122" s="135"/>
      <c r="M122" s="19"/>
      <c r="N122" s="131"/>
      <c r="O122" s="30"/>
      <c r="P122" s="29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7.75" customHeight="1">
      <c r="A123" s="29"/>
      <c r="B123" s="29"/>
      <c r="C123" s="29"/>
      <c r="D123" s="29"/>
      <c r="E123" s="29"/>
      <c r="F123" s="30"/>
      <c r="G123" s="66"/>
      <c r="H123" s="130"/>
      <c r="I123" s="84"/>
      <c r="J123" s="17"/>
      <c r="K123" s="133"/>
      <c r="L123" s="135"/>
      <c r="M123" s="19"/>
      <c r="N123" s="131"/>
      <c r="O123" s="30"/>
      <c r="P123" s="29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7.75" customHeight="1">
      <c r="A124" s="29"/>
      <c r="B124" s="29"/>
      <c r="C124" s="29"/>
      <c r="D124" s="29"/>
      <c r="E124" s="29"/>
      <c r="F124" s="30"/>
      <c r="G124" s="66"/>
      <c r="H124" s="130"/>
      <c r="I124" s="84"/>
      <c r="J124" s="17"/>
      <c r="K124" s="133"/>
      <c r="L124" s="135"/>
      <c r="M124" s="19"/>
      <c r="N124" s="131"/>
      <c r="O124" s="30"/>
      <c r="P124" s="29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7.75" customHeight="1">
      <c r="A125" s="29"/>
      <c r="B125" s="29"/>
      <c r="C125" s="29"/>
      <c r="D125" s="29"/>
      <c r="E125" s="29"/>
      <c r="F125" s="30"/>
      <c r="G125" s="66"/>
      <c r="H125" s="130"/>
      <c r="I125" s="84"/>
      <c r="J125" s="17"/>
      <c r="K125" s="133"/>
      <c r="L125" s="135"/>
      <c r="M125" s="19"/>
      <c r="N125" s="131"/>
      <c r="O125" s="30"/>
      <c r="P125" s="29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7.75" customHeight="1">
      <c r="A126" s="29"/>
      <c r="B126" s="29"/>
      <c r="C126" s="29"/>
      <c r="D126" s="29"/>
      <c r="E126" s="29"/>
      <c r="F126" s="30"/>
      <c r="G126" s="66"/>
      <c r="H126" s="130"/>
      <c r="I126" s="84"/>
      <c r="J126" s="17"/>
      <c r="K126" s="133"/>
      <c r="L126" s="135"/>
      <c r="M126" s="19"/>
      <c r="N126" s="131"/>
      <c r="O126" s="30"/>
      <c r="P126" s="29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7.75" customHeight="1">
      <c r="A127" s="29"/>
      <c r="B127" s="29"/>
      <c r="C127" s="29"/>
      <c r="D127" s="29"/>
      <c r="E127" s="29"/>
      <c r="F127" s="30"/>
      <c r="G127" s="66"/>
      <c r="H127" s="130"/>
      <c r="I127" s="84"/>
      <c r="J127" s="17"/>
      <c r="K127" s="133"/>
      <c r="L127" s="135"/>
      <c r="M127" s="19"/>
      <c r="N127" s="131"/>
      <c r="O127" s="30"/>
      <c r="P127" s="29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7.75" customHeight="1">
      <c r="A128" s="29"/>
      <c r="B128" s="29"/>
      <c r="C128" s="29"/>
      <c r="D128" s="29"/>
      <c r="E128" s="29"/>
      <c r="F128" s="30"/>
      <c r="G128" s="66"/>
      <c r="H128" s="130"/>
      <c r="I128" s="84"/>
      <c r="J128" s="17"/>
      <c r="K128" s="133"/>
      <c r="L128" s="135"/>
      <c r="M128" s="19"/>
      <c r="N128" s="131"/>
      <c r="O128" s="30"/>
      <c r="P128" s="29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7.75" customHeight="1">
      <c r="A129" s="29"/>
      <c r="B129" s="29"/>
      <c r="C129" s="29"/>
      <c r="D129" s="29"/>
      <c r="E129" s="29"/>
      <c r="F129" s="30"/>
      <c r="G129" s="66"/>
      <c r="H129" s="130"/>
      <c r="I129" s="84"/>
      <c r="J129" s="17"/>
      <c r="K129" s="133"/>
      <c r="L129" s="135"/>
      <c r="M129" s="19"/>
      <c r="N129" s="131"/>
      <c r="O129" s="30"/>
      <c r="P129" s="29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7.75" customHeight="1">
      <c r="A130" s="29"/>
      <c r="B130" s="29"/>
      <c r="C130" s="29"/>
      <c r="D130" s="29"/>
      <c r="E130" s="29"/>
      <c r="F130" s="30"/>
      <c r="G130" s="66"/>
      <c r="H130" s="130"/>
      <c r="I130" s="84"/>
      <c r="J130" s="17"/>
      <c r="K130" s="133"/>
      <c r="L130" s="135"/>
      <c r="M130" s="19"/>
      <c r="N130" s="131"/>
      <c r="O130" s="30"/>
      <c r="P130" s="29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7.75" customHeight="1">
      <c r="A131" s="29"/>
      <c r="B131" s="29"/>
      <c r="C131" s="29"/>
      <c r="D131" s="29"/>
      <c r="E131" s="29"/>
      <c r="F131" s="30"/>
      <c r="G131" s="66"/>
      <c r="H131" s="130"/>
      <c r="I131" s="84"/>
      <c r="J131" s="17"/>
      <c r="K131" s="133"/>
      <c r="L131" s="135"/>
      <c r="M131" s="19"/>
      <c r="N131" s="131"/>
      <c r="O131" s="30"/>
      <c r="P131" s="29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7.75" customHeight="1">
      <c r="A132" s="29"/>
      <c r="B132" s="29"/>
      <c r="C132" s="29"/>
      <c r="D132" s="29"/>
      <c r="E132" s="29"/>
      <c r="F132" s="30"/>
      <c r="G132" s="66"/>
      <c r="H132" s="130"/>
      <c r="I132" s="84"/>
      <c r="J132" s="17"/>
      <c r="K132" s="133"/>
      <c r="L132" s="135"/>
      <c r="M132" s="19"/>
      <c r="N132" s="131"/>
      <c r="O132" s="30"/>
      <c r="P132" s="29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7.75" customHeight="1">
      <c r="A133" s="29"/>
      <c r="B133" s="29"/>
      <c r="C133" s="29"/>
      <c r="D133" s="29"/>
      <c r="E133" s="29"/>
      <c r="F133" s="30"/>
      <c r="G133" s="66"/>
      <c r="H133" s="130"/>
      <c r="I133" s="84"/>
      <c r="J133" s="17"/>
      <c r="K133" s="133"/>
      <c r="L133" s="135"/>
      <c r="M133" s="19"/>
      <c r="N133" s="131"/>
      <c r="O133" s="30"/>
      <c r="P133" s="29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7.75" customHeight="1">
      <c r="A134" s="29"/>
      <c r="B134" s="29"/>
      <c r="C134" s="29"/>
      <c r="D134" s="29"/>
      <c r="E134" s="29"/>
      <c r="F134" s="30"/>
      <c r="G134" s="66"/>
      <c r="H134" s="130"/>
      <c r="I134" s="84"/>
      <c r="J134" s="17"/>
      <c r="K134" s="133"/>
      <c r="L134" s="135"/>
      <c r="M134" s="19"/>
      <c r="N134" s="131"/>
      <c r="O134" s="30"/>
      <c r="P134" s="29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7.75" customHeight="1">
      <c r="A135" s="29"/>
      <c r="B135" s="29"/>
      <c r="C135" s="29"/>
      <c r="D135" s="29"/>
      <c r="E135" s="29"/>
      <c r="F135" s="30"/>
      <c r="G135" s="66"/>
      <c r="H135" s="130"/>
      <c r="I135" s="84"/>
      <c r="J135" s="17"/>
      <c r="K135" s="133"/>
      <c r="L135" s="135"/>
      <c r="M135" s="19"/>
      <c r="N135" s="131"/>
      <c r="O135" s="30"/>
      <c r="P135" s="29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7.75" customHeight="1">
      <c r="A136" s="29"/>
      <c r="B136" s="29"/>
      <c r="C136" s="29"/>
      <c r="D136" s="29"/>
      <c r="E136" s="29"/>
      <c r="F136" s="30"/>
      <c r="G136" s="66"/>
      <c r="H136" s="130"/>
      <c r="I136" s="84"/>
      <c r="J136" s="17"/>
      <c r="K136" s="133"/>
      <c r="L136" s="135"/>
      <c r="M136" s="19"/>
      <c r="N136" s="131"/>
      <c r="O136" s="30"/>
      <c r="P136" s="29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7.75" customHeight="1">
      <c r="A137" s="29"/>
      <c r="B137" s="29"/>
      <c r="C137" s="29"/>
      <c r="D137" s="29"/>
      <c r="E137" s="29"/>
      <c r="F137" s="30"/>
      <c r="G137" s="66"/>
      <c r="H137" s="130"/>
      <c r="I137" s="84"/>
      <c r="J137" s="17"/>
      <c r="K137" s="133"/>
      <c r="L137" s="135"/>
      <c r="M137" s="19"/>
      <c r="N137" s="131"/>
      <c r="O137" s="30"/>
      <c r="P137" s="29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7.75" customHeight="1">
      <c r="A138" s="29"/>
      <c r="B138" s="29"/>
      <c r="C138" s="29"/>
      <c r="D138" s="29"/>
      <c r="E138" s="29"/>
      <c r="F138" s="30"/>
      <c r="G138" s="66"/>
      <c r="H138" s="130"/>
      <c r="I138" s="84"/>
      <c r="J138" s="17"/>
      <c r="K138" s="133"/>
      <c r="L138" s="135"/>
      <c r="M138" s="19"/>
      <c r="N138" s="131"/>
      <c r="O138" s="30"/>
      <c r="P138" s="29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7.75" customHeight="1">
      <c r="A139" s="29"/>
      <c r="B139" s="29"/>
      <c r="C139" s="29"/>
      <c r="D139" s="29"/>
      <c r="E139" s="29"/>
      <c r="F139" s="30"/>
      <c r="G139" s="66"/>
      <c r="H139" s="130"/>
      <c r="I139" s="84"/>
      <c r="J139" s="17"/>
      <c r="K139" s="133"/>
      <c r="L139" s="135"/>
      <c r="M139" s="19"/>
      <c r="N139" s="131"/>
      <c r="O139" s="30"/>
      <c r="P139" s="29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7.75" customHeight="1">
      <c r="A140" s="29"/>
      <c r="B140" s="29"/>
      <c r="C140" s="29"/>
      <c r="D140" s="29"/>
      <c r="E140" s="29"/>
      <c r="F140" s="30"/>
      <c r="G140" s="66"/>
      <c r="H140" s="130"/>
      <c r="I140" s="84"/>
      <c r="J140" s="17"/>
      <c r="K140" s="133"/>
      <c r="L140" s="135"/>
      <c r="M140" s="19"/>
      <c r="N140" s="131"/>
      <c r="O140" s="30"/>
      <c r="P140" s="29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7.75" customHeight="1">
      <c r="A141" s="29"/>
      <c r="B141" s="29"/>
      <c r="C141" s="29"/>
      <c r="D141" s="29"/>
      <c r="E141" s="29"/>
      <c r="F141" s="30"/>
      <c r="G141" s="66"/>
      <c r="H141" s="130"/>
      <c r="I141" s="84"/>
      <c r="J141" s="17"/>
      <c r="K141" s="133"/>
      <c r="L141" s="135"/>
      <c r="M141" s="19"/>
      <c r="N141" s="131"/>
      <c r="O141" s="30"/>
      <c r="P141" s="29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7.75" customHeight="1">
      <c r="A142" s="29"/>
      <c r="B142" s="29"/>
      <c r="C142" s="29"/>
      <c r="D142" s="29"/>
      <c r="E142" s="29"/>
      <c r="F142" s="30"/>
      <c r="G142" s="66"/>
      <c r="H142" s="130"/>
      <c r="I142" s="84"/>
      <c r="J142" s="17"/>
      <c r="K142" s="133"/>
      <c r="L142" s="135"/>
      <c r="M142" s="19"/>
      <c r="N142" s="131"/>
      <c r="O142" s="30"/>
      <c r="P142" s="29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7.75" customHeight="1">
      <c r="A143" s="29"/>
      <c r="B143" s="29"/>
      <c r="C143" s="29"/>
      <c r="D143" s="29"/>
      <c r="E143" s="29"/>
      <c r="F143" s="30"/>
      <c r="G143" s="66"/>
      <c r="H143" s="130"/>
      <c r="I143" s="84"/>
      <c r="J143" s="17"/>
      <c r="K143" s="133"/>
      <c r="L143" s="135"/>
      <c r="M143" s="19"/>
      <c r="N143" s="131"/>
      <c r="O143" s="30"/>
      <c r="P143" s="29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7.75" customHeight="1">
      <c r="A144" s="29"/>
      <c r="B144" s="29"/>
      <c r="C144" s="29"/>
      <c r="D144" s="29"/>
      <c r="E144" s="29"/>
      <c r="F144" s="30"/>
      <c r="G144" s="66"/>
      <c r="H144" s="130"/>
      <c r="I144" s="84"/>
      <c r="J144" s="17"/>
      <c r="K144" s="133"/>
      <c r="L144" s="135"/>
      <c r="M144" s="19"/>
      <c r="N144" s="131"/>
      <c r="O144" s="30"/>
      <c r="P144" s="29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7.75" customHeight="1">
      <c r="A145" s="29"/>
      <c r="B145" s="29"/>
      <c r="C145" s="29"/>
      <c r="D145" s="29"/>
      <c r="E145" s="29"/>
      <c r="F145" s="30"/>
      <c r="G145" s="66"/>
      <c r="H145" s="130"/>
      <c r="I145" s="84"/>
      <c r="J145" s="17"/>
      <c r="K145" s="133"/>
      <c r="L145" s="135"/>
      <c r="M145" s="19"/>
      <c r="N145" s="131"/>
      <c r="O145" s="30"/>
      <c r="P145" s="29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7.75" customHeight="1">
      <c r="A146" s="29"/>
      <c r="B146" s="29"/>
      <c r="C146" s="29"/>
      <c r="D146" s="29"/>
      <c r="E146" s="29"/>
      <c r="F146" s="30"/>
      <c r="G146" s="66"/>
      <c r="H146" s="130"/>
      <c r="I146" s="84"/>
      <c r="J146" s="17"/>
      <c r="K146" s="133"/>
      <c r="L146" s="135"/>
      <c r="M146" s="19"/>
      <c r="N146" s="131"/>
      <c r="O146" s="30"/>
      <c r="P146" s="29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7.75" customHeight="1">
      <c r="A147" s="29"/>
      <c r="B147" s="29"/>
      <c r="C147" s="29"/>
      <c r="D147" s="29"/>
      <c r="E147" s="29"/>
      <c r="F147" s="30"/>
      <c r="G147" s="66"/>
      <c r="H147" s="130"/>
      <c r="I147" s="84"/>
      <c r="J147" s="17"/>
      <c r="K147" s="133"/>
      <c r="L147" s="135"/>
      <c r="M147" s="19"/>
      <c r="N147" s="131"/>
      <c r="O147" s="30"/>
      <c r="P147" s="29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7.75" customHeight="1">
      <c r="A148" s="29"/>
      <c r="B148" s="29"/>
      <c r="C148" s="29"/>
      <c r="D148" s="29"/>
      <c r="E148" s="29"/>
      <c r="F148" s="30"/>
      <c r="G148" s="66"/>
      <c r="H148" s="130"/>
      <c r="I148" s="84"/>
      <c r="J148" s="17"/>
      <c r="K148" s="133"/>
      <c r="L148" s="135"/>
      <c r="M148" s="19"/>
      <c r="N148" s="131"/>
      <c r="O148" s="30"/>
      <c r="P148" s="29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7.75" customHeight="1">
      <c r="A149" s="29"/>
      <c r="B149" s="29"/>
      <c r="C149" s="29"/>
      <c r="D149" s="29"/>
      <c r="E149" s="29"/>
      <c r="F149" s="30"/>
      <c r="G149" s="66"/>
      <c r="H149" s="130"/>
      <c r="I149" s="84"/>
      <c r="J149" s="17"/>
      <c r="K149" s="133"/>
      <c r="L149" s="135"/>
      <c r="M149" s="19"/>
      <c r="N149" s="131"/>
      <c r="O149" s="30"/>
      <c r="P149" s="29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7.75" customHeight="1">
      <c r="A150" s="29"/>
      <c r="B150" s="29"/>
      <c r="C150" s="29"/>
      <c r="D150" s="29"/>
      <c r="E150" s="29"/>
      <c r="F150" s="30"/>
      <c r="G150" s="66"/>
      <c r="H150" s="130"/>
      <c r="I150" s="84"/>
      <c r="J150" s="17"/>
      <c r="K150" s="133"/>
      <c r="L150" s="135"/>
      <c r="M150" s="19"/>
      <c r="N150" s="131"/>
      <c r="O150" s="30"/>
      <c r="P150" s="29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7.75" customHeight="1">
      <c r="A151" s="29"/>
      <c r="B151" s="29"/>
      <c r="C151" s="29"/>
      <c r="D151" s="29"/>
      <c r="E151" s="29"/>
      <c r="F151" s="30"/>
      <c r="G151" s="66"/>
      <c r="H151" s="130"/>
      <c r="I151" s="84"/>
      <c r="J151" s="17"/>
      <c r="K151" s="133"/>
      <c r="L151" s="135"/>
      <c r="M151" s="19"/>
      <c r="N151" s="131"/>
      <c r="O151" s="30"/>
      <c r="P151" s="29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7.75" customHeight="1">
      <c r="A152" s="29"/>
      <c r="B152" s="29"/>
      <c r="C152" s="29"/>
      <c r="D152" s="29"/>
      <c r="E152" s="29"/>
      <c r="F152" s="30"/>
      <c r="G152" s="66"/>
      <c r="H152" s="130"/>
      <c r="I152" s="84"/>
      <c r="J152" s="17"/>
      <c r="K152" s="133"/>
      <c r="L152" s="135"/>
      <c r="M152" s="19"/>
      <c r="N152" s="131"/>
      <c r="O152" s="30"/>
      <c r="P152" s="29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7.75" customHeight="1">
      <c r="A153" s="29"/>
      <c r="B153" s="29"/>
      <c r="C153" s="29"/>
      <c r="D153" s="29"/>
      <c r="E153" s="29"/>
      <c r="F153" s="30"/>
      <c r="G153" s="66"/>
      <c r="H153" s="130"/>
      <c r="I153" s="84"/>
      <c r="J153" s="17"/>
      <c r="K153" s="133"/>
      <c r="L153" s="135"/>
      <c r="M153" s="19"/>
      <c r="N153" s="131"/>
      <c r="O153" s="30"/>
      <c r="P153" s="29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7.75" customHeight="1">
      <c r="A154" s="29"/>
      <c r="B154" s="29"/>
      <c r="C154" s="29"/>
      <c r="D154" s="29"/>
      <c r="E154" s="29"/>
      <c r="F154" s="30"/>
      <c r="G154" s="66"/>
      <c r="H154" s="130"/>
      <c r="I154" s="84"/>
      <c r="J154" s="17"/>
      <c r="K154" s="133"/>
      <c r="L154" s="135"/>
      <c r="M154" s="19"/>
      <c r="N154" s="131"/>
      <c r="O154" s="30"/>
      <c r="P154" s="29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7.75" customHeight="1">
      <c r="A155" s="29"/>
      <c r="B155" s="29"/>
      <c r="C155" s="29"/>
      <c r="D155" s="29"/>
      <c r="E155" s="29"/>
      <c r="F155" s="30"/>
      <c r="G155" s="66"/>
      <c r="H155" s="130"/>
      <c r="I155" s="84"/>
      <c r="J155" s="17"/>
      <c r="K155" s="133"/>
      <c r="L155" s="135"/>
      <c r="M155" s="19"/>
      <c r="N155" s="131"/>
      <c r="O155" s="30"/>
      <c r="P155" s="29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7.75" customHeight="1">
      <c r="A156" s="29"/>
      <c r="B156" s="29"/>
      <c r="C156" s="29"/>
      <c r="D156" s="29"/>
      <c r="E156" s="29"/>
      <c r="F156" s="30"/>
      <c r="G156" s="66"/>
      <c r="H156" s="130"/>
      <c r="I156" s="84"/>
      <c r="J156" s="17"/>
      <c r="K156" s="133"/>
      <c r="L156" s="135"/>
      <c r="M156" s="19"/>
      <c r="N156" s="131"/>
      <c r="O156" s="30"/>
      <c r="P156" s="29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7.75" customHeight="1">
      <c r="A157" s="29"/>
      <c r="B157" s="29"/>
      <c r="C157" s="29"/>
      <c r="D157" s="29"/>
      <c r="E157" s="29"/>
      <c r="F157" s="30"/>
      <c r="G157" s="66"/>
      <c r="H157" s="130"/>
      <c r="I157" s="84"/>
      <c r="J157" s="17"/>
      <c r="K157" s="133"/>
      <c r="L157" s="135"/>
      <c r="M157" s="19"/>
      <c r="N157" s="131"/>
      <c r="O157" s="30"/>
      <c r="P157" s="29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7.75" customHeight="1">
      <c r="A158" s="29"/>
      <c r="B158" s="29"/>
      <c r="C158" s="29"/>
      <c r="D158" s="29"/>
      <c r="E158" s="29"/>
      <c r="F158" s="30"/>
      <c r="G158" s="66"/>
      <c r="H158" s="130"/>
      <c r="I158" s="84"/>
      <c r="J158" s="17"/>
      <c r="K158" s="133"/>
      <c r="L158" s="135"/>
      <c r="M158" s="19"/>
      <c r="N158" s="131"/>
      <c r="O158" s="30"/>
      <c r="P158" s="29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7.75" customHeight="1">
      <c r="A159" s="29"/>
      <c r="B159" s="29"/>
      <c r="C159" s="29"/>
      <c r="D159" s="29"/>
      <c r="E159" s="29"/>
      <c r="F159" s="30"/>
      <c r="G159" s="66"/>
      <c r="H159" s="130"/>
      <c r="I159" s="84"/>
      <c r="J159" s="17"/>
      <c r="K159" s="133"/>
      <c r="L159" s="135"/>
      <c r="M159" s="19"/>
      <c r="N159" s="131"/>
      <c r="O159" s="30"/>
      <c r="P159" s="29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7.75" customHeight="1">
      <c r="A160" s="29"/>
      <c r="B160" s="29"/>
      <c r="C160" s="29"/>
      <c r="D160" s="29"/>
      <c r="E160" s="29"/>
      <c r="F160" s="30"/>
      <c r="G160" s="66"/>
      <c r="H160" s="130"/>
      <c r="I160" s="84"/>
      <c r="J160" s="17"/>
      <c r="K160" s="133"/>
      <c r="L160" s="135"/>
      <c r="M160" s="19"/>
      <c r="N160" s="131"/>
      <c r="O160" s="30"/>
      <c r="P160" s="29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7.75" customHeight="1">
      <c r="A161" s="29"/>
      <c r="B161" s="29"/>
      <c r="C161" s="29"/>
      <c r="D161" s="29"/>
      <c r="E161" s="29"/>
      <c r="F161" s="30"/>
      <c r="G161" s="66"/>
      <c r="H161" s="130"/>
      <c r="I161" s="84"/>
      <c r="J161" s="17"/>
      <c r="K161" s="133"/>
      <c r="L161" s="135"/>
      <c r="M161" s="19"/>
      <c r="N161" s="131"/>
      <c r="O161" s="30"/>
      <c r="P161" s="29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7.75" customHeight="1">
      <c r="A162" s="29"/>
      <c r="B162" s="29"/>
      <c r="C162" s="29"/>
      <c r="D162" s="29"/>
      <c r="E162" s="29"/>
      <c r="F162" s="30"/>
      <c r="G162" s="66"/>
      <c r="H162" s="130"/>
      <c r="I162" s="84"/>
      <c r="J162" s="17"/>
      <c r="K162" s="133"/>
      <c r="L162" s="135"/>
      <c r="M162" s="19"/>
      <c r="N162" s="131"/>
      <c r="O162" s="30"/>
      <c r="P162" s="29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7.75" customHeight="1">
      <c r="A163" s="29"/>
      <c r="B163" s="29"/>
      <c r="C163" s="29"/>
      <c r="D163" s="29"/>
      <c r="E163" s="29"/>
      <c r="F163" s="30"/>
      <c r="G163" s="66"/>
      <c r="H163" s="130"/>
      <c r="I163" s="84"/>
      <c r="J163" s="17"/>
      <c r="K163" s="133"/>
      <c r="L163" s="135"/>
      <c r="M163" s="19"/>
      <c r="N163" s="131"/>
      <c r="O163" s="30"/>
      <c r="P163" s="29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7.75" customHeight="1">
      <c r="A164" s="29"/>
      <c r="B164" s="29"/>
      <c r="C164" s="29"/>
      <c r="D164" s="29"/>
      <c r="E164" s="29"/>
      <c r="F164" s="30"/>
      <c r="G164" s="66"/>
      <c r="H164" s="130"/>
      <c r="I164" s="84"/>
      <c r="J164" s="17"/>
      <c r="K164" s="133"/>
      <c r="L164" s="135"/>
      <c r="M164" s="19"/>
      <c r="N164" s="131"/>
      <c r="O164" s="30"/>
      <c r="P164" s="29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7.75" customHeight="1">
      <c r="A165" s="29"/>
      <c r="B165" s="29"/>
      <c r="C165" s="29"/>
      <c r="D165" s="29"/>
      <c r="E165" s="29"/>
      <c r="F165" s="30"/>
      <c r="G165" s="66"/>
      <c r="H165" s="130"/>
      <c r="I165" s="84"/>
      <c r="J165" s="17"/>
      <c r="K165" s="133"/>
      <c r="L165" s="135"/>
      <c r="M165" s="19"/>
      <c r="N165" s="131"/>
      <c r="O165" s="30"/>
      <c r="P165" s="29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7.75" customHeight="1">
      <c r="A166" s="29"/>
      <c r="B166" s="29"/>
      <c r="C166" s="29"/>
      <c r="D166" s="29"/>
      <c r="E166" s="29"/>
      <c r="F166" s="30"/>
      <c r="G166" s="66"/>
      <c r="H166" s="130"/>
      <c r="I166" s="84"/>
      <c r="J166" s="17"/>
      <c r="K166" s="133"/>
      <c r="L166" s="135"/>
      <c r="M166" s="19"/>
      <c r="N166" s="131"/>
      <c r="O166" s="30"/>
      <c r="P166" s="29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7.75" customHeight="1">
      <c r="A167" s="29"/>
      <c r="B167" s="29"/>
      <c r="C167" s="29"/>
      <c r="D167" s="29"/>
      <c r="E167" s="29"/>
      <c r="F167" s="30"/>
      <c r="G167" s="66"/>
      <c r="H167" s="130"/>
      <c r="I167" s="84"/>
      <c r="J167" s="17"/>
      <c r="K167" s="133"/>
      <c r="L167" s="135"/>
      <c r="M167" s="19"/>
      <c r="N167" s="131"/>
      <c r="O167" s="30"/>
      <c r="P167" s="29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7.75" customHeight="1">
      <c r="A168" s="29"/>
      <c r="B168" s="29"/>
      <c r="C168" s="29"/>
      <c r="D168" s="29"/>
      <c r="E168" s="29"/>
      <c r="F168" s="30"/>
      <c r="G168" s="66"/>
      <c r="H168" s="130"/>
      <c r="I168" s="84"/>
      <c r="J168" s="17"/>
      <c r="K168" s="133"/>
      <c r="L168" s="135"/>
      <c r="M168" s="19"/>
      <c r="N168" s="131"/>
      <c r="O168" s="30"/>
      <c r="P168" s="29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7.75" customHeight="1">
      <c r="A169" s="29"/>
      <c r="B169" s="29"/>
      <c r="C169" s="29"/>
      <c r="D169" s="29"/>
      <c r="E169" s="29"/>
      <c r="F169" s="30"/>
      <c r="G169" s="66"/>
      <c r="H169" s="130"/>
      <c r="I169" s="84"/>
      <c r="J169" s="17"/>
      <c r="K169" s="133"/>
      <c r="L169" s="135"/>
      <c r="M169" s="19"/>
      <c r="N169" s="131"/>
      <c r="O169" s="30"/>
      <c r="P169" s="29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7.75" customHeight="1">
      <c r="A170" s="29"/>
      <c r="B170" s="29"/>
      <c r="C170" s="29"/>
      <c r="D170" s="29"/>
      <c r="E170" s="29"/>
      <c r="F170" s="30"/>
      <c r="G170" s="66"/>
      <c r="H170" s="130"/>
      <c r="I170" s="84"/>
      <c r="J170" s="17"/>
      <c r="K170" s="133"/>
      <c r="L170" s="135"/>
      <c r="M170" s="19"/>
      <c r="N170" s="131"/>
      <c r="O170" s="30"/>
      <c r="P170" s="29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7.75" customHeight="1">
      <c r="A171" s="29"/>
      <c r="B171" s="29"/>
      <c r="C171" s="29"/>
      <c r="D171" s="29"/>
      <c r="E171" s="29"/>
      <c r="F171" s="30"/>
      <c r="G171" s="66"/>
      <c r="H171" s="130"/>
      <c r="I171" s="84"/>
      <c r="J171" s="17"/>
      <c r="K171" s="133"/>
      <c r="L171" s="135"/>
      <c r="M171" s="19"/>
      <c r="N171" s="131"/>
      <c r="O171" s="30"/>
      <c r="P171" s="29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7.75" customHeight="1">
      <c r="A172" s="29"/>
      <c r="B172" s="29"/>
      <c r="C172" s="29"/>
      <c r="D172" s="29"/>
      <c r="E172" s="29"/>
      <c r="F172" s="30"/>
      <c r="G172" s="66"/>
      <c r="H172" s="130"/>
      <c r="I172" s="84"/>
      <c r="J172" s="17"/>
      <c r="K172" s="133"/>
      <c r="L172" s="135"/>
      <c r="M172" s="19"/>
      <c r="N172" s="131"/>
      <c r="O172" s="30"/>
      <c r="P172" s="29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7.75" customHeight="1">
      <c r="A173" s="29"/>
      <c r="B173" s="29"/>
      <c r="C173" s="29"/>
      <c r="D173" s="29"/>
      <c r="E173" s="29"/>
      <c r="F173" s="30"/>
      <c r="G173" s="66"/>
      <c r="H173" s="130"/>
      <c r="I173" s="84"/>
      <c r="J173" s="17"/>
      <c r="K173" s="133"/>
      <c r="L173" s="135"/>
      <c r="M173" s="19"/>
      <c r="N173" s="131"/>
      <c r="O173" s="30"/>
      <c r="P173" s="29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7.75" customHeight="1">
      <c r="A174" s="29"/>
      <c r="B174" s="29"/>
      <c r="C174" s="29"/>
      <c r="D174" s="29"/>
      <c r="E174" s="29"/>
      <c r="F174" s="30"/>
      <c r="G174" s="66"/>
      <c r="H174" s="130"/>
      <c r="I174" s="84"/>
      <c r="J174" s="17"/>
      <c r="K174" s="133"/>
      <c r="L174" s="135"/>
      <c r="M174" s="19"/>
      <c r="N174" s="131"/>
      <c r="O174" s="30"/>
      <c r="P174" s="29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7.75" customHeight="1">
      <c r="A175" s="29"/>
      <c r="B175" s="29"/>
      <c r="C175" s="29"/>
      <c r="D175" s="29"/>
      <c r="E175" s="29"/>
      <c r="F175" s="30"/>
      <c r="G175" s="66"/>
      <c r="H175" s="130"/>
      <c r="I175" s="84"/>
      <c r="J175" s="17"/>
      <c r="K175" s="133"/>
      <c r="L175" s="135"/>
      <c r="M175" s="19"/>
      <c r="N175" s="131"/>
      <c r="O175" s="30"/>
      <c r="P175" s="29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7.75" customHeight="1">
      <c r="A176" s="29"/>
      <c r="B176" s="29"/>
      <c r="C176" s="29"/>
      <c r="D176" s="29"/>
      <c r="E176" s="29"/>
      <c r="F176" s="30"/>
      <c r="G176" s="66"/>
      <c r="H176" s="130"/>
      <c r="I176" s="84"/>
      <c r="J176" s="17"/>
      <c r="K176" s="133"/>
      <c r="L176" s="135"/>
      <c r="M176" s="19"/>
      <c r="N176" s="131"/>
      <c r="O176" s="30"/>
      <c r="P176" s="29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7.75" customHeight="1">
      <c r="A177" s="29"/>
      <c r="B177" s="29"/>
      <c r="C177" s="29"/>
      <c r="D177" s="29"/>
      <c r="E177" s="29"/>
      <c r="F177" s="30"/>
      <c r="G177" s="66"/>
      <c r="H177" s="130"/>
      <c r="I177" s="84"/>
      <c r="J177" s="17"/>
      <c r="K177" s="133"/>
      <c r="L177" s="135"/>
      <c r="M177" s="19"/>
      <c r="N177" s="131"/>
      <c r="O177" s="30"/>
      <c r="P177" s="29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7.75" customHeight="1">
      <c r="A178" s="29"/>
      <c r="B178" s="29"/>
      <c r="C178" s="29"/>
      <c r="D178" s="29"/>
      <c r="E178" s="29"/>
      <c r="F178" s="30"/>
      <c r="G178" s="66"/>
      <c r="H178" s="130"/>
      <c r="I178" s="84"/>
      <c r="J178" s="17"/>
      <c r="K178" s="133"/>
      <c r="L178" s="135"/>
      <c r="M178" s="19"/>
      <c r="N178" s="131"/>
      <c r="O178" s="30"/>
      <c r="P178" s="29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7.75" customHeight="1">
      <c r="A179" s="29"/>
      <c r="B179" s="29"/>
      <c r="C179" s="29"/>
      <c r="D179" s="29"/>
      <c r="E179" s="29"/>
      <c r="F179" s="30"/>
      <c r="G179" s="66"/>
      <c r="H179" s="130"/>
      <c r="I179" s="84"/>
      <c r="J179" s="17"/>
      <c r="K179" s="133"/>
      <c r="L179" s="135"/>
      <c r="M179" s="19"/>
      <c r="N179" s="131"/>
      <c r="O179" s="30"/>
      <c r="P179" s="29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7.75" customHeight="1">
      <c r="A180" s="29"/>
      <c r="B180" s="29"/>
      <c r="C180" s="29"/>
      <c r="D180" s="29"/>
      <c r="E180" s="29"/>
      <c r="F180" s="30"/>
      <c r="G180" s="66"/>
      <c r="H180" s="130"/>
      <c r="I180" s="84"/>
      <c r="J180" s="17"/>
      <c r="K180" s="133"/>
      <c r="L180" s="135"/>
      <c r="M180" s="19"/>
      <c r="N180" s="131"/>
      <c r="O180" s="30"/>
      <c r="P180" s="29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7.75" customHeight="1">
      <c r="A181" s="29"/>
      <c r="B181" s="29"/>
      <c r="C181" s="29"/>
      <c r="D181" s="29"/>
      <c r="E181" s="29"/>
      <c r="F181" s="30"/>
      <c r="G181" s="66"/>
      <c r="H181" s="130"/>
      <c r="I181" s="84"/>
      <c r="J181" s="17"/>
      <c r="K181" s="133"/>
      <c r="L181" s="135"/>
      <c r="M181" s="19"/>
      <c r="N181" s="131"/>
      <c r="O181" s="30"/>
      <c r="P181" s="29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7.75" customHeight="1">
      <c r="A182" s="29"/>
      <c r="B182" s="29"/>
      <c r="C182" s="29"/>
      <c r="D182" s="29"/>
      <c r="E182" s="29"/>
      <c r="F182" s="30"/>
      <c r="G182" s="66"/>
      <c r="H182" s="130"/>
      <c r="I182" s="84"/>
      <c r="J182" s="17"/>
      <c r="K182" s="133"/>
      <c r="L182" s="135"/>
      <c r="M182" s="19"/>
      <c r="N182" s="131"/>
      <c r="O182" s="30"/>
      <c r="P182" s="29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7.75" customHeight="1">
      <c r="A183" s="29"/>
      <c r="B183" s="29"/>
      <c r="C183" s="29"/>
      <c r="D183" s="29"/>
      <c r="E183" s="29"/>
      <c r="F183" s="30"/>
      <c r="G183" s="66"/>
      <c r="H183" s="130"/>
      <c r="I183" s="84"/>
      <c r="J183" s="17"/>
      <c r="K183" s="133"/>
      <c r="L183" s="135"/>
      <c r="M183" s="19"/>
      <c r="N183" s="131"/>
      <c r="O183" s="30"/>
      <c r="P183" s="29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7.75" customHeight="1">
      <c r="A184" s="29"/>
      <c r="B184" s="29"/>
      <c r="C184" s="29"/>
      <c r="D184" s="29"/>
      <c r="E184" s="29"/>
      <c r="F184" s="30"/>
      <c r="G184" s="66"/>
      <c r="H184" s="130"/>
      <c r="I184" s="84"/>
      <c r="J184" s="17"/>
      <c r="K184" s="133"/>
      <c r="L184" s="135"/>
      <c r="M184" s="19"/>
      <c r="N184" s="131"/>
      <c r="O184" s="30"/>
      <c r="P184" s="29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7.75" customHeight="1">
      <c r="A185" s="29"/>
      <c r="B185" s="29"/>
      <c r="C185" s="29"/>
      <c r="D185" s="29"/>
      <c r="E185" s="29"/>
      <c r="F185" s="30"/>
      <c r="G185" s="66"/>
      <c r="H185" s="130"/>
      <c r="I185" s="84"/>
      <c r="J185" s="17"/>
      <c r="K185" s="133"/>
      <c r="L185" s="135"/>
      <c r="M185" s="19"/>
      <c r="N185" s="131"/>
      <c r="O185" s="30"/>
      <c r="P185" s="29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7.75" customHeight="1">
      <c r="A186" s="29"/>
      <c r="B186" s="29"/>
      <c r="C186" s="29"/>
      <c r="D186" s="29"/>
      <c r="E186" s="29"/>
      <c r="F186" s="30"/>
      <c r="G186" s="66"/>
      <c r="H186" s="130"/>
      <c r="I186" s="84"/>
      <c r="J186" s="17"/>
      <c r="K186" s="133"/>
      <c r="L186" s="135"/>
      <c r="M186" s="19"/>
      <c r="N186" s="131"/>
      <c r="O186" s="30"/>
      <c r="P186" s="29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7.75" customHeight="1">
      <c r="A187" s="29"/>
      <c r="B187" s="29"/>
      <c r="C187" s="29"/>
      <c r="D187" s="29"/>
      <c r="E187" s="29"/>
      <c r="F187" s="30"/>
      <c r="G187" s="66"/>
      <c r="H187" s="130"/>
      <c r="I187" s="84"/>
      <c r="J187" s="17"/>
      <c r="K187" s="133"/>
      <c r="L187" s="135"/>
      <c r="M187" s="19"/>
      <c r="N187" s="131"/>
      <c r="O187" s="30"/>
      <c r="P187" s="29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7.75" customHeight="1">
      <c r="A188" s="29"/>
      <c r="B188" s="29"/>
      <c r="C188" s="29"/>
      <c r="D188" s="29"/>
      <c r="E188" s="29"/>
      <c r="F188" s="30"/>
      <c r="G188" s="66"/>
      <c r="H188" s="130"/>
      <c r="I188" s="84"/>
      <c r="J188" s="17"/>
      <c r="K188" s="133"/>
      <c r="L188" s="135"/>
      <c r="M188" s="19"/>
      <c r="N188" s="131"/>
      <c r="O188" s="30"/>
      <c r="P188" s="29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7.75" customHeight="1">
      <c r="A189" s="29"/>
      <c r="B189" s="29"/>
      <c r="C189" s="29"/>
      <c r="D189" s="29"/>
      <c r="E189" s="29"/>
      <c r="F189" s="30"/>
      <c r="G189" s="66"/>
      <c r="H189" s="130"/>
      <c r="I189" s="84"/>
      <c r="J189" s="17"/>
      <c r="K189" s="133"/>
      <c r="L189" s="135"/>
      <c r="M189" s="19"/>
      <c r="N189" s="131"/>
      <c r="O189" s="30"/>
      <c r="P189" s="29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7.75" customHeight="1">
      <c r="A190" s="29"/>
      <c r="B190" s="29"/>
      <c r="C190" s="29"/>
      <c r="D190" s="29"/>
      <c r="E190" s="29"/>
      <c r="F190" s="30"/>
      <c r="G190" s="66"/>
      <c r="H190" s="130"/>
      <c r="I190" s="84"/>
      <c r="J190" s="17"/>
      <c r="K190" s="133"/>
      <c r="L190" s="135"/>
      <c r="M190" s="19"/>
      <c r="N190" s="131"/>
      <c r="O190" s="30"/>
      <c r="P190" s="29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7.75" customHeight="1">
      <c r="A191" s="29"/>
      <c r="B191" s="29"/>
      <c r="C191" s="29"/>
      <c r="D191" s="29"/>
      <c r="E191" s="29"/>
      <c r="F191" s="30"/>
      <c r="G191" s="66"/>
      <c r="H191" s="130"/>
      <c r="I191" s="84"/>
      <c r="J191" s="17"/>
      <c r="K191" s="133"/>
      <c r="L191" s="135"/>
      <c r="M191" s="19"/>
      <c r="N191" s="131"/>
      <c r="O191" s="30"/>
      <c r="P191" s="29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7.75" customHeight="1">
      <c r="A192" s="29"/>
      <c r="B192" s="29"/>
      <c r="C192" s="29"/>
      <c r="D192" s="29"/>
      <c r="E192" s="29"/>
      <c r="F192" s="30"/>
      <c r="G192" s="66"/>
      <c r="H192" s="130"/>
      <c r="I192" s="84"/>
      <c r="J192" s="17"/>
      <c r="K192" s="133"/>
      <c r="L192" s="135"/>
      <c r="M192" s="19"/>
      <c r="N192" s="131"/>
      <c r="O192" s="30"/>
      <c r="P192" s="29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7.75" customHeight="1">
      <c r="A193" s="29"/>
      <c r="B193" s="29"/>
      <c r="C193" s="29"/>
      <c r="D193" s="29"/>
      <c r="E193" s="29"/>
      <c r="F193" s="30"/>
      <c r="G193" s="66"/>
      <c r="H193" s="130"/>
      <c r="I193" s="84"/>
      <c r="J193" s="17"/>
      <c r="K193" s="133"/>
      <c r="L193" s="135"/>
      <c r="M193" s="19"/>
      <c r="N193" s="131"/>
      <c r="O193" s="30"/>
      <c r="P193" s="29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7.75" customHeight="1">
      <c r="A194" s="29"/>
      <c r="B194" s="29"/>
      <c r="C194" s="29"/>
      <c r="D194" s="29"/>
      <c r="E194" s="29"/>
      <c r="F194" s="30"/>
      <c r="G194" s="66"/>
      <c r="H194" s="130"/>
      <c r="I194" s="84"/>
      <c r="J194" s="17"/>
      <c r="K194" s="133"/>
      <c r="L194" s="135"/>
      <c r="M194" s="19"/>
      <c r="N194" s="131"/>
      <c r="O194" s="30"/>
      <c r="P194" s="29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7.75" customHeight="1">
      <c r="A195" s="29"/>
      <c r="B195" s="29"/>
      <c r="C195" s="29"/>
      <c r="D195" s="29"/>
      <c r="E195" s="29"/>
      <c r="F195" s="30"/>
      <c r="G195" s="66"/>
      <c r="H195" s="130"/>
      <c r="I195" s="84"/>
      <c r="J195" s="17"/>
      <c r="K195" s="133"/>
      <c r="L195" s="135"/>
      <c r="M195" s="19"/>
      <c r="N195" s="131"/>
      <c r="O195" s="30"/>
      <c r="P195" s="29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7.75" customHeight="1">
      <c r="A196" s="29"/>
      <c r="B196" s="29"/>
      <c r="C196" s="29"/>
      <c r="D196" s="29"/>
      <c r="E196" s="29"/>
      <c r="F196" s="30"/>
      <c r="G196" s="66"/>
      <c r="H196" s="130"/>
      <c r="I196" s="84"/>
      <c r="J196" s="17"/>
      <c r="K196" s="133"/>
      <c r="L196" s="135"/>
      <c r="M196" s="19"/>
      <c r="N196" s="131"/>
      <c r="O196" s="30"/>
      <c r="P196" s="29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7.75" customHeight="1">
      <c r="A197" s="29"/>
      <c r="B197" s="29"/>
      <c r="C197" s="29"/>
      <c r="D197" s="29"/>
      <c r="E197" s="29"/>
      <c r="F197" s="30"/>
      <c r="G197" s="66"/>
      <c r="H197" s="130"/>
      <c r="I197" s="84"/>
      <c r="J197" s="17"/>
      <c r="K197" s="133"/>
      <c r="L197" s="135"/>
      <c r="M197" s="19"/>
      <c r="N197" s="131"/>
      <c r="O197" s="30"/>
      <c r="P197" s="29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7.75" customHeight="1">
      <c r="A198" s="29"/>
      <c r="B198" s="29"/>
      <c r="C198" s="29"/>
      <c r="D198" s="29"/>
      <c r="E198" s="29"/>
      <c r="F198" s="30"/>
      <c r="G198" s="66"/>
      <c r="H198" s="130"/>
      <c r="I198" s="84"/>
      <c r="J198" s="17"/>
      <c r="K198" s="133"/>
      <c r="L198" s="135"/>
      <c r="M198" s="19"/>
      <c r="N198" s="131"/>
      <c r="O198" s="30"/>
      <c r="P198" s="29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7.75" customHeight="1">
      <c r="A199" s="29"/>
      <c r="B199" s="29"/>
      <c r="C199" s="29"/>
      <c r="D199" s="29"/>
      <c r="E199" s="29"/>
      <c r="F199" s="30"/>
      <c r="G199" s="66"/>
      <c r="H199" s="130"/>
      <c r="I199" s="84"/>
      <c r="J199" s="17"/>
      <c r="K199" s="133"/>
      <c r="L199" s="135"/>
      <c r="M199" s="19"/>
      <c r="N199" s="131"/>
      <c r="O199" s="30"/>
      <c r="P199" s="29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7.75" customHeight="1">
      <c r="A200" s="29"/>
      <c r="B200" s="29"/>
      <c r="C200" s="29"/>
      <c r="D200" s="29"/>
      <c r="E200" s="29"/>
      <c r="F200" s="30"/>
      <c r="G200" s="66"/>
      <c r="H200" s="130"/>
      <c r="I200" s="84"/>
      <c r="J200" s="17"/>
      <c r="K200" s="133"/>
      <c r="L200" s="135"/>
      <c r="M200" s="19"/>
      <c r="N200" s="131"/>
      <c r="O200" s="30"/>
      <c r="P200" s="29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7.75" customHeight="1">
      <c r="A201" s="29"/>
      <c r="B201" s="29"/>
      <c r="C201" s="29"/>
      <c r="D201" s="29"/>
      <c r="E201" s="29"/>
      <c r="F201" s="30"/>
      <c r="G201" s="66"/>
      <c r="H201" s="130"/>
      <c r="I201" s="84"/>
      <c r="J201" s="17"/>
      <c r="K201" s="133"/>
      <c r="L201" s="135"/>
      <c r="M201" s="19"/>
      <c r="N201" s="131"/>
      <c r="O201" s="30"/>
      <c r="P201" s="29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7.75" customHeight="1">
      <c r="A202" s="29"/>
      <c r="B202" s="29"/>
      <c r="C202" s="29"/>
      <c r="D202" s="29"/>
      <c r="E202" s="29"/>
      <c r="F202" s="30"/>
      <c r="G202" s="66"/>
      <c r="H202" s="130"/>
      <c r="I202" s="84"/>
      <c r="J202" s="17"/>
      <c r="K202" s="133"/>
      <c r="L202" s="135"/>
      <c r="M202" s="19"/>
      <c r="N202" s="131"/>
      <c r="O202" s="30"/>
      <c r="P202" s="29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7.75" customHeight="1">
      <c r="A203" s="29"/>
      <c r="B203" s="29"/>
      <c r="C203" s="29"/>
      <c r="D203" s="29"/>
      <c r="E203" s="29"/>
      <c r="F203" s="30"/>
      <c r="G203" s="66"/>
      <c r="H203" s="130"/>
      <c r="I203" s="84"/>
      <c r="J203" s="17"/>
      <c r="K203" s="133"/>
      <c r="L203" s="135"/>
      <c r="M203" s="19"/>
      <c r="N203" s="131"/>
      <c r="O203" s="30"/>
      <c r="P203" s="29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7.75" customHeight="1">
      <c r="A204" s="29"/>
      <c r="B204" s="29"/>
      <c r="C204" s="29"/>
      <c r="D204" s="29"/>
      <c r="E204" s="29"/>
      <c r="F204" s="30"/>
      <c r="G204" s="66"/>
      <c r="H204" s="130"/>
      <c r="I204" s="84"/>
      <c r="J204" s="17"/>
      <c r="K204" s="133"/>
      <c r="L204" s="135"/>
      <c r="M204" s="19"/>
      <c r="N204" s="131"/>
      <c r="O204" s="30"/>
      <c r="P204" s="29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7.75" customHeight="1">
      <c r="A205" s="29"/>
      <c r="B205" s="29"/>
      <c r="C205" s="29"/>
      <c r="D205" s="29"/>
      <c r="E205" s="29"/>
      <c r="F205" s="30"/>
      <c r="G205" s="66"/>
      <c r="H205" s="130"/>
      <c r="I205" s="84"/>
      <c r="J205" s="17"/>
      <c r="K205" s="133"/>
      <c r="L205" s="135"/>
      <c r="M205" s="19"/>
      <c r="N205" s="131"/>
      <c r="O205" s="30"/>
      <c r="P205" s="29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7.75" customHeight="1">
      <c r="A206" s="29"/>
      <c r="B206" s="29"/>
      <c r="C206" s="29"/>
      <c r="D206" s="29"/>
      <c r="E206" s="29"/>
      <c r="F206" s="30"/>
      <c r="G206" s="66"/>
      <c r="H206" s="130"/>
      <c r="I206" s="84"/>
      <c r="J206" s="17"/>
      <c r="K206" s="133"/>
      <c r="L206" s="135"/>
      <c r="M206" s="19"/>
      <c r="N206" s="131"/>
      <c r="O206" s="30"/>
      <c r="P206" s="29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7.75" customHeight="1">
      <c r="A207" s="29"/>
      <c r="B207" s="29"/>
      <c r="C207" s="29"/>
      <c r="D207" s="29"/>
      <c r="E207" s="29"/>
      <c r="F207" s="30"/>
      <c r="G207" s="66"/>
      <c r="H207" s="130"/>
      <c r="I207" s="84"/>
      <c r="J207" s="17"/>
      <c r="K207" s="133"/>
      <c r="L207" s="135"/>
      <c r="M207" s="19"/>
      <c r="N207" s="131"/>
      <c r="O207" s="30"/>
      <c r="P207" s="29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7.75" customHeight="1">
      <c r="A208" s="29"/>
      <c r="B208" s="29"/>
      <c r="C208" s="29"/>
      <c r="D208" s="29"/>
      <c r="E208" s="29"/>
      <c r="F208" s="30"/>
      <c r="G208" s="66"/>
      <c r="H208" s="130"/>
      <c r="I208" s="84"/>
      <c r="J208" s="17"/>
      <c r="K208" s="133"/>
      <c r="L208" s="135"/>
      <c r="M208" s="19"/>
      <c r="N208" s="131"/>
      <c r="O208" s="30"/>
      <c r="P208" s="29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7.75" customHeight="1">
      <c r="A209" s="29"/>
      <c r="B209" s="29"/>
      <c r="C209" s="29"/>
      <c r="D209" s="29"/>
      <c r="E209" s="29"/>
      <c r="F209" s="30"/>
      <c r="G209" s="66"/>
      <c r="H209" s="130"/>
      <c r="I209" s="84"/>
      <c r="J209" s="17"/>
      <c r="K209" s="133"/>
      <c r="L209" s="135"/>
      <c r="M209" s="19"/>
      <c r="N209" s="131"/>
      <c r="O209" s="30"/>
      <c r="P209" s="29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7.75" customHeight="1">
      <c r="A210" s="29"/>
      <c r="B210" s="29"/>
      <c r="C210" s="29"/>
      <c r="D210" s="29"/>
      <c r="E210" s="29"/>
      <c r="F210" s="30"/>
      <c r="G210" s="66"/>
      <c r="H210" s="130"/>
      <c r="I210" s="84"/>
      <c r="J210" s="17"/>
      <c r="K210" s="133"/>
      <c r="L210" s="135"/>
      <c r="M210" s="19"/>
      <c r="N210" s="131"/>
      <c r="O210" s="30"/>
      <c r="P210" s="29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7.75" customHeight="1">
      <c r="A211" s="29"/>
      <c r="B211" s="29"/>
      <c r="C211" s="29"/>
      <c r="D211" s="29"/>
      <c r="E211" s="29"/>
      <c r="F211" s="30"/>
      <c r="G211" s="66"/>
      <c r="H211" s="130"/>
      <c r="I211" s="84"/>
      <c r="J211" s="17"/>
      <c r="K211" s="133"/>
      <c r="L211" s="135"/>
      <c r="M211" s="19"/>
      <c r="N211" s="131"/>
      <c r="O211" s="30"/>
      <c r="P211" s="29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7.75" customHeight="1">
      <c r="A212" s="29"/>
      <c r="B212" s="29"/>
      <c r="C212" s="29"/>
      <c r="D212" s="29"/>
      <c r="E212" s="29"/>
      <c r="F212" s="30"/>
      <c r="G212" s="66"/>
      <c r="H212" s="130"/>
      <c r="I212" s="84"/>
      <c r="J212" s="17"/>
      <c r="K212" s="133"/>
      <c r="L212" s="135"/>
      <c r="M212" s="19"/>
      <c r="N212" s="131"/>
      <c r="O212" s="30"/>
      <c r="P212" s="29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7.75" customHeight="1">
      <c r="A213" s="29"/>
      <c r="B213" s="29"/>
      <c r="C213" s="29"/>
      <c r="D213" s="29"/>
      <c r="E213" s="29"/>
      <c r="F213" s="30"/>
      <c r="G213" s="66"/>
      <c r="H213" s="130"/>
      <c r="I213" s="84"/>
      <c r="J213" s="17"/>
      <c r="K213" s="133"/>
      <c r="L213" s="135"/>
      <c r="M213" s="19"/>
      <c r="N213" s="131"/>
      <c r="O213" s="30"/>
      <c r="P213" s="29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7.75" customHeight="1">
      <c r="A214" s="29"/>
      <c r="B214" s="29"/>
      <c r="C214" s="29"/>
      <c r="D214" s="29"/>
      <c r="E214" s="29"/>
      <c r="F214" s="30"/>
      <c r="G214" s="66"/>
      <c r="H214" s="130"/>
      <c r="I214" s="84"/>
      <c r="J214" s="17"/>
      <c r="K214" s="133"/>
      <c r="L214" s="135"/>
      <c r="M214" s="19"/>
      <c r="N214" s="131"/>
      <c r="O214" s="30"/>
      <c r="P214" s="29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7.75" customHeight="1">
      <c r="A215" s="29"/>
      <c r="B215" s="29"/>
      <c r="C215" s="29"/>
      <c r="D215" s="29"/>
      <c r="E215" s="29"/>
      <c r="F215" s="30"/>
      <c r="G215" s="66"/>
      <c r="H215" s="130"/>
      <c r="I215" s="84"/>
      <c r="J215" s="17"/>
      <c r="K215" s="133"/>
      <c r="L215" s="135"/>
      <c r="M215" s="19"/>
      <c r="N215" s="131"/>
      <c r="O215" s="30"/>
      <c r="P215" s="29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7.75" customHeight="1">
      <c r="A216" s="29"/>
      <c r="B216" s="29"/>
      <c r="C216" s="29"/>
      <c r="D216" s="29"/>
      <c r="E216" s="29"/>
      <c r="F216" s="30"/>
      <c r="G216" s="66"/>
      <c r="H216" s="130"/>
      <c r="I216" s="84"/>
      <c r="J216" s="17"/>
      <c r="K216" s="133"/>
      <c r="L216" s="135"/>
      <c r="M216" s="19"/>
      <c r="N216" s="131"/>
      <c r="O216" s="30"/>
      <c r="P216" s="29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7.75" customHeight="1">
      <c r="A217" s="29"/>
      <c r="B217" s="29"/>
      <c r="C217" s="29"/>
      <c r="D217" s="29"/>
      <c r="E217" s="29"/>
      <c r="F217" s="30"/>
      <c r="G217" s="66"/>
      <c r="H217" s="130"/>
      <c r="I217" s="84"/>
      <c r="J217" s="17"/>
      <c r="K217" s="133"/>
      <c r="L217" s="135"/>
      <c r="M217" s="19"/>
      <c r="N217" s="131"/>
      <c r="O217" s="30"/>
      <c r="P217" s="29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7.75" customHeight="1">
      <c r="A218" s="29"/>
      <c r="B218" s="29"/>
      <c r="C218" s="29"/>
      <c r="D218" s="29"/>
      <c r="E218" s="29"/>
      <c r="F218" s="30"/>
      <c r="G218" s="66"/>
      <c r="H218" s="130"/>
      <c r="I218" s="84"/>
      <c r="J218" s="17"/>
      <c r="K218" s="133"/>
      <c r="L218" s="135"/>
      <c r="M218" s="19"/>
      <c r="N218" s="131"/>
      <c r="O218" s="30"/>
      <c r="P218" s="29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7.75" customHeight="1">
      <c r="A219" s="29"/>
      <c r="B219" s="29"/>
      <c r="C219" s="29"/>
      <c r="D219" s="29"/>
      <c r="E219" s="29"/>
      <c r="F219" s="30"/>
      <c r="G219" s="66"/>
      <c r="H219" s="130"/>
      <c r="I219" s="84"/>
      <c r="J219" s="17"/>
      <c r="K219" s="133"/>
      <c r="L219" s="135"/>
      <c r="M219" s="19"/>
      <c r="N219" s="131"/>
      <c r="O219" s="30"/>
      <c r="P219" s="29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7.75" customHeight="1">
      <c r="A220" s="29"/>
      <c r="B220" s="29"/>
      <c r="C220" s="29"/>
      <c r="D220" s="29"/>
      <c r="E220" s="29"/>
      <c r="F220" s="30"/>
      <c r="G220" s="66"/>
      <c r="H220" s="130"/>
      <c r="I220" s="84"/>
      <c r="J220" s="17"/>
      <c r="K220" s="133"/>
      <c r="L220" s="135"/>
      <c r="M220" s="19"/>
      <c r="N220" s="131"/>
      <c r="O220" s="30"/>
      <c r="P220" s="29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7.75" customHeight="1">
      <c r="A221" s="29"/>
      <c r="B221" s="29"/>
      <c r="C221" s="29"/>
      <c r="D221" s="29"/>
      <c r="E221" s="29"/>
      <c r="F221" s="30"/>
      <c r="G221" s="66"/>
      <c r="H221" s="130"/>
      <c r="I221" s="84"/>
      <c r="J221" s="17"/>
      <c r="K221" s="133"/>
      <c r="L221" s="135"/>
      <c r="M221" s="19"/>
      <c r="N221" s="131"/>
      <c r="O221" s="30"/>
      <c r="P221" s="29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7.75" customHeight="1">
      <c r="A222" s="29"/>
      <c r="B222" s="29"/>
      <c r="C222" s="29"/>
      <c r="D222" s="29"/>
      <c r="E222" s="29"/>
      <c r="F222" s="30"/>
      <c r="G222" s="66"/>
      <c r="H222" s="130"/>
      <c r="I222" s="84"/>
      <c r="J222" s="17"/>
      <c r="K222" s="133"/>
      <c r="L222" s="135"/>
      <c r="M222" s="19"/>
      <c r="N222" s="131"/>
      <c r="O222" s="30"/>
      <c r="P222" s="29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7.75" customHeight="1">
      <c r="A223" s="29"/>
      <c r="B223" s="29"/>
      <c r="C223" s="29"/>
      <c r="D223" s="29"/>
      <c r="E223" s="29"/>
      <c r="F223" s="30"/>
      <c r="G223" s="66"/>
      <c r="H223" s="130"/>
      <c r="I223" s="84"/>
      <c r="J223" s="17"/>
      <c r="K223" s="133"/>
      <c r="L223" s="135"/>
      <c r="M223" s="19"/>
      <c r="N223" s="131"/>
      <c r="O223" s="30"/>
      <c r="P223" s="29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7.75" customHeight="1">
      <c r="A224" s="29"/>
      <c r="B224" s="29"/>
      <c r="C224" s="29"/>
      <c r="D224" s="29"/>
      <c r="E224" s="29"/>
      <c r="F224" s="30"/>
      <c r="G224" s="66"/>
      <c r="H224" s="130"/>
      <c r="I224" s="84"/>
      <c r="J224" s="17"/>
      <c r="K224" s="133"/>
      <c r="L224" s="135"/>
      <c r="M224" s="19"/>
      <c r="N224" s="131"/>
      <c r="O224" s="30"/>
      <c r="P224" s="29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7.75" customHeight="1">
      <c r="A225" s="29"/>
      <c r="B225" s="29"/>
      <c r="C225" s="29"/>
      <c r="D225" s="29"/>
      <c r="E225" s="29"/>
      <c r="F225" s="30"/>
      <c r="G225" s="66"/>
      <c r="H225" s="130"/>
      <c r="I225" s="84"/>
      <c r="J225" s="17"/>
      <c r="K225" s="133"/>
      <c r="L225" s="135"/>
      <c r="M225" s="19"/>
      <c r="N225" s="131"/>
      <c r="O225" s="30"/>
      <c r="P225" s="29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7.75" customHeight="1">
      <c r="A226" s="29"/>
      <c r="B226" s="29"/>
      <c r="C226" s="29"/>
      <c r="D226" s="29"/>
      <c r="E226" s="29"/>
      <c r="F226" s="30"/>
      <c r="G226" s="66"/>
      <c r="H226" s="130"/>
      <c r="I226" s="84"/>
      <c r="J226" s="17"/>
      <c r="K226" s="133"/>
      <c r="L226" s="135"/>
      <c r="M226" s="19"/>
      <c r="N226" s="131"/>
      <c r="O226" s="30"/>
      <c r="P226" s="29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7.75" customHeight="1">
      <c r="A227" s="29"/>
      <c r="B227" s="29"/>
      <c r="C227" s="29"/>
      <c r="D227" s="29"/>
      <c r="E227" s="29"/>
      <c r="F227" s="30"/>
      <c r="G227" s="66"/>
      <c r="H227" s="130"/>
      <c r="I227" s="84"/>
      <c r="J227" s="17"/>
      <c r="K227" s="133"/>
      <c r="L227" s="135"/>
      <c r="M227" s="19"/>
      <c r="N227" s="131"/>
      <c r="O227" s="30"/>
      <c r="P227" s="29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7.75" customHeight="1">
      <c r="A228" s="29"/>
      <c r="B228" s="29"/>
      <c r="C228" s="29"/>
      <c r="D228" s="29"/>
      <c r="E228" s="29"/>
      <c r="F228" s="30"/>
      <c r="G228" s="66"/>
      <c r="H228" s="130"/>
      <c r="I228" s="84"/>
      <c r="J228" s="17"/>
      <c r="K228" s="133"/>
      <c r="L228" s="135"/>
      <c r="M228" s="19"/>
      <c r="N228" s="131"/>
      <c r="O228" s="30"/>
      <c r="P228" s="29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7.75" customHeight="1">
      <c r="A229" s="29"/>
      <c r="B229" s="29"/>
      <c r="C229" s="29"/>
      <c r="D229" s="29"/>
      <c r="E229" s="29"/>
      <c r="F229" s="30"/>
      <c r="G229" s="66"/>
      <c r="H229" s="130"/>
      <c r="I229" s="84"/>
      <c r="J229" s="17"/>
      <c r="K229" s="133"/>
      <c r="L229" s="135"/>
      <c r="M229" s="19"/>
      <c r="N229" s="131"/>
      <c r="O229" s="30"/>
      <c r="P229" s="29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7.75" customHeight="1">
      <c r="A230" s="29"/>
      <c r="B230" s="29"/>
      <c r="C230" s="29"/>
      <c r="D230" s="29"/>
      <c r="E230" s="29"/>
      <c r="F230" s="30"/>
      <c r="G230" s="66"/>
      <c r="H230" s="130"/>
      <c r="I230" s="84"/>
      <c r="J230" s="17"/>
      <c r="K230" s="133"/>
      <c r="L230" s="135"/>
      <c r="M230" s="19"/>
      <c r="N230" s="131"/>
      <c r="O230" s="30"/>
      <c r="P230" s="29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7.75" customHeight="1">
      <c r="A231" s="29"/>
      <c r="B231" s="29"/>
      <c r="C231" s="29"/>
      <c r="D231" s="29"/>
      <c r="E231" s="29"/>
      <c r="F231" s="30"/>
      <c r="G231" s="66"/>
      <c r="H231" s="130"/>
      <c r="I231" s="84"/>
      <c r="J231" s="17"/>
      <c r="K231" s="133"/>
      <c r="L231" s="135"/>
      <c r="M231" s="19"/>
      <c r="N231" s="131"/>
      <c r="O231" s="30"/>
      <c r="P231" s="29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7.75" customHeight="1">
      <c r="A232" s="29"/>
      <c r="B232" s="29"/>
      <c r="C232" s="29"/>
      <c r="D232" s="29"/>
      <c r="E232" s="29"/>
      <c r="F232" s="30"/>
      <c r="G232" s="66"/>
      <c r="H232" s="130"/>
      <c r="I232" s="84"/>
      <c r="J232" s="17"/>
      <c r="K232" s="133"/>
      <c r="L232" s="135"/>
      <c r="M232" s="19"/>
      <c r="N232" s="131"/>
      <c r="O232" s="30"/>
      <c r="P232" s="29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7.75" customHeight="1">
      <c r="A233" s="29"/>
      <c r="B233" s="29"/>
      <c r="C233" s="29"/>
      <c r="D233" s="29"/>
      <c r="E233" s="29"/>
      <c r="F233" s="30"/>
      <c r="G233" s="66"/>
      <c r="H233" s="130"/>
      <c r="I233" s="84"/>
      <c r="J233" s="17"/>
      <c r="K233" s="133"/>
      <c r="L233" s="135"/>
      <c r="M233" s="19"/>
      <c r="N233" s="131"/>
      <c r="O233" s="30"/>
      <c r="P233" s="29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7.75" customHeight="1">
      <c r="A234" s="29"/>
      <c r="B234" s="29"/>
      <c r="C234" s="29"/>
      <c r="D234" s="29"/>
      <c r="E234" s="29"/>
      <c r="F234" s="30"/>
      <c r="G234" s="66"/>
      <c r="H234" s="130"/>
      <c r="I234" s="84"/>
      <c r="J234" s="17"/>
      <c r="K234" s="133"/>
      <c r="L234" s="135"/>
      <c r="M234" s="19"/>
      <c r="N234" s="131"/>
      <c r="O234" s="30"/>
      <c r="P234" s="29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7.75" customHeight="1">
      <c r="A235" s="29"/>
      <c r="B235" s="29"/>
      <c r="C235" s="29"/>
      <c r="D235" s="29"/>
      <c r="E235" s="29"/>
      <c r="F235" s="30"/>
      <c r="G235" s="66"/>
      <c r="H235" s="130"/>
      <c r="I235" s="84"/>
      <c r="J235" s="17"/>
      <c r="K235" s="133"/>
      <c r="L235" s="135"/>
      <c r="M235" s="19"/>
      <c r="N235" s="131"/>
      <c r="O235" s="30"/>
      <c r="P235" s="29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7.75" customHeight="1">
      <c r="A236" s="29"/>
      <c r="B236" s="29"/>
      <c r="C236" s="29"/>
      <c r="D236" s="29"/>
      <c r="E236" s="29"/>
      <c r="F236" s="30"/>
      <c r="G236" s="66"/>
      <c r="H236" s="130"/>
      <c r="I236" s="84"/>
      <c r="J236" s="17"/>
      <c r="K236" s="133"/>
      <c r="L236" s="135"/>
      <c r="M236" s="19"/>
      <c r="N236" s="131"/>
      <c r="O236" s="30"/>
      <c r="P236" s="29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7.75" customHeight="1">
      <c r="A237" s="29"/>
      <c r="B237" s="29"/>
      <c r="C237" s="29"/>
      <c r="D237" s="29"/>
      <c r="E237" s="29"/>
      <c r="F237" s="30"/>
      <c r="G237" s="66"/>
      <c r="H237" s="130"/>
      <c r="I237" s="84"/>
      <c r="J237" s="17"/>
      <c r="K237" s="133"/>
      <c r="L237" s="135"/>
      <c r="M237" s="19"/>
      <c r="N237" s="131"/>
      <c r="O237" s="30"/>
      <c r="P237" s="29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7.75" customHeight="1">
      <c r="A238" s="29"/>
      <c r="B238" s="29"/>
      <c r="C238" s="29"/>
      <c r="D238" s="29"/>
      <c r="E238" s="29"/>
      <c r="F238" s="30"/>
      <c r="G238" s="66"/>
      <c r="H238" s="130"/>
      <c r="I238" s="84"/>
      <c r="J238" s="17"/>
      <c r="K238" s="133"/>
      <c r="L238" s="135"/>
      <c r="M238" s="19"/>
      <c r="N238" s="131"/>
      <c r="O238" s="30"/>
      <c r="P238" s="29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7.75" customHeight="1">
      <c r="A239" s="29"/>
      <c r="B239" s="29"/>
      <c r="C239" s="29"/>
      <c r="D239" s="29"/>
      <c r="E239" s="29"/>
      <c r="F239" s="30"/>
      <c r="G239" s="66"/>
      <c r="H239" s="130"/>
      <c r="I239" s="84"/>
      <c r="J239" s="17"/>
      <c r="K239" s="133"/>
      <c r="L239" s="135"/>
      <c r="M239" s="19"/>
      <c r="N239" s="131"/>
      <c r="O239" s="30"/>
      <c r="P239" s="29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7.75" customHeight="1">
      <c r="A240" s="29"/>
      <c r="B240" s="29"/>
      <c r="C240" s="29"/>
      <c r="D240" s="29"/>
      <c r="E240" s="29"/>
      <c r="F240" s="30"/>
      <c r="G240" s="66"/>
      <c r="H240" s="130"/>
      <c r="I240" s="84"/>
      <c r="J240" s="17"/>
      <c r="K240" s="133"/>
      <c r="L240" s="135"/>
      <c r="M240" s="19"/>
      <c r="N240" s="131"/>
      <c r="O240" s="30"/>
      <c r="P240" s="29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7.75" customHeight="1">
      <c r="A241" s="29"/>
      <c r="B241" s="29"/>
      <c r="C241" s="29"/>
      <c r="D241" s="29"/>
      <c r="E241" s="29"/>
      <c r="F241" s="30"/>
      <c r="G241" s="66"/>
      <c r="H241" s="130"/>
      <c r="I241" s="84"/>
      <c r="J241" s="17"/>
      <c r="K241" s="133"/>
      <c r="L241" s="135"/>
      <c r="M241" s="19"/>
      <c r="N241" s="131"/>
      <c r="O241" s="30"/>
      <c r="P241" s="29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7.75" customHeight="1">
      <c r="A242" s="29"/>
      <c r="B242" s="29"/>
      <c r="C242" s="29"/>
      <c r="D242" s="29"/>
      <c r="E242" s="29"/>
      <c r="F242" s="30"/>
      <c r="G242" s="66"/>
      <c r="H242" s="130"/>
      <c r="I242" s="84"/>
      <c r="J242" s="17"/>
      <c r="K242" s="133"/>
      <c r="L242" s="135"/>
      <c r="M242" s="19"/>
      <c r="N242" s="131"/>
      <c r="O242" s="30"/>
      <c r="P242" s="29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7.75" customHeight="1">
      <c r="A243" s="29"/>
      <c r="B243" s="29"/>
      <c r="C243" s="29"/>
      <c r="D243" s="29"/>
      <c r="E243" s="29"/>
      <c r="F243" s="30"/>
      <c r="G243" s="66"/>
      <c r="H243" s="130"/>
      <c r="I243" s="84"/>
      <c r="J243" s="17"/>
      <c r="K243" s="133"/>
      <c r="L243" s="135"/>
      <c r="M243" s="19"/>
      <c r="N243" s="131"/>
      <c r="O243" s="30"/>
      <c r="P243" s="29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7.75" customHeight="1">
      <c r="A244" s="29"/>
      <c r="B244" s="29"/>
      <c r="C244" s="29"/>
      <c r="D244" s="29"/>
      <c r="E244" s="29"/>
      <c r="F244" s="30"/>
      <c r="G244" s="66"/>
      <c r="H244" s="130"/>
      <c r="I244" s="84"/>
      <c r="J244" s="17"/>
      <c r="K244" s="133"/>
      <c r="L244" s="135"/>
      <c r="M244" s="19"/>
      <c r="N244" s="131"/>
      <c r="O244" s="30"/>
      <c r="P244" s="29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7.75" customHeight="1">
      <c r="A245" s="29"/>
      <c r="B245" s="29"/>
      <c r="C245" s="29"/>
      <c r="D245" s="29"/>
      <c r="E245" s="29"/>
      <c r="F245" s="30"/>
      <c r="G245" s="66"/>
      <c r="H245" s="130"/>
      <c r="I245" s="84"/>
      <c r="J245" s="17"/>
      <c r="K245" s="133"/>
      <c r="L245" s="135"/>
      <c r="M245" s="19"/>
      <c r="N245" s="131"/>
      <c r="O245" s="30"/>
      <c r="P245" s="29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7.75" customHeight="1">
      <c r="A246" s="29"/>
      <c r="B246" s="29"/>
      <c r="C246" s="29"/>
      <c r="D246" s="29"/>
      <c r="E246" s="29"/>
      <c r="F246" s="30"/>
      <c r="G246" s="66"/>
      <c r="H246" s="130"/>
      <c r="I246" s="84"/>
      <c r="J246" s="17"/>
      <c r="K246" s="133"/>
      <c r="L246" s="135"/>
      <c r="M246" s="19"/>
      <c r="N246" s="131"/>
      <c r="O246" s="30"/>
      <c r="P246" s="29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7.75" customHeight="1">
      <c r="A247" s="29"/>
      <c r="B247" s="29"/>
      <c r="C247" s="29"/>
      <c r="D247" s="29"/>
      <c r="E247" s="29"/>
      <c r="F247" s="30"/>
      <c r="G247" s="66"/>
      <c r="H247" s="130"/>
      <c r="I247" s="84"/>
      <c r="J247" s="17"/>
      <c r="K247" s="133"/>
      <c r="L247" s="135"/>
      <c r="M247" s="19"/>
      <c r="N247" s="131"/>
      <c r="O247" s="30"/>
      <c r="P247" s="29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7.75" customHeight="1">
      <c r="A248" s="29"/>
      <c r="B248" s="29"/>
      <c r="C248" s="29"/>
      <c r="D248" s="29"/>
      <c r="E248" s="29"/>
      <c r="F248" s="30"/>
      <c r="G248" s="66"/>
      <c r="H248" s="130"/>
      <c r="I248" s="84"/>
      <c r="J248" s="17"/>
      <c r="K248" s="133"/>
      <c r="L248" s="135"/>
      <c r="M248" s="19"/>
      <c r="N248" s="131"/>
      <c r="O248" s="30"/>
      <c r="P248" s="29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7.75" customHeight="1">
      <c r="A249" s="29"/>
      <c r="B249" s="29"/>
      <c r="C249" s="29"/>
      <c r="D249" s="29"/>
      <c r="E249" s="29"/>
      <c r="F249" s="30"/>
      <c r="G249" s="66"/>
      <c r="H249" s="130"/>
      <c r="I249" s="84"/>
      <c r="J249" s="17"/>
      <c r="K249" s="133"/>
      <c r="L249" s="135"/>
      <c r="M249" s="19"/>
      <c r="N249" s="131"/>
      <c r="O249" s="30"/>
      <c r="P249" s="29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7.75" customHeight="1">
      <c r="A250" s="29"/>
      <c r="B250" s="29"/>
      <c r="C250" s="29"/>
      <c r="D250" s="29"/>
      <c r="E250" s="29"/>
      <c r="F250" s="30"/>
      <c r="G250" s="66"/>
      <c r="H250" s="130"/>
      <c r="I250" s="84"/>
      <c r="J250" s="17"/>
      <c r="K250" s="133"/>
      <c r="L250" s="135"/>
      <c r="M250" s="19"/>
      <c r="N250" s="131"/>
      <c r="O250" s="30"/>
      <c r="P250" s="29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7.75" customHeight="1">
      <c r="A251" s="29"/>
      <c r="B251" s="29"/>
      <c r="C251" s="29"/>
      <c r="D251" s="29"/>
      <c r="E251" s="29"/>
      <c r="F251" s="30"/>
      <c r="G251" s="66"/>
      <c r="H251" s="130"/>
      <c r="I251" s="84"/>
      <c r="J251" s="17"/>
      <c r="K251" s="133"/>
      <c r="L251" s="135"/>
      <c r="M251" s="19"/>
      <c r="N251" s="131"/>
      <c r="O251" s="30"/>
      <c r="P251" s="29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7.75" customHeight="1">
      <c r="A252" s="29"/>
      <c r="B252" s="29"/>
      <c r="C252" s="29"/>
      <c r="D252" s="29"/>
      <c r="E252" s="29"/>
      <c r="F252" s="30"/>
      <c r="G252" s="66"/>
      <c r="H252" s="130"/>
      <c r="I252" s="84"/>
      <c r="J252" s="17"/>
      <c r="K252" s="133"/>
      <c r="L252" s="135"/>
      <c r="M252" s="19"/>
      <c r="N252" s="131"/>
      <c r="O252" s="30"/>
      <c r="P252" s="29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7.75" customHeight="1">
      <c r="A253" s="29"/>
      <c r="B253" s="29"/>
      <c r="C253" s="29"/>
      <c r="D253" s="29"/>
      <c r="E253" s="29"/>
      <c r="F253" s="30"/>
      <c r="G253" s="66"/>
      <c r="H253" s="130"/>
      <c r="I253" s="84"/>
      <c r="J253" s="17"/>
      <c r="K253" s="133"/>
      <c r="L253" s="135"/>
      <c r="M253" s="19"/>
      <c r="N253" s="131"/>
      <c r="O253" s="30"/>
      <c r="P253" s="29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7.75" customHeight="1">
      <c r="A254" s="29"/>
      <c r="B254" s="29"/>
      <c r="C254" s="29"/>
      <c r="D254" s="29"/>
      <c r="E254" s="29"/>
      <c r="F254" s="30"/>
      <c r="G254" s="66"/>
      <c r="H254" s="130"/>
      <c r="I254" s="84"/>
      <c r="J254" s="17"/>
      <c r="K254" s="133"/>
      <c r="L254" s="135"/>
      <c r="M254" s="19"/>
      <c r="N254" s="131"/>
      <c r="O254" s="30"/>
      <c r="P254" s="29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7.75" customHeight="1">
      <c r="A255" s="29"/>
      <c r="B255" s="29"/>
      <c r="C255" s="29"/>
      <c r="D255" s="29"/>
      <c r="E255" s="29"/>
      <c r="F255" s="30"/>
      <c r="G255" s="66"/>
      <c r="H255" s="130"/>
      <c r="I255" s="84"/>
      <c r="J255" s="17"/>
      <c r="K255" s="133"/>
      <c r="L255" s="135"/>
      <c r="M255" s="19"/>
      <c r="N255" s="131"/>
      <c r="O255" s="30"/>
      <c r="P255" s="29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7.75" customHeight="1">
      <c r="A256" s="29"/>
      <c r="B256" s="29"/>
      <c r="C256" s="29"/>
      <c r="D256" s="29"/>
      <c r="E256" s="29"/>
      <c r="F256" s="30"/>
      <c r="G256" s="66"/>
      <c r="H256" s="130"/>
      <c r="I256" s="84"/>
      <c r="J256" s="17"/>
      <c r="K256" s="133"/>
      <c r="L256" s="135"/>
      <c r="M256" s="19"/>
      <c r="N256" s="131"/>
      <c r="O256" s="30"/>
      <c r="P256" s="29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7.75" customHeight="1">
      <c r="A257" s="29"/>
      <c r="B257" s="29"/>
      <c r="C257" s="29"/>
      <c r="D257" s="29"/>
      <c r="E257" s="29"/>
      <c r="F257" s="30"/>
      <c r="G257" s="66"/>
      <c r="H257" s="130"/>
      <c r="I257" s="84"/>
      <c r="J257" s="17"/>
      <c r="K257" s="133"/>
      <c r="L257" s="135"/>
      <c r="M257" s="19"/>
      <c r="N257" s="131"/>
      <c r="O257" s="30"/>
      <c r="P257" s="29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7.75" customHeight="1">
      <c r="A258" s="29"/>
      <c r="B258" s="29"/>
      <c r="C258" s="29"/>
      <c r="D258" s="29"/>
      <c r="E258" s="29"/>
      <c r="F258" s="30"/>
      <c r="G258" s="66"/>
      <c r="H258" s="130"/>
      <c r="I258" s="84"/>
      <c r="J258" s="17"/>
      <c r="K258" s="133"/>
      <c r="L258" s="135"/>
      <c r="M258" s="19"/>
      <c r="N258" s="131"/>
      <c r="O258" s="30"/>
      <c r="P258" s="29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7.75" customHeight="1">
      <c r="A259" s="29"/>
      <c r="B259" s="29"/>
      <c r="C259" s="29"/>
      <c r="D259" s="29"/>
      <c r="E259" s="29"/>
      <c r="F259" s="30"/>
      <c r="G259" s="66"/>
      <c r="H259" s="130"/>
      <c r="I259" s="84"/>
      <c r="J259" s="17"/>
      <c r="K259" s="133"/>
      <c r="L259" s="135"/>
      <c r="M259" s="19"/>
      <c r="N259" s="131"/>
      <c r="O259" s="30"/>
      <c r="P259" s="29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7.75" customHeight="1">
      <c r="A260" s="29"/>
      <c r="B260" s="29"/>
      <c r="C260" s="29"/>
      <c r="D260" s="29"/>
      <c r="E260" s="29"/>
      <c r="F260" s="30"/>
      <c r="G260" s="66"/>
      <c r="H260" s="130"/>
      <c r="I260" s="84"/>
      <c r="J260" s="17"/>
      <c r="K260" s="133"/>
      <c r="L260" s="135"/>
      <c r="M260" s="19"/>
      <c r="N260" s="131"/>
      <c r="O260" s="30"/>
      <c r="P260" s="29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7.75" customHeight="1">
      <c r="A261" s="29"/>
      <c r="B261" s="29"/>
      <c r="C261" s="29"/>
      <c r="D261" s="29"/>
      <c r="E261" s="29"/>
      <c r="F261" s="30"/>
      <c r="G261" s="66"/>
      <c r="H261" s="130"/>
      <c r="I261" s="84"/>
      <c r="J261" s="17"/>
      <c r="K261" s="133"/>
      <c r="L261" s="135"/>
      <c r="M261" s="19"/>
      <c r="N261" s="131"/>
      <c r="O261" s="30"/>
      <c r="P261" s="29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7.75" customHeight="1">
      <c r="A262" s="29"/>
      <c r="B262" s="29"/>
      <c r="C262" s="29"/>
      <c r="D262" s="29"/>
      <c r="E262" s="29"/>
      <c r="F262" s="30"/>
      <c r="G262" s="66"/>
      <c r="H262" s="130"/>
      <c r="I262" s="84"/>
      <c r="J262" s="17"/>
      <c r="K262" s="133"/>
      <c r="L262" s="135"/>
      <c r="M262" s="19"/>
      <c r="N262" s="131"/>
      <c r="O262" s="30"/>
      <c r="P262" s="29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7.75" customHeight="1">
      <c r="A263" s="29"/>
      <c r="B263" s="29"/>
      <c r="C263" s="29"/>
      <c r="D263" s="29"/>
      <c r="E263" s="29"/>
      <c r="F263" s="30"/>
      <c r="G263" s="66"/>
      <c r="H263" s="130"/>
      <c r="I263" s="84"/>
      <c r="J263" s="17"/>
      <c r="K263" s="133"/>
      <c r="L263" s="135"/>
      <c r="M263" s="19"/>
      <c r="N263" s="131"/>
      <c r="O263" s="30"/>
      <c r="P263" s="2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7.75" customHeight="1">
      <c r="A264" s="29"/>
      <c r="B264" s="29"/>
      <c r="C264" s="29"/>
      <c r="D264" s="29"/>
      <c r="E264" s="29"/>
      <c r="F264" s="30"/>
      <c r="G264" s="66"/>
      <c r="H264" s="130"/>
      <c r="I264" s="84"/>
      <c r="J264" s="17"/>
      <c r="K264" s="133"/>
      <c r="L264" s="135"/>
      <c r="M264" s="19"/>
      <c r="N264" s="131"/>
      <c r="O264" s="30"/>
      <c r="P264" s="29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7.75" customHeight="1">
      <c r="A265" s="29"/>
      <c r="B265" s="29"/>
      <c r="C265" s="29"/>
      <c r="D265" s="29"/>
      <c r="E265" s="29"/>
      <c r="F265" s="30"/>
      <c r="G265" s="66"/>
      <c r="H265" s="130"/>
      <c r="I265" s="84"/>
      <c r="J265" s="17"/>
      <c r="K265" s="133"/>
      <c r="L265" s="135"/>
      <c r="M265" s="19"/>
      <c r="N265" s="131"/>
      <c r="O265" s="30"/>
      <c r="P265" s="29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7.75" customHeight="1">
      <c r="A266" s="29"/>
      <c r="B266" s="29"/>
      <c r="C266" s="29"/>
      <c r="D266" s="29"/>
      <c r="E266" s="29"/>
      <c r="F266" s="30"/>
      <c r="G266" s="66"/>
      <c r="H266" s="130"/>
      <c r="I266" s="84"/>
      <c r="J266" s="17"/>
      <c r="K266" s="133"/>
      <c r="L266" s="135"/>
      <c r="M266" s="19"/>
      <c r="N266" s="131"/>
      <c r="O266" s="30"/>
      <c r="P266" s="29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7.75" customHeight="1">
      <c r="A267" s="29"/>
      <c r="B267" s="29"/>
      <c r="C267" s="29"/>
      <c r="D267" s="29"/>
      <c r="E267" s="29"/>
      <c r="F267" s="30"/>
      <c r="G267" s="66"/>
      <c r="H267" s="130"/>
      <c r="I267" s="84"/>
      <c r="J267" s="17"/>
      <c r="K267" s="133"/>
      <c r="L267" s="135"/>
      <c r="M267" s="19"/>
      <c r="N267" s="131"/>
      <c r="O267" s="30"/>
      <c r="P267" s="29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7.75" customHeight="1">
      <c r="A268" s="29"/>
      <c r="B268" s="29"/>
      <c r="C268" s="29"/>
      <c r="D268" s="29"/>
      <c r="E268" s="29"/>
      <c r="F268" s="30"/>
      <c r="G268" s="66"/>
      <c r="H268" s="130"/>
      <c r="I268" s="84"/>
      <c r="J268" s="17"/>
      <c r="K268" s="133"/>
      <c r="L268" s="135"/>
      <c r="M268" s="19"/>
      <c r="N268" s="131"/>
      <c r="O268" s="30"/>
      <c r="P268" s="29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7.75" customHeight="1">
      <c r="A269" s="29"/>
      <c r="B269" s="29"/>
      <c r="C269" s="29"/>
      <c r="D269" s="29"/>
      <c r="E269" s="29"/>
      <c r="F269" s="30"/>
      <c r="G269" s="66"/>
      <c r="H269" s="130"/>
      <c r="I269" s="84"/>
      <c r="J269" s="17"/>
      <c r="K269" s="133"/>
      <c r="L269" s="135"/>
      <c r="M269" s="19"/>
      <c r="N269" s="131"/>
      <c r="O269" s="30"/>
      <c r="P269" s="29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7.75" customHeight="1">
      <c r="A270" s="29"/>
      <c r="B270" s="29"/>
      <c r="C270" s="29"/>
      <c r="D270" s="29"/>
      <c r="E270" s="29"/>
      <c r="F270" s="30"/>
      <c r="G270" s="66"/>
      <c r="H270" s="130"/>
      <c r="I270" s="84"/>
      <c r="J270" s="17"/>
      <c r="K270" s="133"/>
      <c r="L270" s="135"/>
      <c r="M270" s="19"/>
      <c r="N270" s="131"/>
      <c r="O270" s="30"/>
      <c r="P270" s="29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7.75" customHeight="1">
      <c r="A271" s="29"/>
      <c r="B271" s="29"/>
      <c r="C271" s="29"/>
      <c r="D271" s="29"/>
      <c r="E271" s="29"/>
      <c r="F271" s="30"/>
      <c r="G271" s="66"/>
      <c r="H271" s="130"/>
      <c r="I271" s="84"/>
      <c r="J271" s="17"/>
      <c r="K271" s="133"/>
      <c r="L271" s="135"/>
      <c r="M271" s="19"/>
      <c r="N271" s="131"/>
      <c r="O271" s="30"/>
      <c r="P271" s="29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7.75" customHeight="1">
      <c r="A272" s="29"/>
      <c r="B272" s="29"/>
      <c r="C272" s="29"/>
      <c r="D272" s="29"/>
      <c r="E272" s="29"/>
      <c r="F272" s="30"/>
      <c r="G272" s="66"/>
      <c r="H272" s="130"/>
      <c r="I272" s="84"/>
      <c r="J272" s="17"/>
      <c r="K272" s="133"/>
      <c r="L272" s="135"/>
      <c r="M272" s="19"/>
      <c r="N272" s="131"/>
      <c r="O272" s="30"/>
      <c r="P272" s="29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7.75" customHeight="1">
      <c r="A273" s="29"/>
      <c r="B273" s="29"/>
      <c r="C273" s="29"/>
      <c r="D273" s="29"/>
      <c r="E273" s="29"/>
      <c r="F273" s="30"/>
      <c r="G273" s="66"/>
      <c r="H273" s="130"/>
      <c r="I273" s="84"/>
      <c r="J273" s="17"/>
      <c r="K273" s="133"/>
      <c r="L273" s="135"/>
      <c r="M273" s="19"/>
      <c r="N273" s="131"/>
      <c r="O273" s="30"/>
      <c r="P273" s="29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7.75" customHeight="1">
      <c r="A274" s="29"/>
      <c r="B274" s="29"/>
      <c r="C274" s="29"/>
      <c r="D274" s="29"/>
      <c r="E274" s="29"/>
      <c r="F274" s="30"/>
      <c r="G274" s="66"/>
      <c r="H274" s="130"/>
      <c r="I274" s="84"/>
      <c r="J274" s="17"/>
      <c r="K274" s="133"/>
      <c r="L274" s="135"/>
      <c r="M274" s="19"/>
      <c r="N274" s="131"/>
      <c r="O274" s="30"/>
      <c r="P274" s="29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7.75" customHeight="1">
      <c r="A275" s="29"/>
      <c r="B275" s="29"/>
      <c r="C275" s="29"/>
      <c r="D275" s="29"/>
      <c r="E275" s="29"/>
      <c r="F275" s="30"/>
      <c r="G275" s="66"/>
      <c r="H275" s="130"/>
      <c r="I275" s="84"/>
      <c r="J275" s="17"/>
      <c r="K275" s="133"/>
      <c r="L275" s="135"/>
      <c r="M275" s="19"/>
      <c r="N275" s="131"/>
      <c r="O275" s="30"/>
      <c r="P275" s="29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7.75" customHeight="1">
      <c r="A276" s="29"/>
      <c r="B276" s="29"/>
      <c r="C276" s="29"/>
      <c r="D276" s="29"/>
      <c r="E276" s="29"/>
      <c r="F276" s="30"/>
      <c r="G276" s="66"/>
      <c r="H276" s="130"/>
      <c r="I276" s="84"/>
      <c r="J276" s="17"/>
      <c r="K276" s="133"/>
      <c r="L276" s="135"/>
      <c r="M276" s="19"/>
      <c r="N276" s="131"/>
      <c r="O276" s="30"/>
      <c r="P276" s="29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7.75" customHeight="1">
      <c r="A277" s="29"/>
      <c r="B277" s="29"/>
      <c r="C277" s="29"/>
      <c r="D277" s="29"/>
      <c r="E277" s="29"/>
      <c r="F277" s="30"/>
      <c r="G277" s="66"/>
      <c r="H277" s="130"/>
      <c r="I277" s="84"/>
      <c r="J277" s="17"/>
      <c r="K277" s="133"/>
      <c r="L277" s="135"/>
      <c r="M277" s="19"/>
      <c r="N277" s="131"/>
      <c r="O277" s="30"/>
      <c r="P277" s="29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7.75" customHeight="1">
      <c r="A278" s="29"/>
      <c r="B278" s="29"/>
      <c r="C278" s="29"/>
      <c r="D278" s="29"/>
      <c r="E278" s="29"/>
      <c r="F278" s="30"/>
      <c r="G278" s="66"/>
      <c r="H278" s="130"/>
      <c r="I278" s="84"/>
      <c r="J278" s="17"/>
      <c r="K278" s="133"/>
      <c r="L278" s="135"/>
      <c r="M278" s="19"/>
      <c r="N278" s="131"/>
      <c r="O278" s="30"/>
      <c r="P278" s="29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7.75" customHeight="1">
      <c r="A279" s="29"/>
      <c r="B279" s="29"/>
      <c r="C279" s="29"/>
      <c r="D279" s="29"/>
      <c r="E279" s="29"/>
      <c r="F279" s="30"/>
      <c r="G279" s="66"/>
      <c r="H279" s="130"/>
      <c r="I279" s="84"/>
      <c r="J279" s="17"/>
      <c r="K279" s="133"/>
      <c r="L279" s="135"/>
      <c r="M279" s="19"/>
      <c r="N279" s="131"/>
      <c r="O279" s="30"/>
      <c r="P279" s="29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7.75" customHeight="1">
      <c r="A280" s="29"/>
      <c r="B280" s="29"/>
      <c r="C280" s="29"/>
      <c r="D280" s="29"/>
      <c r="E280" s="29"/>
      <c r="F280" s="30"/>
      <c r="G280" s="66"/>
      <c r="H280" s="130"/>
      <c r="I280" s="84"/>
      <c r="J280" s="17"/>
      <c r="K280" s="133"/>
      <c r="L280" s="135"/>
      <c r="M280" s="19"/>
      <c r="N280" s="131"/>
      <c r="O280" s="30"/>
      <c r="P280" s="29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7.75" customHeight="1">
      <c r="A281" s="29"/>
      <c r="B281" s="29"/>
      <c r="C281" s="29"/>
      <c r="D281" s="29"/>
      <c r="E281" s="29"/>
      <c r="F281" s="30"/>
      <c r="G281" s="66"/>
      <c r="H281" s="130"/>
      <c r="I281" s="84"/>
      <c r="J281" s="17"/>
      <c r="K281" s="133"/>
      <c r="L281" s="135"/>
      <c r="M281" s="19"/>
      <c r="N281" s="131"/>
      <c r="O281" s="30"/>
      <c r="P281" s="29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7.75" customHeight="1">
      <c r="A282" s="29"/>
      <c r="B282" s="29"/>
      <c r="C282" s="29"/>
      <c r="D282" s="29"/>
      <c r="E282" s="29"/>
      <c r="F282" s="30"/>
      <c r="G282" s="66"/>
      <c r="H282" s="130"/>
      <c r="I282" s="84"/>
      <c r="J282" s="17"/>
      <c r="K282" s="133"/>
      <c r="L282" s="135"/>
      <c r="M282" s="19"/>
      <c r="N282" s="131"/>
      <c r="O282" s="30"/>
      <c r="P282" s="29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7.75" customHeight="1">
      <c r="A283" s="29"/>
      <c r="B283" s="29"/>
      <c r="C283" s="29"/>
      <c r="D283" s="29"/>
      <c r="E283" s="29"/>
      <c r="F283" s="30"/>
      <c r="G283" s="66"/>
      <c r="H283" s="130"/>
      <c r="I283" s="84"/>
      <c r="J283" s="17"/>
      <c r="K283" s="133"/>
      <c r="L283" s="135"/>
      <c r="M283" s="19"/>
      <c r="N283" s="131"/>
      <c r="O283" s="30"/>
      <c r="P283" s="29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7.75" customHeight="1">
      <c r="A284" s="29"/>
      <c r="B284" s="29"/>
      <c r="C284" s="29"/>
      <c r="D284" s="29"/>
      <c r="E284" s="29"/>
      <c r="F284" s="30"/>
      <c r="G284" s="66"/>
      <c r="H284" s="130"/>
      <c r="I284" s="84"/>
      <c r="J284" s="17"/>
      <c r="K284" s="133"/>
      <c r="L284" s="135"/>
      <c r="M284" s="19"/>
      <c r="N284" s="131"/>
      <c r="O284" s="30"/>
      <c r="P284" s="29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7.75" customHeight="1">
      <c r="A285" s="29"/>
      <c r="B285" s="29"/>
      <c r="C285" s="29"/>
      <c r="D285" s="29"/>
      <c r="E285" s="29"/>
      <c r="F285" s="30"/>
      <c r="G285" s="66"/>
      <c r="H285" s="130"/>
      <c r="I285" s="84"/>
      <c r="J285" s="17"/>
      <c r="K285" s="133"/>
      <c r="L285" s="135"/>
      <c r="M285" s="19"/>
      <c r="N285" s="131"/>
      <c r="O285" s="30"/>
      <c r="P285" s="29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7.75" customHeight="1">
      <c r="A286" s="29"/>
      <c r="B286" s="29"/>
      <c r="C286" s="29"/>
      <c r="D286" s="29"/>
      <c r="E286" s="29"/>
      <c r="F286" s="30"/>
      <c r="G286" s="66"/>
      <c r="H286" s="130"/>
      <c r="I286" s="84"/>
      <c r="J286" s="17"/>
      <c r="K286" s="133"/>
      <c r="L286" s="135"/>
      <c r="M286" s="19"/>
      <c r="N286" s="131"/>
      <c r="O286" s="30"/>
      <c r="P286" s="29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7.75" customHeight="1">
      <c r="A287" s="29"/>
      <c r="B287" s="29"/>
      <c r="C287" s="29"/>
      <c r="D287" s="29"/>
      <c r="E287" s="29"/>
      <c r="F287" s="30"/>
      <c r="G287" s="66"/>
      <c r="H287" s="130"/>
      <c r="I287" s="84"/>
      <c r="J287" s="17"/>
      <c r="K287" s="133"/>
      <c r="L287" s="135"/>
      <c r="M287" s="19"/>
      <c r="N287" s="131"/>
      <c r="O287" s="30"/>
      <c r="P287" s="29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7.75" customHeight="1">
      <c r="A288" s="29"/>
      <c r="B288" s="29"/>
      <c r="C288" s="29"/>
      <c r="D288" s="29"/>
      <c r="E288" s="29"/>
      <c r="F288" s="30"/>
      <c r="G288" s="66"/>
      <c r="H288" s="130"/>
      <c r="I288" s="84"/>
      <c r="J288" s="17"/>
      <c r="K288" s="133"/>
      <c r="L288" s="135"/>
      <c r="M288" s="19"/>
      <c r="N288" s="131"/>
      <c r="O288" s="30"/>
      <c r="P288" s="29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7.75" customHeight="1">
      <c r="A289" s="29"/>
      <c r="B289" s="29"/>
      <c r="C289" s="29"/>
      <c r="D289" s="29"/>
      <c r="E289" s="29"/>
      <c r="F289" s="30"/>
      <c r="G289" s="66"/>
      <c r="H289" s="130"/>
      <c r="I289" s="84"/>
      <c r="J289" s="17"/>
      <c r="K289" s="133"/>
      <c r="L289" s="135"/>
      <c r="M289" s="19"/>
      <c r="N289" s="131"/>
      <c r="O289" s="30"/>
      <c r="P289" s="29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7.75" customHeight="1">
      <c r="A290" s="29"/>
      <c r="B290" s="29"/>
      <c r="C290" s="29"/>
      <c r="D290" s="29"/>
      <c r="E290" s="29"/>
      <c r="F290" s="30"/>
      <c r="G290" s="66"/>
      <c r="H290" s="130"/>
      <c r="I290" s="84"/>
      <c r="J290" s="17"/>
      <c r="K290" s="133"/>
      <c r="L290" s="135"/>
      <c r="M290" s="19"/>
      <c r="N290" s="131"/>
      <c r="O290" s="30"/>
      <c r="P290" s="29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7.75" customHeight="1">
      <c r="A291" s="29"/>
      <c r="B291" s="29"/>
      <c r="C291" s="29"/>
      <c r="D291" s="29"/>
      <c r="E291" s="29"/>
      <c r="F291" s="30"/>
      <c r="G291" s="66"/>
      <c r="H291" s="130"/>
      <c r="I291" s="84"/>
      <c r="J291" s="17"/>
      <c r="K291" s="133"/>
      <c r="L291" s="135"/>
      <c r="M291" s="19"/>
      <c r="N291" s="131"/>
      <c r="O291" s="30"/>
      <c r="P291" s="29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7.75" customHeight="1">
      <c r="A292" s="29"/>
      <c r="B292" s="29"/>
      <c r="C292" s="29"/>
      <c r="D292" s="29"/>
      <c r="E292" s="29"/>
      <c r="F292" s="30"/>
      <c r="G292" s="66"/>
      <c r="H292" s="130"/>
      <c r="I292" s="84"/>
      <c r="J292" s="17"/>
      <c r="K292" s="133"/>
      <c r="L292" s="135"/>
      <c r="M292" s="19"/>
      <c r="N292" s="131"/>
      <c r="O292" s="30"/>
      <c r="P292" s="29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7.75" customHeight="1">
      <c r="A293" s="29"/>
      <c r="B293" s="29"/>
      <c r="C293" s="29"/>
      <c r="D293" s="29"/>
      <c r="E293" s="29"/>
      <c r="F293" s="30"/>
      <c r="G293" s="66"/>
      <c r="H293" s="130"/>
      <c r="I293" s="84"/>
      <c r="J293" s="17"/>
      <c r="K293" s="133"/>
      <c r="L293" s="135"/>
      <c r="M293" s="19"/>
      <c r="N293" s="131"/>
      <c r="O293" s="30"/>
      <c r="P293" s="29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7.75" customHeight="1">
      <c r="A294" s="29"/>
      <c r="B294" s="29"/>
      <c r="C294" s="29"/>
      <c r="D294" s="29"/>
      <c r="E294" s="29"/>
      <c r="F294" s="30"/>
      <c r="G294" s="66"/>
      <c r="H294" s="130"/>
      <c r="I294" s="84"/>
      <c r="J294" s="17"/>
      <c r="K294" s="133"/>
      <c r="L294" s="135"/>
      <c r="M294" s="19"/>
      <c r="N294" s="131"/>
      <c r="O294" s="30"/>
      <c r="P294" s="29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7.75" customHeight="1">
      <c r="A295" s="29"/>
      <c r="B295" s="29"/>
      <c r="C295" s="29"/>
      <c r="D295" s="29"/>
      <c r="E295" s="29"/>
      <c r="F295" s="30"/>
      <c r="G295" s="66"/>
      <c r="H295" s="130"/>
      <c r="I295" s="84"/>
      <c r="J295" s="17"/>
      <c r="K295" s="133"/>
      <c r="L295" s="135"/>
      <c r="M295" s="19"/>
      <c r="N295" s="131"/>
      <c r="O295" s="30"/>
      <c r="P295" s="29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7.75" customHeight="1">
      <c r="A296" s="29"/>
      <c r="B296" s="29"/>
      <c r="C296" s="29"/>
      <c r="D296" s="29"/>
      <c r="E296" s="29"/>
      <c r="F296" s="30"/>
      <c r="G296" s="66"/>
      <c r="H296" s="130"/>
      <c r="I296" s="84"/>
      <c r="J296" s="17"/>
      <c r="K296" s="133"/>
      <c r="L296" s="135"/>
      <c r="M296" s="19"/>
      <c r="N296" s="131"/>
      <c r="O296" s="30"/>
      <c r="P296" s="29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7.75" customHeight="1">
      <c r="A297" s="29"/>
      <c r="B297" s="29"/>
      <c r="C297" s="29"/>
      <c r="D297" s="29"/>
      <c r="E297" s="29"/>
      <c r="F297" s="30"/>
      <c r="G297" s="66"/>
      <c r="H297" s="130"/>
      <c r="I297" s="84"/>
      <c r="J297" s="17"/>
      <c r="K297" s="133"/>
      <c r="L297" s="135"/>
      <c r="M297" s="19"/>
      <c r="N297" s="131"/>
      <c r="O297" s="30"/>
      <c r="P297" s="29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7.75" customHeight="1">
      <c r="A298" s="29"/>
      <c r="B298" s="29"/>
      <c r="C298" s="29"/>
      <c r="D298" s="29"/>
      <c r="E298" s="29"/>
      <c r="F298" s="30"/>
      <c r="G298" s="66"/>
      <c r="H298" s="130"/>
      <c r="I298" s="84"/>
      <c r="J298" s="17"/>
      <c r="K298" s="133"/>
      <c r="L298" s="135"/>
      <c r="M298" s="19"/>
      <c r="N298" s="131"/>
      <c r="O298" s="30"/>
      <c r="P298" s="29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7.75" customHeight="1">
      <c r="A299" s="29"/>
      <c r="B299" s="29"/>
      <c r="C299" s="29"/>
      <c r="D299" s="29"/>
      <c r="E299" s="29"/>
      <c r="F299" s="30"/>
      <c r="G299" s="66"/>
      <c r="H299" s="130"/>
      <c r="I299" s="84"/>
      <c r="J299" s="17"/>
      <c r="K299" s="133"/>
      <c r="L299" s="135"/>
      <c r="M299" s="19"/>
      <c r="N299" s="131"/>
      <c r="O299" s="30"/>
      <c r="P299" s="29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7.75" customHeight="1">
      <c r="A300" s="29"/>
      <c r="B300" s="29"/>
      <c r="C300" s="29"/>
      <c r="D300" s="29"/>
      <c r="E300" s="29"/>
      <c r="F300" s="30"/>
      <c r="G300" s="66"/>
      <c r="H300" s="130"/>
      <c r="I300" s="84"/>
      <c r="J300" s="17"/>
      <c r="K300" s="133"/>
      <c r="L300" s="135"/>
      <c r="M300" s="19"/>
      <c r="N300" s="131"/>
      <c r="O300" s="30"/>
      <c r="P300" s="29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7.75" customHeight="1">
      <c r="A301" s="29"/>
      <c r="B301" s="29"/>
      <c r="C301" s="29"/>
      <c r="D301" s="29"/>
      <c r="E301" s="29"/>
      <c r="F301" s="30"/>
      <c r="G301" s="66"/>
      <c r="H301" s="130"/>
      <c r="I301" s="84"/>
      <c r="J301" s="17"/>
      <c r="K301" s="133"/>
      <c r="L301" s="135"/>
      <c r="M301" s="19"/>
      <c r="N301" s="131"/>
      <c r="O301" s="30"/>
      <c r="P301" s="29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7.75" customHeight="1">
      <c r="A302" s="29"/>
      <c r="B302" s="29"/>
      <c r="C302" s="29"/>
      <c r="D302" s="29"/>
      <c r="E302" s="29"/>
      <c r="F302" s="30"/>
      <c r="G302" s="66"/>
      <c r="H302" s="130"/>
      <c r="I302" s="84"/>
      <c r="J302" s="17"/>
      <c r="K302" s="133"/>
      <c r="L302" s="135"/>
      <c r="M302" s="19"/>
      <c r="N302" s="131"/>
      <c r="O302" s="30"/>
      <c r="P302" s="29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7.75" customHeight="1">
      <c r="A303" s="29"/>
      <c r="B303" s="29"/>
      <c r="C303" s="29"/>
      <c r="D303" s="29"/>
      <c r="E303" s="29"/>
      <c r="F303" s="30"/>
      <c r="G303" s="66"/>
      <c r="H303" s="130"/>
      <c r="I303" s="84"/>
      <c r="J303" s="17"/>
      <c r="K303" s="133"/>
      <c r="L303" s="135"/>
      <c r="M303" s="19"/>
      <c r="N303" s="131"/>
      <c r="O303" s="30"/>
      <c r="P303" s="29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7.75" customHeight="1">
      <c r="A304" s="29"/>
      <c r="B304" s="29"/>
      <c r="C304" s="29"/>
      <c r="D304" s="29"/>
      <c r="E304" s="29"/>
      <c r="F304" s="30"/>
      <c r="G304" s="66"/>
      <c r="H304" s="130"/>
      <c r="I304" s="84"/>
      <c r="J304" s="17"/>
      <c r="K304" s="133"/>
      <c r="L304" s="135"/>
      <c r="M304" s="19"/>
      <c r="N304" s="131"/>
      <c r="O304" s="30"/>
      <c r="P304" s="29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7.75" customHeight="1">
      <c r="A305" s="29"/>
      <c r="B305" s="29"/>
      <c r="C305" s="29"/>
      <c r="D305" s="29"/>
      <c r="E305" s="29"/>
      <c r="F305" s="30"/>
      <c r="G305" s="66"/>
      <c r="H305" s="130"/>
      <c r="I305" s="84"/>
      <c r="J305" s="17"/>
      <c r="K305" s="133"/>
      <c r="L305" s="135"/>
      <c r="M305" s="19"/>
      <c r="N305" s="131"/>
      <c r="O305" s="30"/>
      <c r="P305" s="29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7.75" customHeight="1">
      <c r="A306" s="29"/>
      <c r="B306" s="29"/>
      <c r="C306" s="29"/>
      <c r="D306" s="29"/>
      <c r="E306" s="29"/>
      <c r="F306" s="30"/>
      <c r="G306" s="66"/>
      <c r="H306" s="130"/>
      <c r="I306" s="84"/>
      <c r="J306" s="17"/>
      <c r="K306" s="133"/>
      <c r="L306" s="135"/>
      <c r="M306" s="19"/>
      <c r="N306" s="131"/>
      <c r="O306" s="30"/>
      <c r="P306" s="29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7.75" customHeight="1">
      <c r="A307" s="29"/>
      <c r="B307" s="29"/>
      <c r="C307" s="29"/>
      <c r="D307" s="29"/>
      <c r="E307" s="29"/>
      <c r="F307" s="30"/>
      <c r="G307" s="66"/>
      <c r="H307" s="130"/>
      <c r="I307" s="84"/>
      <c r="J307" s="17"/>
      <c r="K307" s="133"/>
      <c r="L307" s="135"/>
      <c r="M307" s="19"/>
      <c r="N307" s="131"/>
      <c r="O307" s="30"/>
      <c r="P307" s="29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7.75" customHeight="1">
      <c r="A308" s="29"/>
      <c r="B308" s="29"/>
      <c r="C308" s="29"/>
      <c r="D308" s="29"/>
      <c r="E308" s="29"/>
      <c r="F308" s="30"/>
      <c r="G308" s="66"/>
      <c r="H308" s="130"/>
      <c r="I308" s="84"/>
      <c r="J308" s="17"/>
      <c r="K308" s="133"/>
      <c r="L308" s="135"/>
      <c r="M308" s="19"/>
      <c r="N308" s="131"/>
      <c r="O308" s="30"/>
      <c r="P308" s="29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7.75" customHeight="1">
      <c r="A309" s="29"/>
      <c r="B309" s="29"/>
      <c r="C309" s="29"/>
      <c r="D309" s="29"/>
      <c r="E309" s="29"/>
      <c r="F309" s="30"/>
      <c r="G309" s="66"/>
      <c r="H309" s="130"/>
      <c r="I309" s="84"/>
      <c r="J309" s="17"/>
      <c r="K309" s="133"/>
      <c r="L309" s="135"/>
      <c r="M309" s="19"/>
      <c r="N309" s="131"/>
      <c r="O309" s="30"/>
      <c r="P309" s="29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7.75" customHeight="1">
      <c r="A310" s="29"/>
      <c r="B310" s="29"/>
      <c r="C310" s="29"/>
      <c r="D310" s="29"/>
      <c r="E310" s="29"/>
      <c r="F310" s="30"/>
      <c r="G310" s="66"/>
      <c r="H310" s="130"/>
      <c r="I310" s="84"/>
      <c r="J310" s="17"/>
      <c r="K310" s="133"/>
      <c r="L310" s="135"/>
      <c r="M310" s="19"/>
      <c r="N310" s="131"/>
      <c r="O310" s="30"/>
      <c r="P310" s="29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7.75" customHeight="1">
      <c r="A311" s="29"/>
      <c r="B311" s="29"/>
      <c r="C311" s="29"/>
      <c r="D311" s="29"/>
      <c r="E311" s="29"/>
      <c r="F311" s="30"/>
      <c r="G311" s="66"/>
      <c r="H311" s="130"/>
      <c r="I311" s="84"/>
      <c r="J311" s="17"/>
      <c r="K311" s="133"/>
      <c r="L311" s="135"/>
      <c r="M311" s="19"/>
      <c r="N311" s="131"/>
      <c r="O311" s="30"/>
      <c r="P311" s="29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7.75" customHeight="1">
      <c r="A312" s="29"/>
      <c r="B312" s="29"/>
      <c r="C312" s="29"/>
      <c r="D312" s="29"/>
      <c r="E312" s="29"/>
      <c r="F312" s="30"/>
      <c r="G312" s="66"/>
      <c r="H312" s="130"/>
      <c r="I312" s="84"/>
      <c r="J312" s="17"/>
      <c r="K312" s="133"/>
      <c r="L312" s="135"/>
      <c r="M312" s="19"/>
      <c r="N312" s="131"/>
      <c r="O312" s="30"/>
      <c r="P312" s="29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7.75" customHeight="1">
      <c r="A313" s="29"/>
      <c r="B313" s="29"/>
      <c r="C313" s="29"/>
      <c r="D313" s="29"/>
      <c r="E313" s="29"/>
      <c r="F313" s="30"/>
      <c r="G313" s="66"/>
      <c r="H313" s="130"/>
      <c r="I313" s="84"/>
      <c r="J313" s="17"/>
      <c r="K313" s="133"/>
      <c r="L313" s="135"/>
      <c r="M313" s="19"/>
      <c r="N313" s="131"/>
      <c r="O313" s="30"/>
      <c r="P313" s="29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7.75" customHeight="1">
      <c r="A314" s="29"/>
      <c r="B314" s="29"/>
      <c r="C314" s="29"/>
      <c r="D314" s="29"/>
      <c r="E314" s="29"/>
      <c r="F314" s="30"/>
      <c r="G314" s="66"/>
      <c r="H314" s="130"/>
      <c r="I314" s="84"/>
      <c r="J314" s="17"/>
      <c r="K314" s="133"/>
      <c r="L314" s="135"/>
      <c r="M314" s="19"/>
      <c r="N314" s="131"/>
      <c r="O314" s="30"/>
      <c r="P314" s="29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7.75" customHeight="1">
      <c r="A315" s="29"/>
      <c r="B315" s="29"/>
      <c r="C315" s="29"/>
      <c r="D315" s="29"/>
      <c r="E315" s="29"/>
      <c r="F315" s="30"/>
      <c r="G315" s="66"/>
      <c r="H315" s="130"/>
      <c r="I315" s="84"/>
      <c r="J315" s="17"/>
      <c r="K315" s="133"/>
      <c r="L315" s="135"/>
      <c r="M315" s="19"/>
      <c r="N315" s="131"/>
      <c r="O315" s="30"/>
      <c r="P315" s="29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7.75" customHeight="1">
      <c r="A316" s="29"/>
      <c r="B316" s="29"/>
      <c r="C316" s="29"/>
      <c r="D316" s="29"/>
      <c r="E316" s="29"/>
      <c r="F316" s="30"/>
      <c r="G316" s="66"/>
      <c r="H316" s="130"/>
      <c r="I316" s="84"/>
      <c r="J316" s="17"/>
      <c r="K316" s="133"/>
      <c r="L316" s="135"/>
      <c r="M316" s="19"/>
      <c r="N316" s="131"/>
      <c r="O316" s="30"/>
      <c r="P316" s="29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7.75" customHeight="1">
      <c r="A317" s="29"/>
      <c r="B317" s="29"/>
      <c r="C317" s="29"/>
      <c r="D317" s="29"/>
      <c r="E317" s="29"/>
      <c r="F317" s="30"/>
      <c r="G317" s="66"/>
      <c r="H317" s="130"/>
      <c r="I317" s="84"/>
      <c r="J317" s="17"/>
      <c r="K317" s="133"/>
      <c r="L317" s="135"/>
      <c r="M317" s="19"/>
      <c r="N317" s="131"/>
      <c r="O317" s="30"/>
      <c r="P317" s="29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7.75" customHeight="1">
      <c r="A318" s="29"/>
      <c r="B318" s="29"/>
      <c r="C318" s="29"/>
      <c r="D318" s="29"/>
      <c r="E318" s="29"/>
      <c r="F318" s="30"/>
      <c r="G318" s="66"/>
      <c r="H318" s="130"/>
      <c r="I318" s="84"/>
      <c r="J318" s="17"/>
      <c r="K318" s="133"/>
      <c r="L318" s="135"/>
      <c r="M318" s="19"/>
      <c r="N318" s="131"/>
      <c r="O318" s="30"/>
      <c r="P318" s="29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7.75" customHeight="1">
      <c r="A319" s="29"/>
      <c r="B319" s="29"/>
      <c r="C319" s="29"/>
      <c r="D319" s="29"/>
      <c r="E319" s="29"/>
      <c r="F319" s="30"/>
      <c r="G319" s="66"/>
      <c r="H319" s="130"/>
      <c r="I319" s="84"/>
      <c r="J319" s="17"/>
      <c r="K319" s="133"/>
      <c r="L319" s="135"/>
      <c r="M319" s="19"/>
      <c r="N319" s="131"/>
      <c r="O319" s="30"/>
      <c r="P319" s="29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7.75" customHeight="1">
      <c r="A320" s="29"/>
      <c r="B320" s="29"/>
      <c r="C320" s="29"/>
      <c r="D320" s="29"/>
      <c r="E320" s="29"/>
      <c r="F320" s="30"/>
      <c r="G320" s="66"/>
      <c r="H320" s="130"/>
      <c r="I320" s="84"/>
      <c r="J320" s="17"/>
      <c r="K320" s="133"/>
      <c r="L320" s="135"/>
      <c r="M320" s="19"/>
      <c r="N320" s="131"/>
      <c r="O320" s="30"/>
      <c r="P320" s="29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7.75" customHeight="1">
      <c r="A321" s="29"/>
      <c r="B321" s="29"/>
      <c r="C321" s="29"/>
      <c r="D321" s="29"/>
      <c r="E321" s="29"/>
      <c r="F321" s="30"/>
      <c r="G321" s="66"/>
      <c r="H321" s="130"/>
      <c r="I321" s="84"/>
      <c r="J321" s="17"/>
      <c r="K321" s="133"/>
      <c r="L321" s="135"/>
      <c r="M321" s="19"/>
      <c r="N321" s="131"/>
      <c r="O321" s="30"/>
      <c r="P321" s="29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7.75" customHeight="1">
      <c r="A322" s="29"/>
      <c r="B322" s="29"/>
      <c r="C322" s="29"/>
      <c r="D322" s="29"/>
      <c r="E322" s="29"/>
      <c r="F322" s="30"/>
      <c r="G322" s="66"/>
      <c r="H322" s="130"/>
      <c r="I322" s="84"/>
      <c r="J322" s="17"/>
      <c r="K322" s="133"/>
      <c r="L322" s="135"/>
      <c r="M322" s="19"/>
      <c r="N322" s="131"/>
      <c r="O322" s="30"/>
      <c r="P322" s="29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7.75" customHeight="1">
      <c r="A323" s="29"/>
      <c r="B323" s="29"/>
      <c r="C323" s="29"/>
      <c r="D323" s="29"/>
      <c r="E323" s="29"/>
      <c r="F323" s="30"/>
      <c r="G323" s="66"/>
      <c r="H323" s="130"/>
      <c r="I323" s="84"/>
      <c r="J323" s="17"/>
      <c r="K323" s="133"/>
      <c r="L323" s="135"/>
      <c r="M323" s="19"/>
      <c r="N323" s="131"/>
      <c r="O323" s="30"/>
      <c r="P323" s="29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7.75" customHeight="1">
      <c r="A324" s="29"/>
      <c r="B324" s="29"/>
      <c r="C324" s="29"/>
      <c r="D324" s="29"/>
      <c r="E324" s="29"/>
      <c r="F324" s="30"/>
      <c r="G324" s="66"/>
      <c r="H324" s="130"/>
      <c r="I324" s="84"/>
      <c r="J324" s="17"/>
      <c r="K324" s="133"/>
      <c r="L324" s="135"/>
      <c r="M324" s="19"/>
      <c r="N324" s="131"/>
      <c r="O324" s="30"/>
      <c r="P324" s="29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7.75" customHeight="1">
      <c r="A325" s="29"/>
      <c r="B325" s="29"/>
      <c r="C325" s="29"/>
      <c r="D325" s="29"/>
      <c r="E325" s="29"/>
      <c r="F325" s="30"/>
      <c r="G325" s="66"/>
      <c r="H325" s="130"/>
      <c r="I325" s="84"/>
      <c r="J325" s="17"/>
      <c r="K325" s="133"/>
      <c r="L325" s="135"/>
      <c r="M325" s="19"/>
      <c r="N325" s="131"/>
      <c r="O325" s="30"/>
      <c r="P325" s="29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7.75" customHeight="1">
      <c r="A326" s="29"/>
      <c r="B326" s="29"/>
      <c r="C326" s="29"/>
      <c r="D326" s="29"/>
      <c r="E326" s="29"/>
      <c r="F326" s="30"/>
      <c r="G326" s="66"/>
      <c r="H326" s="130"/>
      <c r="I326" s="84"/>
      <c r="J326" s="17"/>
      <c r="K326" s="133"/>
      <c r="L326" s="135"/>
      <c r="M326" s="19"/>
      <c r="N326" s="131"/>
      <c r="O326" s="30"/>
      <c r="P326" s="29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7.75" customHeight="1">
      <c r="A327" s="29"/>
      <c r="B327" s="29"/>
      <c r="C327" s="29"/>
      <c r="D327" s="29"/>
      <c r="E327" s="29"/>
      <c r="F327" s="30"/>
      <c r="G327" s="66"/>
      <c r="H327" s="130"/>
      <c r="I327" s="84"/>
      <c r="J327" s="17"/>
      <c r="K327" s="133"/>
      <c r="L327" s="135"/>
      <c r="M327" s="19"/>
      <c r="N327" s="131"/>
      <c r="O327" s="30"/>
      <c r="P327" s="29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7.75" customHeight="1">
      <c r="A328" s="29"/>
      <c r="B328" s="29"/>
      <c r="C328" s="29"/>
      <c r="D328" s="29"/>
      <c r="E328" s="29"/>
      <c r="F328" s="30"/>
      <c r="G328" s="66"/>
      <c r="H328" s="130"/>
      <c r="I328" s="84"/>
      <c r="J328" s="17"/>
      <c r="K328" s="133"/>
      <c r="L328" s="135"/>
      <c r="M328" s="19"/>
      <c r="N328" s="131"/>
      <c r="O328" s="30"/>
      <c r="P328" s="29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7.75" customHeight="1">
      <c r="A329" s="29"/>
      <c r="B329" s="29"/>
      <c r="C329" s="29"/>
      <c r="D329" s="29"/>
      <c r="E329" s="29"/>
      <c r="F329" s="30"/>
      <c r="G329" s="66"/>
      <c r="H329" s="130"/>
      <c r="I329" s="84"/>
      <c r="J329" s="17"/>
      <c r="K329" s="133"/>
      <c r="L329" s="135"/>
      <c r="M329" s="19"/>
      <c r="N329" s="131"/>
      <c r="O329" s="30"/>
      <c r="P329" s="29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7.75" customHeight="1">
      <c r="A330" s="29"/>
      <c r="B330" s="29"/>
      <c r="C330" s="29"/>
      <c r="D330" s="29"/>
      <c r="E330" s="29"/>
      <c r="F330" s="30"/>
      <c r="G330" s="66"/>
      <c r="H330" s="130"/>
      <c r="I330" s="84"/>
      <c r="J330" s="17"/>
      <c r="K330" s="133"/>
      <c r="L330" s="135"/>
      <c r="M330" s="19"/>
      <c r="N330" s="131"/>
      <c r="O330" s="30"/>
      <c r="P330" s="29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7.75" customHeight="1">
      <c r="A331" s="29"/>
      <c r="B331" s="29"/>
      <c r="C331" s="29"/>
      <c r="D331" s="29"/>
      <c r="E331" s="29"/>
      <c r="F331" s="30"/>
      <c r="G331" s="66"/>
      <c r="H331" s="130"/>
      <c r="I331" s="84"/>
      <c r="J331" s="17"/>
      <c r="K331" s="133"/>
      <c r="L331" s="135"/>
      <c r="M331" s="19"/>
      <c r="N331" s="131"/>
      <c r="O331" s="30"/>
      <c r="P331" s="29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7.75" customHeight="1">
      <c r="A332" s="29"/>
      <c r="B332" s="29"/>
      <c r="C332" s="29"/>
      <c r="D332" s="29"/>
      <c r="E332" s="29"/>
      <c r="F332" s="30"/>
      <c r="G332" s="66"/>
      <c r="H332" s="130"/>
      <c r="I332" s="84"/>
      <c r="J332" s="17"/>
      <c r="K332" s="133"/>
      <c r="L332" s="135"/>
      <c r="M332" s="19"/>
      <c r="N332" s="131"/>
      <c r="O332" s="30"/>
      <c r="P332" s="29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7.75" customHeight="1">
      <c r="A333" s="29"/>
      <c r="B333" s="29"/>
      <c r="C333" s="29"/>
      <c r="D333" s="29"/>
      <c r="E333" s="29"/>
      <c r="F333" s="30"/>
      <c r="G333" s="66"/>
      <c r="H333" s="130"/>
      <c r="I333" s="84"/>
      <c r="J333" s="17"/>
      <c r="K333" s="133"/>
      <c r="L333" s="135"/>
      <c r="M333" s="19"/>
      <c r="N333" s="131"/>
      <c r="O333" s="30"/>
      <c r="P333" s="29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7.75" customHeight="1">
      <c r="A334" s="29"/>
      <c r="B334" s="29"/>
      <c r="C334" s="29"/>
      <c r="D334" s="29"/>
      <c r="E334" s="29"/>
      <c r="F334" s="30"/>
      <c r="G334" s="66"/>
      <c r="H334" s="130"/>
      <c r="I334" s="84"/>
      <c r="J334" s="17"/>
      <c r="K334" s="133"/>
      <c r="L334" s="135"/>
      <c r="M334" s="19"/>
      <c r="N334" s="131"/>
      <c r="O334" s="30"/>
      <c r="P334" s="29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7.75" customHeight="1">
      <c r="A335" s="29"/>
      <c r="B335" s="29"/>
      <c r="C335" s="29"/>
      <c r="D335" s="29"/>
      <c r="E335" s="29"/>
      <c r="F335" s="30"/>
      <c r="G335" s="66"/>
      <c r="H335" s="130"/>
      <c r="I335" s="84"/>
      <c r="J335" s="17"/>
      <c r="K335" s="133"/>
      <c r="L335" s="135"/>
      <c r="M335" s="19"/>
      <c r="N335" s="131"/>
      <c r="O335" s="30"/>
      <c r="P335" s="29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7.75" customHeight="1">
      <c r="A336" s="29"/>
      <c r="B336" s="29"/>
      <c r="C336" s="29"/>
      <c r="D336" s="29"/>
      <c r="E336" s="29"/>
      <c r="F336" s="30"/>
      <c r="G336" s="66"/>
      <c r="H336" s="130"/>
      <c r="I336" s="84"/>
      <c r="J336" s="17"/>
      <c r="K336" s="133"/>
      <c r="L336" s="135"/>
      <c r="M336" s="19"/>
      <c r="N336" s="131"/>
      <c r="O336" s="30"/>
      <c r="P336" s="29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7.75" customHeight="1">
      <c r="A337" s="29"/>
      <c r="B337" s="29"/>
      <c r="C337" s="29"/>
      <c r="D337" s="29"/>
      <c r="E337" s="29"/>
      <c r="F337" s="30"/>
      <c r="G337" s="66"/>
      <c r="H337" s="130"/>
      <c r="I337" s="84"/>
      <c r="J337" s="17"/>
      <c r="K337" s="133"/>
      <c r="L337" s="135"/>
      <c r="M337" s="19"/>
      <c r="N337" s="131"/>
      <c r="O337" s="30"/>
      <c r="P337" s="29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7.75" customHeight="1">
      <c r="A338" s="29"/>
      <c r="B338" s="29"/>
      <c r="C338" s="29"/>
      <c r="D338" s="29"/>
      <c r="E338" s="29"/>
      <c r="F338" s="30"/>
      <c r="G338" s="66"/>
      <c r="H338" s="130"/>
      <c r="I338" s="84"/>
      <c r="J338" s="17"/>
      <c r="K338" s="133"/>
      <c r="L338" s="135"/>
      <c r="M338" s="19"/>
      <c r="N338" s="131"/>
      <c r="O338" s="30"/>
      <c r="P338" s="29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7.75" customHeight="1">
      <c r="A339" s="29"/>
      <c r="B339" s="29"/>
      <c r="C339" s="29"/>
      <c r="D339" s="29"/>
      <c r="E339" s="29"/>
      <c r="F339" s="30"/>
      <c r="G339" s="66"/>
      <c r="H339" s="130"/>
      <c r="I339" s="84"/>
      <c r="J339" s="17"/>
      <c r="K339" s="133"/>
      <c r="L339" s="135"/>
      <c r="M339" s="19"/>
      <c r="N339" s="131"/>
      <c r="O339" s="30"/>
      <c r="P339" s="29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7.75" customHeight="1">
      <c r="A340" s="29"/>
      <c r="B340" s="29"/>
      <c r="C340" s="29"/>
      <c r="D340" s="29"/>
      <c r="E340" s="29"/>
      <c r="F340" s="30"/>
      <c r="G340" s="66"/>
      <c r="H340" s="130"/>
      <c r="I340" s="84"/>
      <c r="J340" s="17"/>
      <c r="K340" s="133"/>
      <c r="L340" s="135"/>
      <c r="M340" s="19"/>
      <c r="N340" s="131"/>
      <c r="O340" s="30"/>
      <c r="P340" s="29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7.75" customHeight="1">
      <c r="A341" s="29"/>
      <c r="B341" s="29"/>
      <c r="C341" s="29"/>
      <c r="D341" s="29"/>
      <c r="E341" s="29"/>
      <c r="F341" s="30"/>
      <c r="G341" s="66"/>
      <c r="H341" s="130"/>
      <c r="I341" s="84"/>
      <c r="J341" s="17"/>
      <c r="K341" s="133"/>
      <c r="L341" s="135"/>
      <c r="M341" s="19"/>
      <c r="N341" s="131"/>
      <c r="O341" s="30"/>
      <c r="P341" s="29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7.75" customHeight="1">
      <c r="A342" s="29"/>
      <c r="B342" s="29"/>
      <c r="C342" s="29"/>
      <c r="D342" s="29"/>
      <c r="E342" s="29"/>
      <c r="F342" s="30"/>
      <c r="G342" s="66"/>
      <c r="H342" s="130"/>
      <c r="I342" s="84"/>
      <c r="J342" s="17"/>
      <c r="K342" s="133"/>
      <c r="L342" s="135"/>
      <c r="M342" s="19"/>
      <c r="N342" s="131"/>
      <c r="O342" s="30"/>
      <c r="P342" s="29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7.75" customHeight="1">
      <c r="A343" s="29"/>
      <c r="B343" s="29"/>
      <c r="C343" s="29"/>
      <c r="D343" s="29"/>
      <c r="E343" s="29"/>
      <c r="F343" s="30"/>
      <c r="G343" s="66"/>
      <c r="H343" s="130"/>
      <c r="I343" s="84"/>
      <c r="J343" s="17"/>
      <c r="K343" s="133"/>
      <c r="L343" s="135"/>
      <c r="M343" s="19"/>
      <c r="N343" s="131"/>
      <c r="O343" s="30"/>
      <c r="P343" s="29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7.75" customHeight="1">
      <c r="A344" s="29"/>
      <c r="B344" s="29"/>
      <c r="C344" s="29"/>
      <c r="D344" s="29"/>
      <c r="E344" s="29"/>
      <c r="F344" s="30"/>
      <c r="G344" s="66"/>
      <c r="H344" s="130"/>
      <c r="I344" s="84"/>
      <c r="J344" s="17"/>
      <c r="K344" s="133"/>
      <c r="L344" s="135"/>
      <c r="M344" s="19"/>
      <c r="N344" s="131"/>
      <c r="O344" s="30"/>
      <c r="P344" s="29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7.75" customHeight="1">
      <c r="A345" s="29"/>
      <c r="B345" s="29"/>
      <c r="C345" s="29"/>
      <c r="D345" s="29"/>
      <c r="E345" s="29"/>
      <c r="F345" s="30"/>
      <c r="G345" s="66"/>
      <c r="H345" s="130"/>
      <c r="I345" s="84"/>
      <c r="J345" s="17"/>
      <c r="K345" s="133"/>
      <c r="L345" s="135"/>
      <c r="M345" s="19"/>
      <c r="N345" s="131"/>
      <c r="O345" s="30"/>
      <c r="P345" s="29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7.75" customHeight="1">
      <c r="A346" s="29"/>
      <c r="B346" s="29"/>
      <c r="C346" s="29"/>
      <c r="D346" s="29"/>
      <c r="E346" s="29"/>
      <c r="F346" s="30"/>
      <c r="G346" s="66"/>
      <c r="H346" s="130"/>
      <c r="I346" s="84"/>
      <c r="J346" s="17"/>
      <c r="K346" s="133"/>
      <c r="L346" s="135"/>
      <c r="M346" s="19"/>
      <c r="N346" s="131"/>
      <c r="O346" s="30"/>
      <c r="P346" s="29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7.75" customHeight="1">
      <c r="A347" s="29"/>
      <c r="B347" s="29"/>
      <c r="C347" s="29"/>
      <c r="D347" s="29"/>
      <c r="E347" s="29"/>
      <c r="F347" s="30"/>
      <c r="G347" s="66"/>
      <c r="H347" s="130"/>
      <c r="I347" s="84"/>
      <c r="J347" s="17"/>
      <c r="K347" s="133"/>
      <c r="L347" s="135"/>
      <c r="M347" s="19"/>
      <c r="N347" s="131"/>
      <c r="O347" s="30"/>
      <c r="P347" s="29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7.75" customHeight="1">
      <c r="A348" s="29"/>
      <c r="B348" s="29"/>
      <c r="C348" s="29"/>
      <c r="D348" s="29"/>
      <c r="E348" s="29"/>
      <c r="F348" s="30"/>
      <c r="G348" s="66"/>
      <c r="H348" s="130"/>
      <c r="I348" s="84"/>
      <c r="J348" s="17"/>
      <c r="K348" s="133"/>
      <c r="L348" s="135"/>
      <c r="M348" s="19"/>
      <c r="N348" s="131"/>
      <c r="O348" s="30"/>
      <c r="P348" s="29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7.75" customHeight="1">
      <c r="A349" s="29"/>
      <c r="B349" s="29"/>
      <c r="C349" s="29"/>
      <c r="D349" s="29"/>
      <c r="E349" s="29"/>
      <c r="F349" s="30"/>
      <c r="G349" s="66"/>
      <c r="H349" s="130"/>
      <c r="I349" s="84"/>
      <c r="J349" s="17"/>
      <c r="K349" s="133"/>
      <c r="L349" s="135"/>
      <c r="M349" s="19"/>
      <c r="N349" s="131"/>
      <c r="O349" s="30"/>
      <c r="P349" s="29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7.75" customHeight="1">
      <c r="A350" s="29"/>
      <c r="B350" s="29"/>
      <c r="C350" s="29"/>
      <c r="D350" s="29"/>
      <c r="E350" s="29"/>
      <c r="F350" s="30"/>
      <c r="G350" s="66"/>
      <c r="H350" s="130"/>
      <c r="I350" s="84"/>
      <c r="J350" s="17"/>
      <c r="K350" s="133"/>
      <c r="L350" s="135"/>
      <c r="M350" s="19"/>
      <c r="N350" s="131"/>
      <c r="O350" s="30"/>
      <c r="P350" s="29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7.75" customHeight="1">
      <c r="A351" s="29"/>
      <c r="B351" s="29"/>
      <c r="C351" s="29"/>
      <c r="D351" s="29"/>
      <c r="E351" s="29"/>
      <c r="F351" s="30"/>
      <c r="G351" s="66"/>
      <c r="H351" s="130"/>
      <c r="I351" s="84"/>
      <c r="J351" s="17"/>
      <c r="K351" s="133"/>
      <c r="L351" s="135"/>
      <c r="M351" s="19"/>
      <c r="N351" s="131"/>
      <c r="O351" s="30"/>
      <c r="P351" s="29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7.75" customHeight="1">
      <c r="A352" s="29"/>
      <c r="B352" s="29"/>
      <c r="C352" s="29"/>
      <c r="D352" s="29"/>
      <c r="E352" s="29"/>
      <c r="F352" s="30"/>
      <c r="G352" s="66"/>
      <c r="H352" s="130"/>
      <c r="I352" s="84"/>
      <c r="J352" s="17"/>
      <c r="K352" s="133"/>
      <c r="L352" s="135"/>
      <c r="M352" s="19"/>
      <c r="N352" s="131"/>
      <c r="O352" s="30"/>
      <c r="P352" s="29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7.75" customHeight="1">
      <c r="A353" s="29"/>
      <c r="B353" s="29"/>
      <c r="C353" s="29"/>
      <c r="D353" s="29"/>
      <c r="E353" s="29"/>
      <c r="F353" s="30"/>
      <c r="G353" s="66"/>
      <c r="H353" s="130"/>
      <c r="I353" s="84"/>
      <c r="J353" s="17"/>
      <c r="K353" s="133"/>
      <c r="L353" s="135"/>
      <c r="M353" s="19"/>
      <c r="N353" s="131"/>
      <c r="O353" s="30"/>
      <c r="P353" s="29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7.75" customHeight="1">
      <c r="A354" s="29"/>
      <c r="B354" s="29"/>
      <c r="C354" s="29"/>
      <c r="D354" s="29"/>
      <c r="E354" s="29"/>
      <c r="F354" s="30"/>
      <c r="G354" s="66"/>
      <c r="H354" s="130"/>
      <c r="I354" s="84"/>
      <c r="J354" s="17"/>
      <c r="K354" s="133"/>
      <c r="L354" s="135"/>
      <c r="M354" s="19"/>
      <c r="N354" s="131"/>
      <c r="O354" s="30"/>
      <c r="P354" s="29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7.75" customHeight="1">
      <c r="A355" s="29"/>
      <c r="B355" s="29"/>
      <c r="C355" s="29"/>
      <c r="D355" s="29"/>
      <c r="E355" s="29"/>
      <c r="F355" s="30"/>
      <c r="G355" s="66"/>
      <c r="H355" s="130"/>
      <c r="I355" s="84"/>
      <c r="J355" s="17"/>
      <c r="K355" s="133"/>
      <c r="L355" s="135"/>
      <c r="M355" s="19"/>
      <c r="N355" s="131"/>
      <c r="O355" s="30"/>
      <c r="P355" s="29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7.75" customHeight="1">
      <c r="A356" s="29"/>
      <c r="B356" s="29"/>
      <c r="C356" s="29"/>
      <c r="D356" s="29"/>
      <c r="E356" s="29"/>
      <c r="F356" s="30"/>
      <c r="G356" s="66"/>
      <c r="H356" s="130"/>
      <c r="I356" s="84"/>
      <c r="J356" s="17"/>
      <c r="K356" s="133"/>
      <c r="L356" s="135"/>
      <c r="M356" s="19"/>
      <c r="N356" s="131"/>
      <c r="O356" s="30"/>
      <c r="P356" s="29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7.75" customHeight="1">
      <c r="A357" s="29"/>
      <c r="B357" s="29"/>
      <c r="C357" s="29"/>
      <c r="D357" s="29"/>
      <c r="E357" s="29"/>
      <c r="F357" s="30"/>
      <c r="G357" s="66"/>
      <c r="H357" s="130"/>
      <c r="I357" s="84"/>
      <c r="J357" s="17"/>
      <c r="K357" s="133"/>
      <c r="L357" s="135"/>
      <c r="M357" s="19"/>
      <c r="N357" s="131"/>
      <c r="O357" s="30"/>
      <c r="P357" s="29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7.75" customHeight="1">
      <c r="A358" s="29"/>
      <c r="B358" s="29"/>
      <c r="C358" s="29"/>
      <c r="D358" s="29"/>
      <c r="E358" s="29"/>
      <c r="F358" s="30"/>
      <c r="G358" s="66"/>
      <c r="H358" s="130"/>
      <c r="I358" s="84"/>
      <c r="J358" s="17"/>
      <c r="K358" s="133"/>
      <c r="L358" s="135"/>
      <c r="M358" s="19"/>
      <c r="N358" s="131"/>
      <c r="O358" s="30"/>
      <c r="P358" s="29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7.75" customHeight="1">
      <c r="A359" s="29"/>
      <c r="B359" s="29"/>
      <c r="C359" s="29"/>
      <c r="D359" s="29"/>
      <c r="E359" s="29"/>
      <c r="F359" s="30"/>
      <c r="G359" s="66"/>
      <c r="H359" s="130"/>
      <c r="I359" s="84"/>
      <c r="J359" s="17"/>
      <c r="K359" s="133"/>
      <c r="L359" s="135"/>
      <c r="M359" s="19"/>
      <c r="N359" s="131"/>
      <c r="O359" s="30"/>
      <c r="P359" s="29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7.75" customHeight="1">
      <c r="A360" s="29"/>
      <c r="B360" s="29"/>
      <c r="C360" s="29"/>
      <c r="D360" s="29"/>
      <c r="E360" s="29"/>
      <c r="F360" s="30"/>
      <c r="G360" s="66"/>
      <c r="H360" s="130"/>
      <c r="I360" s="84"/>
      <c r="J360" s="17"/>
      <c r="K360" s="133"/>
      <c r="L360" s="135"/>
      <c r="M360" s="19"/>
      <c r="N360" s="131"/>
      <c r="O360" s="30"/>
      <c r="P360" s="29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7.75" customHeight="1">
      <c r="A361" s="29"/>
      <c r="B361" s="29"/>
      <c r="C361" s="29"/>
      <c r="D361" s="29"/>
      <c r="E361" s="29"/>
      <c r="F361" s="30"/>
      <c r="G361" s="66"/>
      <c r="H361" s="130"/>
      <c r="I361" s="84"/>
      <c r="J361" s="17"/>
      <c r="K361" s="133"/>
      <c r="L361" s="135"/>
      <c r="M361" s="19"/>
      <c r="N361" s="131"/>
      <c r="O361" s="30"/>
      <c r="P361" s="29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7.75" customHeight="1">
      <c r="A362" s="29"/>
      <c r="B362" s="29"/>
      <c r="C362" s="29"/>
      <c r="D362" s="29"/>
      <c r="E362" s="29"/>
      <c r="F362" s="30"/>
      <c r="G362" s="66"/>
      <c r="H362" s="130"/>
      <c r="I362" s="84"/>
      <c r="J362" s="17"/>
      <c r="K362" s="133"/>
      <c r="L362" s="135"/>
      <c r="M362" s="19"/>
      <c r="N362" s="131"/>
      <c r="O362" s="30"/>
      <c r="P362" s="29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7.75" customHeight="1">
      <c r="A363" s="29"/>
      <c r="B363" s="29"/>
      <c r="C363" s="29"/>
      <c r="D363" s="29"/>
      <c r="E363" s="29"/>
      <c r="F363" s="30"/>
      <c r="G363" s="66"/>
      <c r="H363" s="130"/>
      <c r="I363" s="84"/>
      <c r="J363" s="17"/>
      <c r="K363" s="133"/>
      <c r="L363" s="135"/>
      <c r="M363" s="19"/>
      <c r="N363" s="131"/>
      <c r="O363" s="30"/>
      <c r="P363" s="29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7.75" customHeight="1">
      <c r="A364" s="29"/>
      <c r="B364" s="29"/>
      <c r="C364" s="29"/>
      <c r="D364" s="29"/>
      <c r="E364" s="29"/>
      <c r="F364" s="30"/>
      <c r="G364" s="66"/>
      <c r="H364" s="130"/>
      <c r="I364" s="84"/>
      <c r="J364" s="17"/>
      <c r="K364" s="133"/>
      <c r="L364" s="135"/>
      <c r="M364" s="19"/>
      <c r="N364" s="131"/>
      <c r="O364" s="30"/>
      <c r="P364" s="29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7.75" customHeight="1">
      <c r="A365" s="29"/>
      <c r="B365" s="29"/>
      <c r="C365" s="29"/>
      <c r="D365" s="29"/>
      <c r="E365" s="29"/>
      <c r="F365" s="30"/>
      <c r="G365" s="66"/>
      <c r="H365" s="130"/>
      <c r="I365" s="84"/>
      <c r="J365" s="17"/>
      <c r="K365" s="133"/>
      <c r="L365" s="135"/>
      <c r="M365" s="19"/>
      <c r="N365" s="131"/>
      <c r="O365" s="30"/>
      <c r="P365" s="29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7.75" customHeight="1">
      <c r="A366" s="29"/>
      <c r="B366" s="29"/>
      <c r="C366" s="29"/>
      <c r="D366" s="29"/>
      <c r="E366" s="29"/>
      <c r="F366" s="30"/>
      <c r="G366" s="66"/>
      <c r="H366" s="130"/>
      <c r="I366" s="84"/>
      <c r="J366" s="17"/>
      <c r="K366" s="133"/>
      <c r="L366" s="135"/>
      <c r="M366" s="19"/>
      <c r="N366" s="131"/>
      <c r="O366" s="30"/>
      <c r="P366" s="29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7.75" customHeight="1">
      <c r="A367" s="29"/>
      <c r="B367" s="29"/>
      <c r="C367" s="29"/>
      <c r="D367" s="29"/>
      <c r="E367" s="29"/>
      <c r="F367" s="30"/>
      <c r="G367" s="66"/>
      <c r="H367" s="130"/>
      <c r="I367" s="84"/>
      <c r="J367" s="17"/>
      <c r="K367" s="133"/>
      <c r="L367" s="135"/>
      <c r="M367" s="19"/>
      <c r="N367" s="131"/>
      <c r="O367" s="30"/>
      <c r="P367" s="29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7.75" customHeight="1">
      <c r="A368" s="29"/>
      <c r="B368" s="29"/>
      <c r="C368" s="29"/>
      <c r="D368" s="29"/>
      <c r="E368" s="29"/>
      <c r="F368" s="30"/>
      <c r="G368" s="66"/>
      <c r="H368" s="130"/>
      <c r="I368" s="84"/>
      <c r="J368" s="17"/>
      <c r="K368" s="133"/>
      <c r="L368" s="135"/>
      <c r="M368" s="19"/>
      <c r="N368" s="131"/>
      <c r="O368" s="30"/>
      <c r="P368" s="29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7.75" customHeight="1">
      <c r="A369" s="29"/>
      <c r="B369" s="29"/>
      <c r="C369" s="29"/>
      <c r="D369" s="29"/>
      <c r="E369" s="29"/>
      <c r="F369" s="30"/>
      <c r="G369" s="66"/>
      <c r="H369" s="130"/>
      <c r="I369" s="84"/>
      <c r="J369" s="17"/>
      <c r="K369" s="133"/>
      <c r="L369" s="135"/>
      <c r="M369" s="19"/>
      <c r="N369" s="131"/>
      <c r="O369" s="30"/>
      <c r="P369" s="29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7.75" customHeight="1">
      <c r="A370" s="29"/>
      <c r="B370" s="29"/>
      <c r="C370" s="29"/>
      <c r="D370" s="29"/>
      <c r="E370" s="29"/>
      <c r="F370" s="30"/>
      <c r="G370" s="66"/>
      <c r="H370" s="130"/>
      <c r="I370" s="84"/>
      <c r="J370" s="17"/>
      <c r="K370" s="133"/>
      <c r="L370" s="135"/>
      <c r="M370" s="19"/>
      <c r="N370" s="131"/>
      <c r="O370" s="30"/>
      <c r="P370" s="29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7.75" customHeight="1">
      <c r="A371" s="29"/>
      <c r="B371" s="29"/>
      <c r="C371" s="29"/>
      <c r="D371" s="29"/>
      <c r="E371" s="29"/>
      <c r="F371" s="30"/>
      <c r="G371" s="66"/>
      <c r="H371" s="130"/>
      <c r="I371" s="84"/>
      <c r="J371" s="17"/>
      <c r="K371" s="133"/>
      <c r="L371" s="135"/>
      <c r="M371" s="19"/>
      <c r="N371" s="131"/>
      <c r="O371" s="30"/>
      <c r="P371" s="29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7.75" customHeight="1">
      <c r="A372" s="29"/>
      <c r="B372" s="29"/>
      <c r="C372" s="29"/>
      <c r="D372" s="29"/>
      <c r="E372" s="29"/>
      <c r="F372" s="30"/>
      <c r="G372" s="66"/>
      <c r="H372" s="130"/>
      <c r="I372" s="84"/>
      <c r="J372" s="17"/>
      <c r="K372" s="133"/>
      <c r="L372" s="135"/>
      <c r="M372" s="19"/>
      <c r="N372" s="131"/>
      <c r="O372" s="30"/>
      <c r="P372" s="29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7.75" customHeight="1">
      <c r="A373" s="29"/>
      <c r="B373" s="29"/>
      <c r="C373" s="29"/>
      <c r="D373" s="29"/>
      <c r="E373" s="29"/>
      <c r="F373" s="30"/>
      <c r="G373" s="66"/>
      <c r="H373" s="130"/>
      <c r="I373" s="84"/>
      <c r="J373" s="17"/>
      <c r="K373" s="133"/>
      <c r="L373" s="135"/>
      <c r="M373" s="19"/>
      <c r="N373" s="131"/>
      <c r="O373" s="30"/>
      <c r="P373" s="29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7.75" customHeight="1">
      <c r="A374" s="29"/>
      <c r="B374" s="29"/>
      <c r="C374" s="29"/>
      <c r="D374" s="29"/>
      <c r="E374" s="29"/>
      <c r="F374" s="30"/>
      <c r="G374" s="66"/>
      <c r="H374" s="130"/>
      <c r="I374" s="84"/>
      <c r="J374" s="17"/>
      <c r="K374" s="133"/>
      <c r="L374" s="135"/>
      <c r="M374" s="19"/>
      <c r="N374" s="131"/>
      <c r="O374" s="30"/>
      <c r="P374" s="29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7.75" customHeight="1">
      <c r="A375" s="29"/>
      <c r="B375" s="29"/>
      <c r="C375" s="29"/>
      <c r="D375" s="29"/>
      <c r="E375" s="29"/>
      <c r="F375" s="30"/>
      <c r="G375" s="66"/>
      <c r="H375" s="130"/>
      <c r="I375" s="84"/>
      <c r="J375" s="17"/>
      <c r="K375" s="133"/>
      <c r="L375" s="135"/>
      <c r="M375" s="19"/>
      <c r="N375" s="131"/>
      <c r="O375" s="30"/>
      <c r="P375" s="29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7.75" customHeight="1">
      <c r="A376" s="29"/>
      <c r="B376" s="29"/>
      <c r="C376" s="29"/>
      <c r="D376" s="29"/>
      <c r="E376" s="29"/>
      <c r="F376" s="30"/>
      <c r="G376" s="66"/>
      <c r="H376" s="130"/>
      <c r="I376" s="84"/>
      <c r="J376" s="17"/>
      <c r="K376" s="133"/>
      <c r="L376" s="135"/>
      <c r="M376" s="19"/>
      <c r="N376" s="131"/>
      <c r="O376" s="30"/>
      <c r="P376" s="29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7.75" customHeight="1">
      <c r="A377" s="29"/>
      <c r="B377" s="29"/>
      <c r="C377" s="29"/>
      <c r="D377" s="29"/>
      <c r="E377" s="29"/>
      <c r="F377" s="30"/>
      <c r="G377" s="66"/>
      <c r="H377" s="130"/>
      <c r="I377" s="84"/>
      <c r="J377" s="17"/>
      <c r="K377" s="133"/>
      <c r="L377" s="135"/>
      <c r="M377" s="19"/>
      <c r="N377" s="131"/>
      <c r="O377" s="30"/>
      <c r="P377" s="29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7.75" customHeight="1">
      <c r="A378" s="29"/>
      <c r="B378" s="29"/>
      <c r="C378" s="29"/>
      <c r="D378" s="29"/>
      <c r="E378" s="29"/>
      <c r="F378" s="30"/>
      <c r="G378" s="66"/>
      <c r="H378" s="130"/>
      <c r="I378" s="84"/>
      <c r="J378" s="17"/>
      <c r="K378" s="133"/>
      <c r="L378" s="135"/>
      <c r="M378" s="19"/>
      <c r="N378" s="131"/>
      <c r="O378" s="30"/>
      <c r="P378" s="29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7.75" customHeight="1">
      <c r="A379" s="29"/>
      <c r="B379" s="29"/>
      <c r="C379" s="29"/>
      <c r="D379" s="29"/>
      <c r="E379" s="29"/>
      <c r="F379" s="30"/>
      <c r="G379" s="66"/>
      <c r="H379" s="130"/>
      <c r="I379" s="84"/>
      <c r="J379" s="17"/>
      <c r="K379" s="133"/>
      <c r="L379" s="135"/>
      <c r="M379" s="19"/>
      <c r="N379" s="131"/>
      <c r="O379" s="30"/>
      <c r="P379" s="29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7.75" customHeight="1">
      <c r="A380" s="29"/>
      <c r="B380" s="29"/>
      <c r="C380" s="29"/>
      <c r="D380" s="29"/>
      <c r="E380" s="29"/>
      <c r="F380" s="30"/>
      <c r="G380" s="66"/>
      <c r="H380" s="130"/>
      <c r="I380" s="84"/>
      <c r="J380" s="17"/>
      <c r="K380" s="133"/>
      <c r="L380" s="135"/>
      <c r="M380" s="19"/>
      <c r="N380" s="131"/>
      <c r="O380" s="30"/>
      <c r="P380" s="29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7.75" customHeight="1">
      <c r="A381" s="29"/>
      <c r="B381" s="29"/>
      <c r="C381" s="29"/>
      <c r="D381" s="29"/>
      <c r="E381" s="29"/>
      <c r="F381" s="30"/>
      <c r="G381" s="66"/>
      <c r="H381" s="130"/>
      <c r="I381" s="84"/>
      <c r="J381" s="17"/>
      <c r="K381" s="133"/>
      <c r="L381" s="135"/>
      <c r="M381" s="19"/>
      <c r="N381" s="131"/>
      <c r="O381" s="30"/>
      <c r="P381" s="29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7.75" customHeight="1">
      <c r="A382" s="29"/>
      <c r="B382" s="29"/>
      <c r="C382" s="29"/>
      <c r="D382" s="29"/>
      <c r="E382" s="29"/>
      <c r="F382" s="30"/>
      <c r="G382" s="66"/>
      <c r="H382" s="130"/>
      <c r="I382" s="84"/>
      <c r="J382" s="17"/>
      <c r="K382" s="133"/>
      <c r="L382" s="135"/>
      <c r="M382" s="19"/>
      <c r="N382" s="131"/>
      <c r="O382" s="30"/>
      <c r="P382" s="29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7.75" customHeight="1">
      <c r="A383" s="29"/>
      <c r="B383" s="29"/>
      <c r="C383" s="29"/>
      <c r="D383" s="29"/>
      <c r="E383" s="29"/>
      <c r="F383" s="30"/>
      <c r="G383" s="66"/>
      <c r="H383" s="130"/>
      <c r="I383" s="84"/>
      <c r="J383" s="17"/>
      <c r="K383" s="133"/>
      <c r="L383" s="135"/>
      <c r="M383" s="19"/>
      <c r="N383" s="131"/>
      <c r="O383" s="30"/>
      <c r="P383" s="29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7.75" customHeight="1">
      <c r="A384" s="29"/>
      <c r="B384" s="29"/>
      <c r="C384" s="29"/>
      <c r="D384" s="29"/>
      <c r="E384" s="29"/>
      <c r="F384" s="30"/>
      <c r="G384" s="66"/>
      <c r="H384" s="130"/>
      <c r="I384" s="84"/>
      <c r="J384" s="17"/>
      <c r="K384" s="133"/>
      <c r="L384" s="135"/>
      <c r="M384" s="19"/>
      <c r="N384" s="131"/>
      <c r="O384" s="30"/>
      <c r="P384" s="29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7.75" customHeight="1">
      <c r="A385" s="29"/>
      <c r="B385" s="29"/>
      <c r="C385" s="29"/>
      <c r="D385" s="29"/>
      <c r="E385" s="29"/>
      <c r="F385" s="30"/>
      <c r="G385" s="66"/>
      <c r="H385" s="130"/>
      <c r="I385" s="84"/>
      <c r="J385" s="17"/>
      <c r="K385" s="133"/>
      <c r="L385" s="135"/>
      <c r="M385" s="19"/>
      <c r="N385" s="131"/>
      <c r="O385" s="30"/>
      <c r="P385" s="29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7.75" customHeight="1">
      <c r="A386" s="29"/>
      <c r="B386" s="29"/>
      <c r="C386" s="29"/>
      <c r="D386" s="29"/>
      <c r="E386" s="29"/>
      <c r="F386" s="30"/>
      <c r="G386" s="66"/>
      <c r="H386" s="130"/>
      <c r="I386" s="84"/>
      <c r="J386" s="17"/>
      <c r="K386" s="133"/>
      <c r="L386" s="135"/>
      <c r="M386" s="19"/>
      <c r="N386" s="131"/>
      <c r="O386" s="30"/>
      <c r="P386" s="29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7.75" customHeight="1">
      <c r="A387" s="29"/>
      <c r="B387" s="29"/>
      <c r="C387" s="29"/>
      <c r="D387" s="29"/>
      <c r="E387" s="29"/>
      <c r="F387" s="30"/>
      <c r="G387" s="66"/>
      <c r="H387" s="130"/>
      <c r="I387" s="84"/>
      <c r="J387" s="17"/>
      <c r="K387" s="133"/>
      <c r="L387" s="135"/>
      <c r="M387" s="19"/>
      <c r="N387" s="131"/>
      <c r="O387" s="30"/>
      <c r="P387" s="29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7.75" customHeight="1">
      <c r="A388" s="29"/>
      <c r="B388" s="29"/>
      <c r="C388" s="29"/>
      <c r="D388" s="29"/>
      <c r="E388" s="29"/>
      <c r="F388" s="30"/>
      <c r="G388" s="66"/>
      <c r="H388" s="130"/>
      <c r="I388" s="84"/>
      <c r="J388" s="17"/>
      <c r="K388" s="133"/>
      <c r="L388" s="135"/>
      <c r="M388" s="19"/>
      <c r="N388" s="131"/>
      <c r="O388" s="30"/>
      <c r="P388" s="29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7.75" customHeight="1">
      <c r="A389" s="29"/>
      <c r="B389" s="29"/>
      <c r="C389" s="29"/>
      <c r="D389" s="29"/>
      <c r="E389" s="29"/>
      <c r="F389" s="30"/>
      <c r="G389" s="66"/>
      <c r="H389" s="130"/>
      <c r="I389" s="84"/>
      <c r="J389" s="17"/>
      <c r="K389" s="133"/>
      <c r="L389" s="135"/>
      <c r="M389" s="19"/>
      <c r="N389" s="131"/>
      <c r="O389" s="30"/>
      <c r="P389" s="29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7.75" customHeight="1">
      <c r="A390" s="29"/>
      <c r="B390" s="29"/>
      <c r="C390" s="29"/>
      <c r="D390" s="29"/>
      <c r="E390" s="29"/>
      <c r="F390" s="30"/>
      <c r="G390" s="66"/>
      <c r="H390" s="130"/>
      <c r="I390" s="84"/>
      <c r="J390" s="17"/>
      <c r="K390" s="133"/>
      <c r="L390" s="135"/>
      <c r="M390" s="19"/>
      <c r="N390" s="131"/>
      <c r="O390" s="30"/>
      <c r="P390" s="29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7.75" customHeight="1">
      <c r="A391" s="29"/>
      <c r="B391" s="29"/>
      <c r="C391" s="29"/>
      <c r="D391" s="29"/>
      <c r="E391" s="29"/>
      <c r="F391" s="30"/>
      <c r="G391" s="66"/>
      <c r="H391" s="130"/>
      <c r="I391" s="84"/>
      <c r="J391" s="17"/>
      <c r="K391" s="133"/>
      <c r="L391" s="135"/>
      <c r="M391" s="19"/>
      <c r="N391" s="131"/>
      <c r="O391" s="30"/>
      <c r="P391" s="29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7.75" customHeight="1">
      <c r="A392" s="29"/>
      <c r="B392" s="29"/>
      <c r="C392" s="29"/>
      <c r="D392" s="29"/>
      <c r="E392" s="29"/>
      <c r="F392" s="30"/>
      <c r="G392" s="66"/>
      <c r="H392" s="130"/>
      <c r="I392" s="84"/>
      <c r="J392" s="17"/>
      <c r="K392" s="133"/>
      <c r="L392" s="135"/>
      <c r="M392" s="19"/>
      <c r="N392" s="131"/>
      <c r="O392" s="30"/>
      <c r="P392" s="29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7.75" customHeight="1">
      <c r="A393" s="29"/>
      <c r="B393" s="29"/>
      <c r="C393" s="29"/>
      <c r="D393" s="29"/>
      <c r="E393" s="29"/>
      <c r="F393" s="30"/>
      <c r="G393" s="66"/>
      <c r="H393" s="130"/>
      <c r="I393" s="84"/>
      <c r="J393" s="17"/>
      <c r="K393" s="133"/>
      <c r="L393" s="135"/>
      <c r="M393" s="19"/>
      <c r="N393" s="131"/>
      <c r="O393" s="30"/>
      <c r="P393" s="29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7.75" customHeight="1">
      <c r="A394" s="29"/>
      <c r="B394" s="29"/>
      <c r="C394" s="29"/>
      <c r="D394" s="29"/>
      <c r="E394" s="29"/>
      <c r="F394" s="30"/>
      <c r="G394" s="66"/>
      <c r="H394" s="130"/>
      <c r="I394" s="84"/>
      <c r="J394" s="17"/>
      <c r="K394" s="133"/>
      <c r="L394" s="135"/>
      <c r="M394" s="19"/>
      <c r="N394" s="131"/>
      <c r="O394" s="30"/>
      <c r="P394" s="29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7.75" customHeight="1">
      <c r="A395" s="29"/>
      <c r="B395" s="29"/>
      <c r="C395" s="29"/>
      <c r="D395" s="29"/>
      <c r="E395" s="29"/>
      <c r="F395" s="30"/>
      <c r="G395" s="66"/>
      <c r="H395" s="130"/>
      <c r="I395" s="84"/>
      <c r="J395" s="17"/>
      <c r="K395" s="133"/>
      <c r="L395" s="135"/>
      <c r="M395" s="19"/>
      <c r="N395" s="131"/>
      <c r="O395" s="30"/>
      <c r="P395" s="29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7.75" customHeight="1">
      <c r="A396" s="29"/>
      <c r="B396" s="29"/>
      <c r="C396" s="29"/>
      <c r="D396" s="29"/>
      <c r="E396" s="29"/>
      <c r="F396" s="30"/>
      <c r="G396" s="66"/>
      <c r="H396" s="130"/>
      <c r="I396" s="84"/>
      <c r="J396" s="17"/>
      <c r="K396" s="133"/>
      <c r="L396" s="135"/>
      <c r="M396" s="19"/>
      <c r="N396" s="131"/>
      <c r="O396" s="30"/>
      <c r="P396" s="29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7.75" customHeight="1">
      <c r="A397" s="29"/>
      <c r="B397" s="29"/>
      <c r="C397" s="29"/>
      <c r="D397" s="29"/>
      <c r="E397" s="29"/>
      <c r="F397" s="30"/>
      <c r="G397" s="66"/>
      <c r="H397" s="130"/>
      <c r="I397" s="84"/>
      <c r="J397" s="17"/>
      <c r="K397" s="133"/>
      <c r="L397" s="135"/>
      <c r="M397" s="19"/>
      <c r="N397" s="131"/>
      <c r="O397" s="30"/>
      <c r="P397" s="29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7.75" customHeight="1">
      <c r="A398" s="29"/>
      <c r="B398" s="29"/>
      <c r="C398" s="29"/>
      <c r="D398" s="29"/>
      <c r="E398" s="29"/>
      <c r="F398" s="30"/>
      <c r="G398" s="66"/>
      <c r="H398" s="130"/>
      <c r="I398" s="84"/>
      <c r="J398" s="17"/>
      <c r="K398" s="133"/>
      <c r="L398" s="135"/>
      <c r="M398" s="19"/>
      <c r="N398" s="131"/>
      <c r="O398" s="30"/>
      <c r="P398" s="29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7.75" customHeight="1">
      <c r="A399" s="29"/>
      <c r="B399" s="29"/>
      <c r="C399" s="29"/>
      <c r="D399" s="29"/>
      <c r="E399" s="29"/>
      <c r="F399" s="30"/>
      <c r="G399" s="66"/>
      <c r="H399" s="130"/>
      <c r="I399" s="84"/>
      <c r="J399" s="17"/>
      <c r="K399" s="133"/>
      <c r="L399" s="135"/>
      <c r="M399" s="19"/>
      <c r="N399" s="131"/>
      <c r="O399" s="30"/>
      <c r="P399" s="29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7.75" customHeight="1">
      <c r="A400" s="29"/>
      <c r="B400" s="29"/>
      <c r="C400" s="29"/>
      <c r="D400" s="29"/>
      <c r="E400" s="29"/>
      <c r="F400" s="30"/>
      <c r="G400" s="66"/>
      <c r="H400" s="130"/>
      <c r="I400" s="84"/>
      <c r="J400" s="17"/>
      <c r="K400" s="133"/>
      <c r="L400" s="135"/>
      <c r="M400" s="19"/>
      <c r="N400" s="131"/>
      <c r="O400" s="30"/>
      <c r="P400" s="29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7.75" customHeight="1">
      <c r="A401" s="29"/>
      <c r="B401" s="29"/>
      <c r="C401" s="29"/>
      <c r="D401" s="29"/>
      <c r="E401" s="29"/>
      <c r="F401" s="30"/>
      <c r="G401" s="66"/>
      <c r="H401" s="130"/>
      <c r="I401" s="84"/>
      <c r="J401" s="17"/>
      <c r="K401" s="133"/>
      <c r="L401" s="135"/>
      <c r="M401" s="19"/>
      <c r="N401" s="131"/>
      <c r="O401" s="30"/>
      <c r="P401" s="29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7.75" customHeight="1">
      <c r="A402" s="29"/>
      <c r="B402" s="29"/>
      <c r="C402" s="29"/>
      <c r="D402" s="29"/>
      <c r="E402" s="29"/>
      <c r="F402" s="30"/>
      <c r="G402" s="66"/>
      <c r="H402" s="130"/>
      <c r="I402" s="84"/>
      <c r="J402" s="17"/>
      <c r="K402" s="133"/>
      <c r="L402" s="135"/>
      <c r="M402" s="19"/>
      <c r="N402" s="131"/>
      <c r="O402" s="30"/>
      <c r="P402" s="29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7.75" customHeight="1">
      <c r="A403" s="29"/>
      <c r="B403" s="29"/>
      <c r="C403" s="29"/>
      <c r="D403" s="29"/>
      <c r="E403" s="29"/>
      <c r="F403" s="30"/>
      <c r="G403" s="66"/>
      <c r="H403" s="130"/>
      <c r="I403" s="84"/>
      <c r="J403" s="17"/>
      <c r="K403" s="133"/>
      <c r="L403" s="135"/>
      <c r="M403" s="19"/>
      <c r="N403" s="131"/>
      <c r="O403" s="30"/>
      <c r="P403" s="29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7.75" customHeight="1">
      <c r="A404" s="29"/>
      <c r="B404" s="29"/>
      <c r="C404" s="29"/>
      <c r="D404" s="29"/>
      <c r="E404" s="29"/>
      <c r="F404" s="30"/>
      <c r="G404" s="66"/>
      <c r="H404" s="130"/>
      <c r="I404" s="84"/>
      <c r="J404" s="17"/>
      <c r="K404" s="133"/>
      <c r="L404" s="135"/>
      <c r="M404" s="19"/>
      <c r="N404" s="131"/>
      <c r="O404" s="30"/>
      <c r="P404" s="29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7.75" customHeight="1">
      <c r="A405" s="29"/>
      <c r="B405" s="29"/>
      <c r="C405" s="29"/>
      <c r="D405" s="29"/>
      <c r="E405" s="29"/>
      <c r="F405" s="30"/>
      <c r="G405" s="66"/>
      <c r="H405" s="130"/>
      <c r="I405" s="84"/>
      <c r="J405" s="17"/>
      <c r="K405" s="133"/>
      <c r="L405" s="135"/>
      <c r="M405" s="19"/>
      <c r="N405" s="131"/>
      <c r="O405" s="30"/>
      <c r="P405" s="29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7.75" customHeight="1">
      <c r="A406" s="29"/>
      <c r="B406" s="29"/>
      <c r="C406" s="29"/>
      <c r="D406" s="29"/>
      <c r="E406" s="29"/>
      <c r="F406" s="30"/>
      <c r="G406" s="66"/>
      <c r="H406" s="130"/>
      <c r="I406" s="84"/>
      <c r="J406" s="17"/>
      <c r="K406" s="133"/>
      <c r="L406" s="135"/>
      <c r="M406" s="19"/>
      <c r="N406" s="131"/>
      <c r="O406" s="30"/>
      <c r="P406" s="29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7.75" customHeight="1">
      <c r="A407" s="29"/>
      <c r="B407" s="29"/>
      <c r="C407" s="29"/>
      <c r="D407" s="29"/>
      <c r="E407" s="29"/>
      <c r="F407" s="30"/>
      <c r="G407" s="66"/>
      <c r="H407" s="130"/>
      <c r="I407" s="84"/>
      <c r="J407" s="17"/>
      <c r="K407" s="133"/>
      <c r="L407" s="135"/>
      <c r="M407" s="19"/>
      <c r="N407" s="131"/>
      <c r="O407" s="30"/>
      <c r="P407" s="29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7.75" customHeight="1">
      <c r="A408" s="29"/>
      <c r="B408" s="29"/>
      <c r="C408" s="29"/>
      <c r="D408" s="29"/>
      <c r="E408" s="29"/>
      <c r="F408" s="30"/>
      <c r="G408" s="66"/>
      <c r="H408" s="130"/>
      <c r="I408" s="84"/>
      <c r="J408" s="17"/>
      <c r="K408" s="133"/>
      <c r="L408" s="135"/>
      <c r="M408" s="19"/>
      <c r="N408" s="131"/>
      <c r="O408" s="30"/>
      <c r="P408" s="29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7.75" customHeight="1">
      <c r="A409" s="29"/>
      <c r="B409" s="29"/>
      <c r="C409" s="29"/>
      <c r="D409" s="29"/>
      <c r="E409" s="29"/>
      <c r="F409" s="30"/>
      <c r="G409" s="66"/>
      <c r="H409" s="130"/>
      <c r="I409" s="84"/>
      <c r="J409" s="17"/>
      <c r="K409" s="133"/>
      <c r="L409" s="135"/>
      <c r="M409" s="19"/>
      <c r="N409" s="131"/>
      <c r="O409" s="30"/>
      <c r="P409" s="29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7.75" customHeight="1">
      <c r="A410" s="29"/>
      <c r="B410" s="29"/>
      <c r="C410" s="29"/>
      <c r="D410" s="29"/>
      <c r="E410" s="29"/>
      <c r="F410" s="30"/>
      <c r="G410" s="66"/>
      <c r="H410" s="130"/>
      <c r="I410" s="84"/>
      <c r="J410" s="17"/>
      <c r="K410" s="133"/>
      <c r="L410" s="135"/>
      <c r="M410" s="19"/>
      <c r="N410" s="131"/>
      <c r="O410" s="30"/>
      <c r="P410" s="29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7.75" customHeight="1">
      <c r="A411" s="29"/>
      <c r="B411" s="29"/>
      <c r="C411" s="29"/>
      <c r="D411" s="29"/>
      <c r="E411" s="29"/>
      <c r="F411" s="30"/>
      <c r="G411" s="66"/>
      <c r="H411" s="130"/>
      <c r="I411" s="84"/>
      <c r="J411" s="17"/>
      <c r="K411" s="133"/>
      <c r="L411" s="135"/>
      <c r="M411" s="19"/>
      <c r="N411" s="131"/>
      <c r="O411" s="30"/>
      <c r="P411" s="29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7.75" customHeight="1">
      <c r="A412" s="29"/>
      <c r="B412" s="29"/>
      <c r="C412" s="29"/>
      <c r="D412" s="29"/>
      <c r="E412" s="29"/>
      <c r="F412" s="30"/>
      <c r="G412" s="66"/>
      <c r="H412" s="130"/>
      <c r="I412" s="84"/>
      <c r="J412" s="17"/>
      <c r="K412" s="133"/>
      <c r="L412" s="135"/>
      <c r="M412" s="19"/>
      <c r="N412" s="131"/>
      <c r="O412" s="30"/>
      <c r="P412" s="29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7.75" customHeight="1">
      <c r="A413" s="29"/>
      <c r="B413" s="29"/>
      <c r="C413" s="29"/>
      <c r="D413" s="29"/>
      <c r="E413" s="29"/>
      <c r="F413" s="30"/>
      <c r="G413" s="66"/>
      <c r="H413" s="130"/>
      <c r="I413" s="84"/>
      <c r="J413" s="17"/>
      <c r="K413" s="133"/>
      <c r="L413" s="135"/>
      <c r="M413" s="19"/>
      <c r="N413" s="131"/>
      <c r="O413" s="30"/>
      <c r="P413" s="29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7.75" customHeight="1">
      <c r="A414" s="29"/>
      <c r="B414" s="29"/>
      <c r="C414" s="29"/>
      <c r="D414" s="29"/>
      <c r="E414" s="29"/>
      <c r="F414" s="30"/>
      <c r="G414" s="66"/>
      <c r="H414" s="130"/>
      <c r="I414" s="84"/>
      <c r="J414" s="17"/>
      <c r="K414" s="133"/>
      <c r="L414" s="135"/>
      <c r="M414" s="19"/>
      <c r="N414" s="131"/>
      <c r="O414" s="30"/>
      <c r="P414" s="29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7.75" customHeight="1">
      <c r="A415" s="29"/>
      <c r="B415" s="29"/>
      <c r="C415" s="29"/>
      <c r="D415" s="29"/>
      <c r="E415" s="29"/>
      <c r="F415" s="30"/>
      <c r="G415" s="66"/>
      <c r="H415" s="130"/>
      <c r="I415" s="84"/>
      <c r="J415" s="17"/>
      <c r="K415" s="133"/>
      <c r="L415" s="135"/>
      <c r="M415" s="19"/>
      <c r="N415" s="131"/>
      <c r="O415" s="30"/>
      <c r="P415" s="29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7.75" customHeight="1">
      <c r="A416" s="29"/>
      <c r="B416" s="29"/>
      <c r="C416" s="29"/>
      <c r="D416" s="29"/>
      <c r="E416" s="29"/>
      <c r="F416" s="30"/>
      <c r="G416" s="66"/>
      <c r="H416" s="130"/>
      <c r="I416" s="84"/>
      <c r="J416" s="17"/>
      <c r="K416" s="133"/>
      <c r="L416" s="135"/>
      <c r="M416" s="19"/>
      <c r="N416" s="131"/>
      <c r="O416" s="30"/>
      <c r="P416" s="29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7.75" customHeight="1">
      <c r="A417" s="29"/>
      <c r="B417" s="29"/>
      <c r="C417" s="29"/>
      <c r="D417" s="29"/>
      <c r="E417" s="29"/>
      <c r="F417" s="30"/>
      <c r="G417" s="66"/>
      <c r="H417" s="130"/>
      <c r="I417" s="84"/>
      <c r="J417" s="17"/>
      <c r="K417" s="133"/>
      <c r="L417" s="135"/>
      <c r="M417" s="19"/>
      <c r="N417" s="131"/>
      <c r="O417" s="30"/>
      <c r="P417" s="29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7.75" customHeight="1">
      <c r="A418" s="29"/>
      <c r="B418" s="29"/>
      <c r="C418" s="29"/>
      <c r="D418" s="29"/>
      <c r="E418" s="29"/>
      <c r="F418" s="30"/>
      <c r="G418" s="66"/>
      <c r="H418" s="130"/>
      <c r="I418" s="84"/>
      <c r="J418" s="17"/>
      <c r="K418" s="133"/>
      <c r="L418" s="135"/>
      <c r="M418" s="19"/>
      <c r="N418" s="131"/>
      <c r="O418" s="30"/>
      <c r="P418" s="29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7.75" customHeight="1">
      <c r="A419" s="29"/>
      <c r="B419" s="29"/>
      <c r="C419" s="29"/>
      <c r="D419" s="29"/>
      <c r="E419" s="29"/>
      <c r="F419" s="30"/>
      <c r="G419" s="66"/>
      <c r="H419" s="130"/>
      <c r="I419" s="84"/>
      <c r="J419" s="17"/>
      <c r="K419" s="133"/>
      <c r="L419" s="135"/>
      <c r="M419" s="19"/>
      <c r="N419" s="131"/>
      <c r="O419" s="30"/>
      <c r="P419" s="29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7.75" customHeight="1">
      <c r="A420" s="29"/>
      <c r="B420" s="29"/>
      <c r="C420" s="29"/>
      <c r="D420" s="29"/>
      <c r="E420" s="29"/>
      <c r="F420" s="30"/>
      <c r="G420" s="66"/>
      <c r="H420" s="130"/>
      <c r="I420" s="84"/>
      <c r="J420" s="17"/>
      <c r="K420" s="133"/>
      <c r="L420" s="135"/>
      <c r="M420" s="19"/>
      <c r="N420" s="131"/>
      <c r="O420" s="30"/>
      <c r="P420" s="29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7.75" customHeight="1">
      <c r="A421" s="29"/>
      <c r="B421" s="29"/>
      <c r="C421" s="29"/>
      <c r="D421" s="29"/>
      <c r="E421" s="29"/>
      <c r="F421" s="30"/>
      <c r="G421" s="66"/>
      <c r="H421" s="130"/>
      <c r="I421" s="84"/>
      <c r="J421" s="17"/>
      <c r="K421" s="133"/>
      <c r="L421" s="135"/>
      <c r="M421" s="19"/>
      <c r="N421" s="131"/>
      <c r="O421" s="30"/>
      <c r="P421" s="29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7.75" customHeight="1">
      <c r="A422" s="29"/>
      <c r="B422" s="29"/>
      <c r="C422" s="29"/>
      <c r="D422" s="29"/>
      <c r="E422" s="29"/>
      <c r="F422" s="30"/>
      <c r="G422" s="66"/>
      <c r="H422" s="130"/>
      <c r="I422" s="84"/>
      <c r="J422" s="17"/>
      <c r="K422" s="133"/>
      <c r="L422" s="135"/>
      <c r="M422" s="19"/>
      <c r="N422" s="131"/>
      <c r="O422" s="30"/>
      <c r="P422" s="29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7.75" customHeight="1">
      <c r="A423" s="29"/>
      <c r="B423" s="29"/>
      <c r="C423" s="29"/>
      <c r="D423" s="29"/>
      <c r="E423" s="29"/>
      <c r="F423" s="30"/>
      <c r="G423" s="66"/>
      <c r="H423" s="130"/>
      <c r="I423" s="84"/>
      <c r="J423" s="17"/>
      <c r="K423" s="133"/>
      <c r="L423" s="135"/>
      <c r="M423" s="19"/>
      <c r="N423" s="131"/>
      <c r="O423" s="30"/>
      <c r="P423" s="29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7.75" customHeight="1">
      <c r="A424" s="29"/>
      <c r="B424" s="29"/>
      <c r="C424" s="29"/>
      <c r="D424" s="29"/>
      <c r="E424" s="29"/>
      <c r="F424" s="30"/>
      <c r="G424" s="66"/>
      <c r="H424" s="130"/>
      <c r="I424" s="84"/>
      <c r="J424" s="17"/>
      <c r="K424" s="133"/>
      <c r="L424" s="135"/>
      <c r="M424" s="19"/>
      <c r="N424" s="131"/>
      <c r="O424" s="30"/>
      <c r="P424" s="29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7.75" customHeight="1">
      <c r="A425" s="29"/>
      <c r="B425" s="29"/>
      <c r="C425" s="29"/>
      <c r="D425" s="29"/>
      <c r="E425" s="29"/>
      <c r="F425" s="30"/>
      <c r="G425" s="66"/>
      <c r="H425" s="130"/>
      <c r="I425" s="84"/>
      <c r="J425" s="17"/>
      <c r="K425" s="133"/>
      <c r="L425" s="135"/>
      <c r="M425" s="19"/>
      <c r="N425" s="131"/>
      <c r="O425" s="30"/>
      <c r="P425" s="29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7.75" customHeight="1">
      <c r="A426" s="29"/>
      <c r="B426" s="29"/>
      <c r="C426" s="29"/>
      <c r="D426" s="29"/>
      <c r="E426" s="29"/>
      <c r="F426" s="30"/>
      <c r="G426" s="66"/>
      <c r="H426" s="130"/>
      <c r="I426" s="84"/>
      <c r="J426" s="17"/>
      <c r="K426" s="133"/>
      <c r="L426" s="135"/>
      <c r="M426" s="19"/>
      <c r="N426" s="131"/>
      <c r="O426" s="30"/>
      <c r="P426" s="29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7.75" customHeight="1">
      <c r="A427" s="29"/>
      <c r="B427" s="29"/>
      <c r="C427" s="29"/>
      <c r="D427" s="29"/>
      <c r="E427" s="29"/>
      <c r="F427" s="30"/>
      <c r="G427" s="66"/>
      <c r="H427" s="130"/>
      <c r="I427" s="84"/>
      <c r="J427" s="17"/>
      <c r="K427" s="133"/>
      <c r="L427" s="135"/>
      <c r="M427" s="19"/>
      <c r="N427" s="131"/>
      <c r="O427" s="30"/>
      <c r="P427" s="29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7.75" customHeight="1">
      <c r="A428" s="29"/>
      <c r="B428" s="29"/>
      <c r="C428" s="29"/>
      <c r="D428" s="29"/>
      <c r="E428" s="29"/>
      <c r="F428" s="30"/>
      <c r="G428" s="66"/>
      <c r="H428" s="130"/>
      <c r="I428" s="84"/>
      <c r="J428" s="17"/>
      <c r="K428" s="133"/>
      <c r="L428" s="135"/>
      <c r="M428" s="19"/>
      <c r="N428" s="131"/>
      <c r="O428" s="30"/>
      <c r="P428" s="29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7.75" customHeight="1">
      <c r="A429" s="29"/>
      <c r="B429" s="29"/>
      <c r="C429" s="29"/>
      <c r="D429" s="29"/>
      <c r="E429" s="29"/>
      <c r="F429" s="30"/>
      <c r="G429" s="66"/>
      <c r="H429" s="130"/>
      <c r="I429" s="84"/>
      <c r="J429" s="17"/>
      <c r="K429" s="133"/>
      <c r="L429" s="135"/>
      <c r="M429" s="19"/>
      <c r="N429" s="131"/>
      <c r="O429" s="30"/>
      <c r="P429" s="29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7.75" customHeight="1">
      <c r="A430" s="29"/>
      <c r="B430" s="29"/>
      <c r="C430" s="29"/>
      <c r="D430" s="29"/>
      <c r="E430" s="29"/>
      <c r="F430" s="30"/>
      <c r="G430" s="66"/>
      <c r="H430" s="130"/>
      <c r="I430" s="84"/>
      <c r="J430" s="17"/>
      <c r="K430" s="133"/>
      <c r="L430" s="135"/>
      <c r="M430" s="19"/>
      <c r="N430" s="131"/>
      <c r="O430" s="30"/>
      <c r="P430" s="29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7.75" customHeight="1">
      <c r="A431" s="29"/>
      <c r="B431" s="29"/>
      <c r="C431" s="29"/>
      <c r="D431" s="29"/>
      <c r="E431" s="29"/>
      <c r="F431" s="30"/>
      <c r="G431" s="66"/>
      <c r="H431" s="130"/>
      <c r="I431" s="84"/>
      <c r="J431" s="17"/>
      <c r="K431" s="133"/>
      <c r="L431" s="135"/>
      <c r="M431" s="19"/>
      <c r="N431" s="131"/>
      <c r="O431" s="30"/>
      <c r="P431" s="29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7.75" customHeight="1">
      <c r="A432" s="29"/>
      <c r="B432" s="29"/>
      <c r="C432" s="29"/>
      <c r="D432" s="29"/>
      <c r="E432" s="29"/>
      <c r="F432" s="30"/>
      <c r="G432" s="66"/>
      <c r="H432" s="130"/>
      <c r="I432" s="84"/>
      <c r="J432" s="17"/>
      <c r="K432" s="133"/>
      <c r="L432" s="135"/>
      <c r="M432" s="19"/>
      <c r="N432" s="131"/>
      <c r="O432" s="30"/>
      <c r="P432" s="29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7.75" customHeight="1">
      <c r="A433" s="29"/>
      <c r="B433" s="29"/>
      <c r="C433" s="29"/>
      <c r="D433" s="29"/>
      <c r="E433" s="29"/>
      <c r="F433" s="30"/>
      <c r="G433" s="66"/>
      <c r="H433" s="130"/>
      <c r="I433" s="84"/>
      <c r="J433" s="17"/>
      <c r="K433" s="133"/>
      <c r="L433" s="135"/>
      <c r="M433" s="19"/>
      <c r="N433" s="131"/>
      <c r="O433" s="30"/>
      <c r="P433" s="29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7.75" customHeight="1">
      <c r="A434" s="29"/>
      <c r="B434" s="29"/>
      <c r="C434" s="29"/>
      <c r="D434" s="29"/>
      <c r="E434" s="29"/>
      <c r="F434" s="30"/>
      <c r="G434" s="66"/>
      <c r="H434" s="130"/>
      <c r="I434" s="84"/>
      <c r="J434" s="17"/>
      <c r="K434" s="133"/>
      <c r="L434" s="135"/>
      <c r="M434" s="19"/>
      <c r="N434" s="131"/>
      <c r="O434" s="30"/>
      <c r="P434" s="29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7.75" customHeight="1">
      <c r="A435" s="29"/>
      <c r="B435" s="29"/>
      <c r="C435" s="29"/>
      <c r="D435" s="29"/>
      <c r="E435" s="29"/>
      <c r="F435" s="30"/>
      <c r="G435" s="66"/>
      <c r="H435" s="130"/>
      <c r="I435" s="84"/>
      <c r="J435" s="17"/>
      <c r="K435" s="133"/>
      <c r="L435" s="135"/>
      <c r="M435" s="19"/>
      <c r="N435" s="131"/>
      <c r="O435" s="30"/>
      <c r="P435" s="29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7.75" customHeight="1">
      <c r="A436" s="29"/>
      <c r="B436" s="29"/>
      <c r="C436" s="29"/>
      <c r="D436" s="29"/>
      <c r="E436" s="29"/>
      <c r="F436" s="30"/>
      <c r="G436" s="66"/>
      <c r="H436" s="130"/>
      <c r="I436" s="84"/>
      <c r="J436" s="17"/>
      <c r="K436" s="133"/>
      <c r="L436" s="135"/>
      <c r="M436" s="19"/>
      <c r="N436" s="131"/>
      <c r="O436" s="30"/>
      <c r="P436" s="29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7.75" customHeight="1">
      <c r="A437" s="29"/>
      <c r="B437" s="29"/>
      <c r="C437" s="29"/>
      <c r="D437" s="29"/>
      <c r="E437" s="29"/>
      <c r="F437" s="30"/>
      <c r="G437" s="66"/>
      <c r="H437" s="130"/>
      <c r="I437" s="84"/>
      <c r="J437" s="17"/>
      <c r="K437" s="133"/>
      <c r="L437" s="135"/>
      <c r="M437" s="19"/>
      <c r="N437" s="131"/>
      <c r="O437" s="30"/>
      <c r="P437" s="29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7.75" customHeight="1">
      <c r="A438" s="29"/>
      <c r="B438" s="29"/>
      <c r="C438" s="29"/>
      <c r="D438" s="29"/>
      <c r="E438" s="29"/>
      <c r="F438" s="30"/>
      <c r="G438" s="66"/>
      <c r="H438" s="130"/>
      <c r="I438" s="84"/>
      <c r="J438" s="17"/>
      <c r="K438" s="133"/>
      <c r="L438" s="135"/>
      <c r="M438" s="19"/>
      <c r="N438" s="131"/>
      <c r="O438" s="30"/>
      <c r="P438" s="29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7.75" customHeight="1">
      <c r="A439" s="29"/>
      <c r="B439" s="29"/>
      <c r="C439" s="29"/>
      <c r="D439" s="29"/>
      <c r="E439" s="29"/>
      <c r="F439" s="30"/>
      <c r="G439" s="66"/>
      <c r="H439" s="130"/>
      <c r="I439" s="84"/>
      <c r="J439" s="17"/>
      <c r="K439" s="133"/>
      <c r="L439" s="135"/>
      <c r="M439" s="19"/>
      <c r="N439" s="131"/>
      <c r="O439" s="30"/>
      <c r="P439" s="29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7.75" customHeight="1">
      <c r="A440" s="29"/>
      <c r="B440" s="29"/>
      <c r="C440" s="29"/>
      <c r="D440" s="29"/>
      <c r="E440" s="29"/>
      <c r="F440" s="30"/>
      <c r="G440" s="66"/>
      <c r="H440" s="130"/>
      <c r="I440" s="84"/>
      <c r="J440" s="17"/>
      <c r="K440" s="133"/>
      <c r="L440" s="135"/>
      <c r="M440" s="19"/>
      <c r="N440" s="131"/>
      <c r="O440" s="30"/>
      <c r="P440" s="29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7.75" customHeight="1">
      <c r="A441" s="29"/>
      <c r="B441" s="29"/>
      <c r="C441" s="29"/>
      <c r="D441" s="29"/>
      <c r="E441" s="29"/>
      <c r="F441" s="30"/>
      <c r="G441" s="66"/>
      <c r="H441" s="130"/>
      <c r="I441" s="84"/>
      <c r="J441" s="17"/>
      <c r="K441" s="133"/>
      <c r="L441" s="135"/>
      <c r="M441" s="19"/>
      <c r="N441" s="131"/>
      <c r="O441" s="30"/>
      <c r="P441" s="29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7.75" customHeight="1">
      <c r="A442" s="29"/>
      <c r="B442" s="29"/>
      <c r="C442" s="29"/>
      <c r="D442" s="29"/>
      <c r="E442" s="29"/>
      <c r="F442" s="30"/>
      <c r="G442" s="66"/>
      <c r="H442" s="130"/>
      <c r="I442" s="84"/>
      <c r="J442" s="17"/>
      <c r="K442" s="133"/>
      <c r="L442" s="135"/>
      <c r="M442" s="19"/>
      <c r="N442" s="131"/>
      <c r="O442" s="30"/>
      <c r="P442" s="29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7.75" customHeight="1">
      <c r="A443" s="29"/>
      <c r="B443" s="29"/>
      <c r="C443" s="29"/>
      <c r="D443" s="29"/>
      <c r="E443" s="29"/>
      <c r="F443" s="30"/>
      <c r="G443" s="66"/>
      <c r="H443" s="130"/>
      <c r="I443" s="84"/>
      <c r="J443" s="17"/>
      <c r="K443" s="133"/>
      <c r="L443" s="135"/>
      <c r="M443" s="19"/>
      <c r="N443" s="131"/>
      <c r="O443" s="30"/>
      <c r="P443" s="29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7.75" customHeight="1">
      <c r="A444" s="29"/>
      <c r="B444" s="29"/>
      <c r="C444" s="29"/>
      <c r="D444" s="29"/>
      <c r="E444" s="29"/>
      <c r="F444" s="30"/>
      <c r="G444" s="66"/>
      <c r="H444" s="130"/>
      <c r="I444" s="84"/>
      <c r="J444" s="17"/>
      <c r="K444" s="133"/>
      <c r="L444" s="135"/>
      <c r="M444" s="19"/>
      <c r="N444" s="131"/>
      <c r="O444" s="30"/>
      <c r="P444" s="29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7.75" customHeight="1">
      <c r="A445" s="29"/>
      <c r="B445" s="29"/>
      <c r="C445" s="29"/>
      <c r="D445" s="29"/>
      <c r="E445" s="29"/>
      <c r="F445" s="30"/>
      <c r="G445" s="66"/>
      <c r="H445" s="130"/>
      <c r="I445" s="84"/>
      <c r="J445" s="17"/>
      <c r="K445" s="133"/>
      <c r="L445" s="135"/>
      <c r="M445" s="19"/>
      <c r="N445" s="131"/>
      <c r="O445" s="30"/>
      <c r="P445" s="29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7.75" customHeight="1">
      <c r="A446" s="29"/>
      <c r="B446" s="29"/>
      <c r="C446" s="29"/>
      <c r="D446" s="29"/>
      <c r="E446" s="29"/>
      <c r="F446" s="30"/>
      <c r="G446" s="66"/>
      <c r="H446" s="130"/>
      <c r="I446" s="84"/>
      <c r="J446" s="17"/>
      <c r="K446" s="133"/>
      <c r="L446" s="135"/>
      <c r="M446" s="19"/>
      <c r="N446" s="131"/>
      <c r="O446" s="30"/>
      <c r="P446" s="29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7.75" customHeight="1">
      <c r="A447" s="29"/>
      <c r="B447" s="29"/>
      <c r="C447" s="29"/>
      <c r="D447" s="29"/>
      <c r="E447" s="29"/>
      <c r="F447" s="30"/>
      <c r="G447" s="66"/>
      <c r="H447" s="130"/>
      <c r="I447" s="84"/>
      <c r="J447" s="17"/>
      <c r="K447" s="133"/>
      <c r="L447" s="135"/>
      <c r="M447" s="19"/>
      <c r="N447" s="131"/>
      <c r="O447" s="30"/>
      <c r="P447" s="29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7.75" customHeight="1">
      <c r="A448" s="29"/>
      <c r="B448" s="29"/>
      <c r="C448" s="29"/>
      <c r="D448" s="29"/>
      <c r="E448" s="29"/>
      <c r="F448" s="30"/>
      <c r="G448" s="66"/>
      <c r="H448" s="130"/>
      <c r="I448" s="84"/>
      <c r="J448" s="17"/>
      <c r="K448" s="133"/>
      <c r="L448" s="135"/>
      <c r="M448" s="19"/>
      <c r="N448" s="131"/>
      <c r="O448" s="30"/>
      <c r="P448" s="29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7.75" customHeight="1">
      <c r="A449" s="29"/>
      <c r="B449" s="29"/>
      <c r="C449" s="29"/>
      <c r="D449" s="29"/>
      <c r="E449" s="29"/>
      <c r="F449" s="30"/>
      <c r="G449" s="66"/>
      <c r="H449" s="130"/>
      <c r="I449" s="84"/>
      <c r="J449" s="17"/>
      <c r="K449" s="133"/>
      <c r="L449" s="135"/>
      <c r="M449" s="19"/>
      <c r="N449" s="131"/>
      <c r="O449" s="30"/>
      <c r="P449" s="29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7.75" customHeight="1">
      <c r="A450" s="29"/>
      <c r="B450" s="29"/>
      <c r="C450" s="29"/>
      <c r="D450" s="29"/>
      <c r="E450" s="29"/>
      <c r="F450" s="30"/>
      <c r="G450" s="66"/>
      <c r="H450" s="130"/>
      <c r="I450" s="84"/>
      <c r="J450" s="17"/>
      <c r="K450" s="133"/>
      <c r="L450" s="135"/>
      <c r="M450" s="19"/>
      <c r="N450" s="131"/>
      <c r="O450" s="30"/>
      <c r="P450" s="29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7.75" customHeight="1">
      <c r="A451" s="29"/>
      <c r="B451" s="29"/>
      <c r="C451" s="29"/>
      <c r="D451" s="29"/>
      <c r="E451" s="29"/>
      <c r="F451" s="30"/>
      <c r="G451" s="66"/>
      <c r="H451" s="130"/>
      <c r="I451" s="84"/>
      <c r="J451" s="17"/>
      <c r="K451" s="133"/>
      <c r="L451" s="135"/>
      <c r="M451" s="19"/>
      <c r="N451" s="131"/>
      <c r="O451" s="30"/>
      <c r="P451" s="29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7.75" customHeight="1">
      <c r="A452" s="29"/>
      <c r="B452" s="29"/>
      <c r="C452" s="29"/>
      <c r="D452" s="29"/>
      <c r="E452" s="29"/>
      <c r="F452" s="30"/>
      <c r="G452" s="66"/>
      <c r="H452" s="130"/>
      <c r="I452" s="84"/>
      <c r="J452" s="17"/>
      <c r="K452" s="133"/>
      <c r="L452" s="135"/>
      <c r="M452" s="19"/>
      <c r="N452" s="131"/>
      <c r="O452" s="30"/>
      <c r="P452" s="29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7.75" customHeight="1">
      <c r="A453" s="29"/>
      <c r="B453" s="29"/>
      <c r="C453" s="29"/>
      <c r="D453" s="29"/>
      <c r="E453" s="29"/>
      <c r="F453" s="30"/>
      <c r="G453" s="66"/>
      <c r="H453" s="130"/>
      <c r="I453" s="84"/>
      <c r="J453" s="17"/>
      <c r="K453" s="133"/>
      <c r="L453" s="135"/>
      <c r="M453" s="19"/>
      <c r="N453" s="131"/>
      <c r="O453" s="30"/>
      <c r="P453" s="29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7.75" customHeight="1">
      <c r="A454" s="29"/>
      <c r="B454" s="29"/>
      <c r="C454" s="29"/>
      <c r="D454" s="29"/>
      <c r="E454" s="29"/>
      <c r="F454" s="30"/>
      <c r="G454" s="66"/>
      <c r="H454" s="130"/>
      <c r="I454" s="84"/>
      <c r="J454" s="17"/>
      <c r="K454" s="133"/>
      <c r="L454" s="135"/>
      <c r="M454" s="19"/>
      <c r="N454" s="131"/>
      <c r="O454" s="30"/>
      <c r="P454" s="29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7.75" customHeight="1">
      <c r="A455" s="29"/>
      <c r="B455" s="29"/>
      <c r="C455" s="29"/>
      <c r="D455" s="29"/>
      <c r="E455" s="29"/>
      <c r="F455" s="30"/>
      <c r="G455" s="66"/>
      <c r="H455" s="130"/>
      <c r="I455" s="84"/>
      <c r="J455" s="17"/>
      <c r="K455" s="133"/>
      <c r="L455" s="135"/>
      <c r="M455" s="19"/>
      <c r="N455" s="131"/>
      <c r="O455" s="30"/>
      <c r="P455" s="29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7.75" customHeight="1">
      <c r="A456" s="29"/>
      <c r="B456" s="29"/>
      <c r="C456" s="29"/>
      <c r="D456" s="29"/>
      <c r="E456" s="29"/>
      <c r="F456" s="30"/>
      <c r="G456" s="66"/>
      <c r="H456" s="130"/>
      <c r="I456" s="84"/>
      <c r="J456" s="17"/>
      <c r="K456" s="133"/>
      <c r="L456" s="135"/>
      <c r="M456" s="19"/>
      <c r="N456" s="131"/>
      <c r="O456" s="30"/>
      <c r="P456" s="29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7.75" customHeight="1">
      <c r="A457" s="29"/>
      <c r="B457" s="29"/>
      <c r="C457" s="29"/>
      <c r="D457" s="29"/>
      <c r="E457" s="29"/>
      <c r="F457" s="30"/>
      <c r="G457" s="66"/>
      <c r="H457" s="130"/>
      <c r="I457" s="84"/>
      <c r="J457" s="17"/>
      <c r="K457" s="133"/>
      <c r="L457" s="135"/>
      <c r="M457" s="19"/>
      <c r="N457" s="131"/>
      <c r="O457" s="30"/>
      <c r="P457" s="29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7.75" customHeight="1">
      <c r="A458" s="29"/>
      <c r="B458" s="29"/>
      <c r="C458" s="29"/>
      <c r="D458" s="29"/>
      <c r="E458" s="29"/>
      <c r="F458" s="30"/>
      <c r="G458" s="66"/>
      <c r="H458" s="130"/>
      <c r="I458" s="84"/>
      <c r="J458" s="17"/>
      <c r="K458" s="133"/>
      <c r="L458" s="135"/>
      <c r="M458" s="19"/>
      <c r="N458" s="131"/>
      <c r="O458" s="30"/>
      <c r="P458" s="29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7.75" customHeight="1">
      <c r="A459" s="29"/>
      <c r="B459" s="29"/>
      <c r="C459" s="29"/>
      <c r="D459" s="29"/>
      <c r="E459" s="29"/>
      <c r="F459" s="30"/>
      <c r="G459" s="66"/>
      <c r="H459" s="130"/>
      <c r="I459" s="84"/>
      <c r="J459" s="17"/>
      <c r="K459" s="133"/>
      <c r="L459" s="135"/>
      <c r="M459" s="19"/>
      <c r="N459" s="131"/>
      <c r="O459" s="30"/>
      <c r="P459" s="29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7.75" customHeight="1">
      <c r="A460" s="29"/>
      <c r="B460" s="29"/>
      <c r="C460" s="29"/>
      <c r="D460" s="29"/>
      <c r="E460" s="29"/>
      <c r="F460" s="30"/>
      <c r="G460" s="66"/>
      <c r="H460" s="130"/>
      <c r="I460" s="84"/>
      <c r="J460" s="17"/>
      <c r="K460" s="133"/>
      <c r="L460" s="135"/>
      <c r="M460" s="19"/>
      <c r="N460" s="131"/>
      <c r="O460" s="30"/>
      <c r="P460" s="29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7.75" customHeight="1">
      <c r="A461" s="29"/>
      <c r="B461" s="29"/>
      <c r="C461" s="29"/>
      <c r="D461" s="29"/>
      <c r="E461" s="29"/>
      <c r="F461" s="30"/>
      <c r="G461" s="66"/>
      <c r="H461" s="130"/>
      <c r="I461" s="84"/>
      <c r="J461" s="17"/>
      <c r="K461" s="133"/>
      <c r="L461" s="135"/>
      <c r="M461" s="19"/>
      <c r="N461" s="131"/>
      <c r="O461" s="30"/>
      <c r="P461" s="29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7.75" customHeight="1">
      <c r="A462" s="29"/>
      <c r="B462" s="29"/>
      <c r="C462" s="29"/>
      <c r="D462" s="29"/>
      <c r="E462" s="29"/>
      <c r="F462" s="30"/>
      <c r="G462" s="66"/>
      <c r="H462" s="130"/>
      <c r="I462" s="84"/>
      <c r="J462" s="17"/>
      <c r="K462" s="133"/>
      <c r="L462" s="135"/>
      <c r="M462" s="19"/>
      <c r="N462" s="131"/>
      <c r="O462" s="30"/>
      <c r="P462" s="29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7.75" customHeight="1">
      <c r="A463" s="29"/>
      <c r="B463" s="29"/>
      <c r="C463" s="29"/>
      <c r="D463" s="29"/>
      <c r="E463" s="29"/>
      <c r="F463" s="30"/>
      <c r="G463" s="66"/>
      <c r="H463" s="130"/>
      <c r="I463" s="84"/>
      <c r="J463" s="17"/>
      <c r="K463" s="133"/>
      <c r="L463" s="135"/>
      <c r="M463" s="19"/>
      <c r="N463" s="131"/>
      <c r="O463" s="30"/>
      <c r="P463" s="29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7.75" customHeight="1">
      <c r="A464" s="29"/>
      <c r="B464" s="29"/>
      <c r="C464" s="29"/>
      <c r="D464" s="29"/>
      <c r="E464" s="29"/>
      <c r="F464" s="30"/>
      <c r="G464" s="66"/>
      <c r="H464" s="130"/>
      <c r="I464" s="84"/>
      <c r="J464" s="17"/>
      <c r="K464" s="133"/>
      <c r="L464" s="135"/>
      <c r="M464" s="19"/>
      <c r="N464" s="131"/>
      <c r="O464" s="30"/>
      <c r="P464" s="29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7.75" customHeight="1">
      <c r="A465" s="29"/>
      <c r="B465" s="29"/>
      <c r="C465" s="29"/>
      <c r="D465" s="29"/>
      <c r="E465" s="29"/>
      <c r="F465" s="30"/>
      <c r="G465" s="66"/>
      <c r="H465" s="130"/>
      <c r="I465" s="84"/>
      <c r="J465" s="17"/>
      <c r="K465" s="133"/>
      <c r="L465" s="135"/>
      <c r="M465" s="19"/>
      <c r="N465" s="131"/>
      <c r="O465" s="30"/>
      <c r="P465" s="29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7.75" customHeight="1">
      <c r="A466" s="29"/>
      <c r="B466" s="29"/>
      <c r="C466" s="29"/>
      <c r="D466" s="29"/>
      <c r="E466" s="29"/>
      <c r="F466" s="30"/>
      <c r="G466" s="66"/>
      <c r="H466" s="130"/>
      <c r="I466" s="84"/>
      <c r="J466" s="17"/>
      <c r="K466" s="133"/>
      <c r="L466" s="135"/>
      <c r="M466" s="19"/>
      <c r="N466" s="131"/>
      <c r="O466" s="30"/>
      <c r="P466" s="29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7.75" customHeight="1">
      <c r="A467" s="29"/>
      <c r="B467" s="29"/>
      <c r="C467" s="29"/>
      <c r="D467" s="29"/>
      <c r="E467" s="29"/>
      <c r="F467" s="30"/>
      <c r="G467" s="66"/>
      <c r="H467" s="130"/>
      <c r="I467" s="84"/>
      <c r="J467" s="17"/>
      <c r="K467" s="133"/>
      <c r="L467" s="135"/>
      <c r="M467" s="19"/>
      <c r="N467" s="131"/>
      <c r="O467" s="30"/>
      <c r="P467" s="29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7.75" customHeight="1">
      <c r="A468" s="29"/>
      <c r="B468" s="29"/>
      <c r="C468" s="29"/>
      <c r="D468" s="29"/>
      <c r="E468" s="29"/>
      <c r="F468" s="30"/>
      <c r="G468" s="66"/>
      <c r="H468" s="130"/>
      <c r="I468" s="84"/>
      <c r="J468" s="17"/>
      <c r="K468" s="133"/>
      <c r="L468" s="135"/>
      <c r="M468" s="19"/>
      <c r="N468" s="131"/>
      <c r="O468" s="30"/>
      <c r="P468" s="29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7.75" customHeight="1">
      <c r="A469" s="29"/>
      <c r="B469" s="29"/>
      <c r="C469" s="29"/>
      <c r="D469" s="29"/>
      <c r="E469" s="29"/>
      <c r="F469" s="30"/>
      <c r="G469" s="66"/>
      <c r="H469" s="130"/>
      <c r="I469" s="84"/>
      <c r="J469" s="17"/>
      <c r="K469" s="133"/>
      <c r="L469" s="135"/>
      <c r="M469" s="19"/>
      <c r="N469" s="131"/>
      <c r="O469" s="30"/>
      <c r="P469" s="29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7.75" customHeight="1">
      <c r="A470" s="29"/>
      <c r="B470" s="29"/>
      <c r="C470" s="29"/>
      <c r="D470" s="29"/>
      <c r="E470" s="29"/>
      <c r="F470" s="30"/>
      <c r="G470" s="66"/>
      <c r="H470" s="130"/>
      <c r="I470" s="84"/>
      <c r="J470" s="17"/>
      <c r="K470" s="133"/>
      <c r="L470" s="135"/>
      <c r="M470" s="19"/>
      <c r="N470" s="131"/>
      <c r="O470" s="30"/>
      <c r="P470" s="29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7.75" customHeight="1">
      <c r="A471" s="29"/>
      <c r="B471" s="29"/>
      <c r="C471" s="29"/>
      <c r="D471" s="29"/>
      <c r="E471" s="29"/>
      <c r="F471" s="30"/>
      <c r="G471" s="66"/>
      <c r="H471" s="130"/>
      <c r="I471" s="84"/>
      <c r="J471" s="17"/>
      <c r="K471" s="133"/>
      <c r="L471" s="135"/>
      <c r="M471" s="19"/>
      <c r="N471" s="131"/>
      <c r="O471" s="30"/>
      <c r="P471" s="29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7.75" customHeight="1">
      <c r="A472" s="29"/>
      <c r="B472" s="29"/>
      <c r="C472" s="29"/>
      <c r="D472" s="29"/>
      <c r="E472" s="29"/>
      <c r="F472" s="30"/>
      <c r="G472" s="66"/>
      <c r="H472" s="130"/>
      <c r="I472" s="84"/>
      <c r="J472" s="17"/>
      <c r="K472" s="133"/>
      <c r="L472" s="135"/>
      <c r="M472" s="19"/>
      <c r="N472" s="131"/>
      <c r="O472" s="30"/>
      <c r="P472" s="29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7.75" customHeight="1">
      <c r="A473" s="29"/>
      <c r="B473" s="29"/>
      <c r="C473" s="29"/>
      <c r="D473" s="29"/>
      <c r="E473" s="29"/>
      <c r="F473" s="30"/>
      <c r="G473" s="66"/>
      <c r="H473" s="130"/>
      <c r="I473" s="84"/>
      <c r="J473" s="17"/>
      <c r="K473" s="133"/>
      <c r="L473" s="135"/>
      <c r="M473" s="19"/>
      <c r="N473" s="131"/>
      <c r="O473" s="30"/>
      <c r="P473" s="29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7.75" customHeight="1">
      <c r="A474" s="29"/>
      <c r="B474" s="29"/>
      <c r="C474" s="29"/>
      <c r="D474" s="29"/>
      <c r="E474" s="29"/>
      <c r="F474" s="30"/>
      <c r="G474" s="66"/>
      <c r="H474" s="130"/>
      <c r="I474" s="84"/>
      <c r="J474" s="17"/>
      <c r="K474" s="133"/>
      <c r="L474" s="135"/>
      <c r="M474" s="19"/>
      <c r="N474" s="131"/>
      <c r="O474" s="30"/>
      <c r="P474" s="29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7.75" customHeight="1">
      <c r="A475" s="29"/>
      <c r="B475" s="29"/>
      <c r="C475" s="29"/>
      <c r="D475" s="29"/>
      <c r="E475" s="29"/>
      <c r="F475" s="30"/>
      <c r="G475" s="66"/>
      <c r="H475" s="130"/>
      <c r="I475" s="84"/>
      <c r="J475" s="17"/>
      <c r="K475" s="133"/>
      <c r="L475" s="135"/>
      <c r="M475" s="19"/>
      <c r="N475" s="131"/>
      <c r="O475" s="30"/>
      <c r="P475" s="29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7.75" customHeight="1">
      <c r="A476" s="29"/>
      <c r="B476" s="29"/>
      <c r="C476" s="29"/>
      <c r="D476" s="29"/>
      <c r="E476" s="29"/>
      <c r="F476" s="30"/>
      <c r="G476" s="66"/>
      <c r="H476" s="130"/>
      <c r="I476" s="84"/>
      <c r="J476" s="17"/>
      <c r="K476" s="133"/>
      <c r="L476" s="135"/>
      <c r="M476" s="19"/>
      <c r="N476" s="131"/>
      <c r="O476" s="30"/>
      <c r="P476" s="29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7.75" customHeight="1">
      <c r="A477" s="29"/>
      <c r="B477" s="29"/>
      <c r="C477" s="29"/>
      <c r="D477" s="29"/>
      <c r="E477" s="29"/>
      <c r="F477" s="30"/>
      <c r="G477" s="66"/>
      <c r="H477" s="130"/>
      <c r="I477" s="84"/>
      <c r="J477" s="17"/>
      <c r="K477" s="133"/>
      <c r="L477" s="135"/>
      <c r="M477" s="19"/>
      <c r="N477" s="131"/>
      <c r="O477" s="30"/>
      <c r="P477" s="29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7.75" customHeight="1">
      <c r="A478" s="29"/>
      <c r="B478" s="29"/>
      <c r="C478" s="29"/>
      <c r="D478" s="29"/>
      <c r="E478" s="29"/>
      <c r="F478" s="30"/>
      <c r="G478" s="66"/>
      <c r="H478" s="130"/>
      <c r="I478" s="84"/>
      <c r="J478" s="17"/>
      <c r="K478" s="133"/>
      <c r="L478" s="135"/>
      <c r="M478" s="19"/>
      <c r="N478" s="131"/>
      <c r="O478" s="30"/>
      <c r="P478" s="29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7.75" customHeight="1">
      <c r="A479" s="29"/>
      <c r="B479" s="29"/>
      <c r="C479" s="29"/>
      <c r="D479" s="29"/>
      <c r="E479" s="29"/>
      <c r="F479" s="30"/>
      <c r="G479" s="66"/>
      <c r="H479" s="130"/>
      <c r="I479" s="84"/>
      <c r="J479" s="17"/>
      <c r="K479" s="133"/>
      <c r="L479" s="135"/>
      <c r="M479" s="19"/>
      <c r="N479" s="131"/>
      <c r="O479" s="30"/>
      <c r="P479" s="29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7.75" customHeight="1">
      <c r="A480" s="29"/>
      <c r="B480" s="29"/>
      <c r="C480" s="29"/>
      <c r="D480" s="29"/>
      <c r="E480" s="29"/>
      <c r="F480" s="30"/>
      <c r="G480" s="66"/>
      <c r="H480" s="130"/>
      <c r="I480" s="84"/>
      <c r="J480" s="17"/>
      <c r="K480" s="133"/>
      <c r="L480" s="135"/>
      <c r="M480" s="19"/>
      <c r="N480" s="131"/>
      <c r="O480" s="30"/>
      <c r="P480" s="29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7.75" customHeight="1">
      <c r="A481" s="29"/>
      <c r="B481" s="29"/>
      <c r="C481" s="29"/>
      <c r="D481" s="29"/>
      <c r="E481" s="29"/>
      <c r="F481" s="30"/>
      <c r="G481" s="66"/>
      <c r="H481" s="130"/>
      <c r="I481" s="84"/>
      <c r="J481" s="17"/>
      <c r="K481" s="133"/>
      <c r="L481" s="135"/>
      <c r="M481" s="19"/>
      <c r="N481" s="131"/>
      <c r="O481" s="30"/>
      <c r="P481" s="29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7.75" customHeight="1">
      <c r="A482" s="29"/>
      <c r="B482" s="29"/>
      <c r="C482" s="29"/>
      <c r="D482" s="29"/>
      <c r="E482" s="29"/>
      <c r="F482" s="30"/>
      <c r="G482" s="66"/>
      <c r="H482" s="130"/>
      <c r="I482" s="84"/>
      <c r="J482" s="17"/>
      <c r="K482" s="133"/>
      <c r="L482" s="135"/>
      <c r="M482" s="19"/>
      <c r="N482" s="131"/>
      <c r="O482" s="30"/>
      <c r="P482" s="29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7.75" customHeight="1">
      <c r="A483" s="29"/>
      <c r="B483" s="29"/>
      <c r="C483" s="29"/>
      <c r="D483" s="29"/>
      <c r="E483" s="29"/>
      <c r="F483" s="30"/>
      <c r="G483" s="66"/>
      <c r="H483" s="130"/>
      <c r="I483" s="84"/>
      <c r="J483" s="17"/>
      <c r="K483" s="133"/>
      <c r="L483" s="135"/>
      <c r="M483" s="19"/>
      <c r="N483" s="131"/>
      <c r="O483" s="30"/>
      <c r="P483" s="29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7.75" customHeight="1">
      <c r="A484" s="29"/>
      <c r="B484" s="29"/>
      <c r="C484" s="29"/>
      <c r="D484" s="29"/>
      <c r="E484" s="29"/>
      <c r="F484" s="30"/>
      <c r="G484" s="66"/>
      <c r="H484" s="130"/>
      <c r="I484" s="84"/>
      <c r="J484" s="17"/>
      <c r="K484" s="133"/>
      <c r="L484" s="135"/>
      <c r="M484" s="19"/>
      <c r="N484" s="131"/>
      <c r="O484" s="30"/>
      <c r="P484" s="29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7.75" customHeight="1">
      <c r="A485" s="29"/>
      <c r="B485" s="29"/>
      <c r="C485" s="29"/>
      <c r="D485" s="29"/>
      <c r="E485" s="29"/>
      <c r="F485" s="30"/>
      <c r="G485" s="66"/>
      <c r="H485" s="130"/>
      <c r="I485" s="84"/>
      <c r="J485" s="17"/>
      <c r="K485" s="133"/>
      <c r="L485" s="135"/>
      <c r="M485" s="19"/>
      <c r="N485" s="131"/>
      <c r="O485" s="30"/>
      <c r="P485" s="29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7.75" customHeight="1">
      <c r="A486" s="29"/>
      <c r="B486" s="29"/>
      <c r="C486" s="29"/>
      <c r="D486" s="29"/>
      <c r="E486" s="29"/>
      <c r="F486" s="30"/>
      <c r="G486" s="66"/>
      <c r="H486" s="130"/>
      <c r="I486" s="84"/>
      <c r="J486" s="17"/>
      <c r="K486" s="133"/>
      <c r="L486" s="135"/>
      <c r="M486" s="19"/>
      <c r="N486" s="131"/>
      <c r="O486" s="30"/>
      <c r="P486" s="29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7.75" customHeight="1">
      <c r="A487" s="29"/>
      <c r="B487" s="29"/>
      <c r="C487" s="29"/>
      <c r="D487" s="29"/>
      <c r="E487" s="29"/>
      <c r="F487" s="30"/>
      <c r="G487" s="66"/>
      <c r="H487" s="130"/>
      <c r="I487" s="84"/>
      <c r="J487" s="17"/>
      <c r="K487" s="133"/>
      <c r="L487" s="135"/>
      <c r="M487" s="19"/>
      <c r="N487" s="131"/>
      <c r="O487" s="30"/>
      <c r="P487" s="29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7.75" customHeight="1">
      <c r="A488" s="29"/>
      <c r="B488" s="29"/>
      <c r="C488" s="29"/>
      <c r="D488" s="29"/>
      <c r="E488" s="29"/>
      <c r="F488" s="30"/>
      <c r="G488" s="66"/>
      <c r="H488" s="130"/>
      <c r="I488" s="84"/>
      <c r="J488" s="17"/>
      <c r="K488" s="133"/>
      <c r="L488" s="135"/>
      <c r="M488" s="19"/>
      <c r="N488" s="131"/>
      <c r="O488" s="30"/>
      <c r="P488" s="29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7.75" customHeight="1">
      <c r="A489" s="29"/>
      <c r="B489" s="29"/>
      <c r="C489" s="29"/>
      <c r="D489" s="29"/>
      <c r="E489" s="29"/>
      <c r="F489" s="30"/>
      <c r="G489" s="66"/>
      <c r="H489" s="130"/>
      <c r="I489" s="84"/>
      <c r="J489" s="17"/>
      <c r="K489" s="133"/>
      <c r="L489" s="135"/>
      <c r="M489" s="19"/>
      <c r="N489" s="131"/>
      <c r="O489" s="30"/>
      <c r="P489" s="29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7.75" customHeight="1">
      <c r="A490" s="29"/>
      <c r="B490" s="29"/>
      <c r="C490" s="29"/>
      <c r="D490" s="29"/>
      <c r="E490" s="29"/>
      <c r="F490" s="30"/>
      <c r="G490" s="66"/>
      <c r="H490" s="130"/>
      <c r="I490" s="84"/>
      <c r="J490" s="17"/>
      <c r="K490" s="133"/>
      <c r="L490" s="135"/>
      <c r="M490" s="19"/>
      <c r="N490" s="131"/>
      <c r="O490" s="30"/>
      <c r="P490" s="29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7.75" customHeight="1">
      <c r="A491" s="29"/>
      <c r="B491" s="29"/>
      <c r="C491" s="29"/>
      <c r="D491" s="29"/>
      <c r="E491" s="29"/>
      <c r="F491" s="30"/>
      <c r="G491" s="66"/>
      <c r="H491" s="130"/>
      <c r="I491" s="84"/>
      <c r="J491" s="17"/>
      <c r="K491" s="133"/>
      <c r="L491" s="135"/>
      <c r="M491" s="19"/>
      <c r="N491" s="131"/>
      <c r="O491" s="30"/>
      <c r="P491" s="29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7.75" customHeight="1">
      <c r="A492" s="29"/>
      <c r="B492" s="29"/>
      <c r="C492" s="29"/>
      <c r="D492" s="29"/>
      <c r="E492" s="29"/>
      <c r="F492" s="30"/>
      <c r="G492" s="66"/>
      <c r="H492" s="130"/>
      <c r="I492" s="84"/>
      <c r="J492" s="17"/>
      <c r="K492" s="133"/>
      <c r="L492" s="135"/>
      <c r="M492" s="19"/>
      <c r="N492" s="131"/>
      <c r="O492" s="30"/>
      <c r="P492" s="29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7.75" customHeight="1">
      <c r="A493" s="29"/>
      <c r="B493" s="29"/>
      <c r="C493" s="29"/>
      <c r="D493" s="29"/>
      <c r="E493" s="29"/>
      <c r="F493" s="30"/>
      <c r="G493" s="66"/>
      <c r="H493" s="130"/>
      <c r="I493" s="84"/>
      <c r="J493" s="17"/>
      <c r="K493" s="133"/>
      <c r="L493" s="135"/>
      <c r="M493" s="19"/>
      <c r="N493" s="131"/>
      <c r="O493" s="30"/>
      <c r="P493" s="29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7.75" customHeight="1">
      <c r="A494" s="29"/>
      <c r="B494" s="29"/>
      <c r="C494" s="29"/>
      <c r="D494" s="29"/>
      <c r="E494" s="29"/>
      <c r="F494" s="30"/>
      <c r="G494" s="66"/>
      <c r="H494" s="130"/>
      <c r="I494" s="84"/>
      <c r="J494" s="17"/>
      <c r="K494" s="133"/>
      <c r="L494" s="135"/>
      <c r="M494" s="19"/>
      <c r="N494" s="131"/>
      <c r="O494" s="30"/>
      <c r="P494" s="29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7.75" customHeight="1">
      <c r="A495" s="29"/>
      <c r="B495" s="29"/>
      <c r="C495" s="29"/>
      <c r="D495" s="29"/>
      <c r="E495" s="29"/>
      <c r="F495" s="30"/>
      <c r="G495" s="66"/>
      <c r="H495" s="130"/>
      <c r="I495" s="84"/>
      <c r="J495" s="17"/>
      <c r="K495" s="133"/>
      <c r="L495" s="135"/>
      <c r="M495" s="19"/>
      <c r="N495" s="131"/>
      <c r="O495" s="30"/>
      <c r="P495" s="29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7.75" customHeight="1">
      <c r="A496" s="29"/>
      <c r="B496" s="29"/>
      <c r="C496" s="29"/>
      <c r="D496" s="29"/>
      <c r="E496" s="29"/>
      <c r="F496" s="30"/>
      <c r="G496" s="66"/>
      <c r="H496" s="130"/>
      <c r="I496" s="84"/>
      <c r="J496" s="17"/>
      <c r="K496" s="133"/>
      <c r="L496" s="135"/>
      <c r="M496" s="19"/>
      <c r="N496" s="131"/>
      <c r="O496" s="30"/>
      <c r="P496" s="29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7.75" customHeight="1">
      <c r="A497" s="29"/>
      <c r="B497" s="29"/>
      <c r="C497" s="29"/>
      <c r="D497" s="29"/>
      <c r="E497" s="29"/>
      <c r="F497" s="30"/>
      <c r="G497" s="66"/>
      <c r="H497" s="130"/>
      <c r="I497" s="84"/>
      <c r="J497" s="17"/>
      <c r="K497" s="133"/>
      <c r="L497" s="135"/>
      <c r="M497" s="19"/>
      <c r="N497" s="131"/>
      <c r="O497" s="30"/>
      <c r="P497" s="29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7.75" customHeight="1">
      <c r="A498" s="29"/>
      <c r="B498" s="29"/>
      <c r="C498" s="29"/>
      <c r="D498" s="29"/>
      <c r="E498" s="29"/>
      <c r="F498" s="30"/>
      <c r="G498" s="66"/>
      <c r="H498" s="130"/>
      <c r="I498" s="84"/>
      <c r="J498" s="17"/>
      <c r="K498" s="133"/>
      <c r="L498" s="135"/>
      <c r="M498" s="19"/>
      <c r="N498" s="131"/>
      <c r="O498" s="30"/>
      <c r="P498" s="29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7.75" customHeight="1">
      <c r="A499" s="29"/>
      <c r="B499" s="29"/>
      <c r="C499" s="29"/>
      <c r="D499" s="29"/>
      <c r="E499" s="29"/>
      <c r="F499" s="30"/>
      <c r="G499" s="66"/>
      <c r="H499" s="130"/>
      <c r="I499" s="84"/>
      <c r="J499" s="17"/>
      <c r="K499" s="133"/>
      <c r="L499" s="135"/>
      <c r="M499" s="19"/>
      <c r="N499" s="131"/>
      <c r="O499" s="30"/>
      <c r="P499" s="29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7.75" customHeight="1">
      <c r="A500" s="29"/>
      <c r="B500" s="29"/>
      <c r="C500" s="29"/>
      <c r="D500" s="29"/>
      <c r="E500" s="29"/>
      <c r="F500" s="30"/>
      <c r="G500" s="66"/>
      <c r="H500" s="130"/>
      <c r="I500" s="84"/>
      <c r="J500" s="17"/>
      <c r="K500" s="133"/>
      <c r="L500" s="135"/>
      <c r="M500" s="19"/>
      <c r="N500" s="131"/>
      <c r="O500" s="30"/>
      <c r="P500" s="29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7.75" customHeight="1">
      <c r="A501" s="29"/>
      <c r="B501" s="29"/>
      <c r="C501" s="29"/>
      <c r="D501" s="29"/>
      <c r="E501" s="29"/>
      <c r="F501" s="30"/>
      <c r="G501" s="66"/>
      <c r="H501" s="130"/>
      <c r="I501" s="84"/>
      <c r="J501" s="17"/>
      <c r="K501" s="133"/>
      <c r="L501" s="135"/>
      <c r="M501" s="19"/>
      <c r="N501" s="131"/>
      <c r="O501" s="30"/>
      <c r="P501" s="29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7.75" customHeight="1">
      <c r="A502" s="29"/>
      <c r="B502" s="29"/>
      <c r="C502" s="29"/>
      <c r="D502" s="29"/>
      <c r="E502" s="29"/>
      <c r="F502" s="30"/>
      <c r="G502" s="66"/>
      <c r="H502" s="130"/>
      <c r="I502" s="84"/>
      <c r="J502" s="17"/>
      <c r="K502" s="133"/>
      <c r="L502" s="135"/>
      <c r="M502" s="19"/>
      <c r="N502" s="131"/>
      <c r="O502" s="30"/>
      <c r="P502" s="29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7.75" customHeight="1">
      <c r="A503" s="29"/>
      <c r="B503" s="29"/>
      <c r="C503" s="29"/>
      <c r="D503" s="29"/>
      <c r="E503" s="29"/>
      <c r="F503" s="30"/>
      <c r="G503" s="66"/>
      <c r="H503" s="130"/>
      <c r="I503" s="84"/>
      <c r="J503" s="17"/>
      <c r="K503" s="133"/>
      <c r="L503" s="135"/>
      <c r="M503" s="19"/>
      <c r="N503" s="131"/>
      <c r="O503" s="30"/>
      <c r="P503" s="29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7.75" customHeight="1">
      <c r="A504" s="29"/>
      <c r="B504" s="29"/>
      <c r="C504" s="29"/>
      <c r="D504" s="29"/>
      <c r="E504" s="29"/>
      <c r="F504" s="30"/>
      <c r="G504" s="66"/>
      <c r="H504" s="130"/>
      <c r="I504" s="84"/>
      <c r="J504" s="17"/>
      <c r="K504" s="133"/>
      <c r="L504" s="135"/>
      <c r="M504" s="19"/>
      <c r="N504" s="131"/>
      <c r="O504" s="30"/>
      <c r="P504" s="29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7.75" customHeight="1">
      <c r="A505" s="29"/>
      <c r="B505" s="29"/>
      <c r="C505" s="29"/>
      <c r="D505" s="29"/>
      <c r="E505" s="29"/>
      <c r="F505" s="30"/>
      <c r="G505" s="66"/>
      <c r="H505" s="130"/>
      <c r="I505" s="84"/>
      <c r="J505" s="17"/>
      <c r="K505" s="133"/>
      <c r="L505" s="135"/>
      <c r="M505" s="19"/>
      <c r="N505" s="131"/>
      <c r="O505" s="30"/>
      <c r="P505" s="29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7.75" customHeight="1">
      <c r="A506" s="29"/>
      <c r="B506" s="29"/>
      <c r="C506" s="29"/>
      <c r="D506" s="29"/>
      <c r="E506" s="29"/>
      <c r="F506" s="30"/>
      <c r="G506" s="66"/>
      <c r="H506" s="130"/>
      <c r="I506" s="84"/>
      <c r="J506" s="17"/>
      <c r="K506" s="133"/>
      <c r="L506" s="135"/>
      <c r="M506" s="19"/>
      <c r="N506" s="131"/>
      <c r="O506" s="30"/>
      <c r="P506" s="29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7.75" customHeight="1">
      <c r="A507" s="29"/>
      <c r="B507" s="29"/>
      <c r="C507" s="29"/>
      <c r="D507" s="29"/>
      <c r="E507" s="29"/>
      <c r="F507" s="30"/>
      <c r="G507" s="66"/>
      <c r="H507" s="130"/>
      <c r="I507" s="84"/>
      <c r="J507" s="17"/>
      <c r="K507" s="133"/>
      <c r="L507" s="135"/>
      <c r="M507" s="19"/>
      <c r="N507" s="131"/>
      <c r="O507" s="30"/>
      <c r="P507" s="29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7.75" customHeight="1">
      <c r="A508" s="29"/>
      <c r="B508" s="29"/>
      <c r="C508" s="29"/>
      <c r="D508" s="29"/>
      <c r="E508" s="29"/>
      <c r="F508" s="30"/>
      <c r="G508" s="66"/>
      <c r="H508" s="130"/>
      <c r="I508" s="84"/>
      <c r="J508" s="17"/>
      <c r="K508" s="133"/>
      <c r="L508" s="135"/>
      <c r="M508" s="19"/>
      <c r="N508" s="131"/>
      <c r="O508" s="30"/>
      <c r="P508" s="29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7.75" customHeight="1">
      <c r="A509" s="29"/>
      <c r="B509" s="29"/>
      <c r="C509" s="29"/>
      <c r="D509" s="29"/>
      <c r="E509" s="29"/>
      <c r="F509" s="30"/>
      <c r="G509" s="66"/>
      <c r="H509" s="130"/>
      <c r="I509" s="84"/>
      <c r="J509" s="17"/>
      <c r="K509" s="133"/>
      <c r="L509" s="135"/>
      <c r="M509" s="19"/>
      <c r="N509" s="131"/>
      <c r="O509" s="30"/>
      <c r="P509" s="29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7.75" customHeight="1">
      <c r="A510" s="29"/>
      <c r="B510" s="29"/>
      <c r="C510" s="29"/>
      <c r="D510" s="29"/>
      <c r="E510" s="29"/>
      <c r="F510" s="30"/>
      <c r="G510" s="66"/>
      <c r="H510" s="130"/>
      <c r="I510" s="84"/>
      <c r="J510" s="17"/>
      <c r="K510" s="133"/>
      <c r="L510" s="135"/>
      <c r="M510" s="19"/>
      <c r="N510" s="131"/>
      <c r="O510" s="30"/>
      <c r="P510" s="29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7.75" customHeight="1">
      <c r="A511" s="29"/>
      <c r="B511" s="29"/>
      <c r="C511" s="29"/>
      <c r="D511" s="29"/>
      <c r="E511" s="29"/>
      <c r="F511" s="30"/>
      <c r="G511" s="66"/>
      <c r="H511" s="130"/>
      <c r="I511" s="84"/>
      <c r="J511" s="17"/>
      <c r="K511" s="133"/>
      <c r="L511" s="135"/>
      <c r="M511" s="19"/>
      <c r="N511" s="131"/>
      <c r="O511" s="30"/>
      <c r="P511" s="29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7.75" customHeight="1">
      <c r="A512" s="29"/>
      <c r="B512" s="29"/>
      <c r="C512" s="29"/>
      <c r="D512" s="29"/>
      <c r="E512" s="29"/>
      <c r="F512" s="30"/>
      <c r="G512" s="66"/>
      <c r="H512" s="130"/>
      <c r="I512" s="84"/>
      <c r="J512" s="17"/>
      <c r="K512" s="133"/>
      <c r="L512" s="135"/>
      <c r="M512" s="19"/>
      <c r="N512" s="131"/>
      <c r="O512" s="30"/>
      <c r="P512" s="29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7.75" customHeight="1">
      <c r="A513" s="29"/>
      <c r="B513" s="29"/>
      <c r="C513" s="29"/>
      <c r="D513" s="29"/>
      <c r="E513" s="29"/>
      <c r="F513" s="30"/>
      <c r="G513" s="66"/>
      <c r="H513" s="130"/>
      <c r="I513" s="84"/>
      <c r="J513" s="17"/>
      <c r="K513" s="133"/>
      <c r="L513" s="135"/>
      <c r="M513" s="19"/>
      <c r="N513" s="131"/>
      <c r="O513" s="30"/>
      <c r="P513" s="29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7.75" customHeight="1">
      <c r="A514" s="29"/>
      <c r="B514" s="29"/>
      <c r="C514" s="29"/>
      <c r="D514" s="29"/>
      <c r="E514" s="29"/>
      <c r="F514" s="30"/>
      <c r="G514" s="66"/>
      <c r="H514" s="130"/>
      <c r="I514" s="84"/>
      <c r="J514" s="17"/>
      <c r="K514" s="133"/>
      <c r="L514" s="135"/>
      <c r="M514" s="19"/>
      <c r="N514" s="131"/>
      <c r="O514" s="30"/>
      <c r="P514" s="29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7.75" customHeight="1">
      <c r="A515" s="29"/>
      <c r="B515" s="29"/>
      <c r="C515" s="29"/>
      <c r="D515" s="29"/>
      <c r="E515" s="29"/>
      <c r="F515" s="30"/>
      <c r="G515" s="66"/>
      <c r="H515" s="130"/>
      <c r="I515" s="84"/>
      <c r="J515" s="17"/>
      <c r="K515" s="133"/>
      <c r="L515" s="135"/>
      <c r="M515" s="19"/>
      <c r="N515" s="131"/>
      <c r="O515" s="30"/>
      <c r="P515" s="29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7.75" customHeight="1">
      <c r="A516" s="29"/>
      <c r="B516" s="29"/>
      <c r="C516" s="29"/>
      <c r="D516" s="29"/>
      <c r="E516" s="29"/>
      <c r="F516" s="30"/>
      <c r="G516" s="66"/>
      <c r="H516" s="130"/>
      <c r="I516" s="84"/>
      <c r="J516" s="17"/>
      <c r="K516" s="133"/>
      <c r="L516" s="135"/>
      <c r="M516" s="19"/>
      <c r="N516" s="131"/>
      <c r="O516" s="30"/>
      <c r="P516" s="29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7.75" customHeight="1">
      <c r="A517" s="29"/>
      <c r="B517" s="29"/>
      <c r="C517" s="29"/>
      <c r="D517" s="29"/>
      <c r="E517" s="29"/>
      <c r="F517" s="30"/>
      <c r="G517" s="66"/>
      <c r="H517" s="130"/>
      <c r="I517" s="84"/>
      <c r="J517" s="17"/>
      <c r="K517" s="133"/>
      <c r="L517" s="135"/>
      <c r="M517" s="19"/>
      <c r="N517" s="131"/>
      <c r="O517" s="30"/>
      <c r="P517" s="29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7.75" customHeight="1">
      <c r="A518" s="29"/>
      <c r="B518" s="29"/>
      <c r="C518" s="29"/>
      <c r="D518" s="29"/>
      <c r="E518" s="29"/>
      <c r="F518" s="30"/>
      <c r="G518" s="66"/>
      <c r="H518" s="130"/>
      <c r="I518" s="84"/>
      <c r="J518" s="17"/>
      <c r="K518" s="133"/>
      <c r="L518" s="135"/>
      <c r="M518" s="19"/>
      <c r="N518" s="131"/>
      <c r="O518" s="30"/>
      <c r="P518" s="29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7.75" customHeight="1">
      <c r="A519" s="29"/>
      <c r="B519" s="29"/>
      <c r="C519" s="29"/>
      <c r="D519" s="29"/>
      <c r="E519" s="29"/>
      <c r="F519" s="30"/>
      <c r="G519" s="66"/>
      <c r="H519" s="130"/>
      <c r="I519" s="84"/>
      <c r="J519" s="17"/>
      <c r="K519" s="133"/>
      <c r="L519" s="135"/>
      <c r="M519" s="19"/>
      <c r="N519" s="131"/>
      <c r="O519" s="30"/>
      <c r="P519" s="29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7.75" customHeight="1">
      <c r="A520" s="29"/>
      <c r="B520" s="29"/>
      <c r="C520" s="29"/>
      <c r="D520" s="29"/>
      <c r="E520" s="29"/>
      <c r="F520" s="30"/>
      <c r="G520" s="66"/>
      <c r="H520" s="130"/>
      <c r="I520" s="84"/>
      <c r="J520" s="17"/>
      <c r="K520" s="133"/>
      <c r="L520" s="135"/>
      <c r="M520" s="19"/>
      <c r="N520" s="131"/>
      <c r="O520" s="30"/>
      <c r="P520" s="29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7.75" customHeight="1">
      <c r="A521" s="29"/>
      <c r="B521" s="29"/>
      <c r="C521" s="29"/>
      <c r="D521" s="29"/>
      <c r="E521" s="29"/>
      <c r="F521" s="30"/>
      <c r="G521" s="66"/>
      <c r="H521" s="130"/>
      <c r="I521" s="84"/>
      <c r="J521" s="17"/>
      <c r="K521" s="133"/>
      <c r="L521" s="135"/>
      <c r="M521" s="19"/>
      <c r="N521" s="131"/>
      <c r="O521" s="30"/>
      <c r="P521" s="29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7.75" customHeight="1">
      <c r="A522" s="29"/>
      <c r="B522" s="29"/>
      <c r="C522" s="29"/>
      <c r="D522" s="29"/>
      <c r="E522" s="29"/>
      <c r="F522" s="30"/>
      <c r="G522" s="66"/>
      <c r="H522" s="130"/>
      <c r="I522" s="84"/>
      <c r="J522" s="17"/>
      <c r="K522" s="133"/>
      <c r="L522" s="135"/>
      <c r="M522" s="19"/>
      <c r="N522" s="131"/>
      <c r="O522" s="30"/>
      <c r="P522" s="29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7.75" customHeight="1">
      <c r="A523" s="29"/>
      <c r="B523" s="29"/>
      <c r="C523" s="29"/>
      <c r="D523" s="29"/>
      <c r="E523" s="29"/>
      <c r="F523" s="30"/>
      <c r="G523" s="66"/>
      <c r="H523" s="130"/>
      <c r="I523" s="84"/>
      <c r="J523" s="17"/>
      <c r="K523" s="133"/>
      <c r="L523" s="135"/>
      <c r="M523" s="19"/>
      <c r="N523" s="131"/>
      <c r="O523" s="30"/>
      <c r="P523" s="29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7.75" customHeight="1">
      <c r="A524" s="29"/>
      <c r="B524" s="29"/>
      <c r="C524" s="29"/>
      <c r="D524" s="29"/>
      <c r="E524" s="29"/>
      <c r="F524" s="30"/>
      <c r="G524" s="66"/>
      <c r="H524" s="130"/>
      <c r="I524" s="84"/>
      <c r="J524" s="17"/>
      <c r="K524" s="133"/>
      <c r="L524" s="135"/>
      <c r="M524" s="19"/>
      <c r="N524" s="131"/>
      <c r="O524" s="30"/>
      <c r="P524" s="29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7.75" customHeight="1">
      <c r="A525" s="29"/>
      <c r="B525" s="29"/>
      <c r="C525" s="29"/>
      <c r="D525" s="29"/>
      <c r="E525" s="29"/>
      <c r="F525" s="30"/>
      <c r="G525" s="66"/>
      <c r="H525" s="130"/>
      <c r="I525" s="84"/>
      <c r="J525" s="17"/>
      <c r="K525" s="133"/>
      <c r="L525" s="135"/>
      <c r="M525" s="19"/>
      <c r="N525" s="131"/>
      <c r="O525" s="30"/>
      <c r="P525" s="29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7.75" customHeight="1">
      <c r="A526" s="29"/>
      <c r="B526" s="29"/>
      <c r="C526" s="29"/>
      <c r="D526" s="29"/>
      <c r="E526" s="29"/>
      <c r="F526" s="30"/>
      <c r="G526" s="66"/>
      <c r="H526" s="130"/>
      <c r="I526" s="84"/>
      <c r="J526" s="17"/>
      <c r="K526" s="133"/>
      <c r="L526" s="135"/>
      <c r="M526" s="19"/>
      <c r="N526" s="131"/>
      <c r="O526" s="30"/>
      <c r="P526" s="29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7.75" customHeight="1">
      <c r="A527" s="29"/>
      <c r="B527" s="29"/>
      <c r="C527" s="29"/>
      <c r="D527" s="29"/>
      <c r="E527" s="29"/>
      <c r="F527" s="30"/>
      <c r="G527" s="66"/>
      <c r="H527" s="130"/>
      <c r="I527" s="84"/>
      <c r="J527" s="17"/>
      <c r="K527" s="133"/>
      <c r="L527" s="135"/>
      <c r="M527" s="19"/>
      <c r="N527" s="131"/>
      <c r="O527" s="30"/>
      <c r="P527" s="29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7.75" customHeight="1">
      <c r="A528" s="29"/>
      <c r="B528" s="29"/>
      <c r="C528" s="29"/>
      <c r="D528" s="29"/>
      <c r="E528" s="29"/>
      <c r="F528" s="30"/>
      <c r="G528" s="66"/>
      <c r="H528" s="130"/>
      <c r="I528" s="84"/>
      <c r="J528" s="17"/>
      <c r="K528" s="133"/>
      <c r="L528" s="135"/>
      <c r="M528" s="19"/>
      <c r="N528" s="131"/>
      <c r="O528" s="30"/>
      <c r="P528" s="29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7.75" customHeight="1">
      <c r="A529" s="29"/>
      <c r="B529" s="29"/>
      <c r="C529" s="29"/>
      <c r="D529" s="29"/>
      <c r="E529" s="29"/>
      <c r="F529" s="30"/>
      <c r="G529" s="66"/>
      <c r="H529" s="130"/>
      <c r="I529" s="84"/>
      <c r="J529" s="17"/>
      <c r="K529" s="133"/>
      <c r="L529" s="135"/>
      <c r="M529" s="19"/>
      <c r="N529" s="131"/>
      <c r="O529" s="30"/>
      <c r="P529" s="29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7.75" customHeight="1">
      <c r="A530" s="29"/>
      <c r="B530" s="29"/>
      <c r="C530" s="29"/>
      <c r="D530" s="29"/>
      <c r="E530" s="29"/>
      <c r="F530" s="30"/>
      <c r="G530" s="66"/>
      <c r="H530" s="130"/>
      <c r="I530" s="84"/>
      <c r="J530" s="17"/>
      <c r="K530" s="133"/>
      <c r="L530" s="135"/>
      <c r="M530" s="19"/>
      <c r="N530" s="131"/>
      <c r="O530" s="30"/>
      <c r="P530" s="29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7.75" customHeight="1">
      <c r="A531" s="29"/>
      <c r="B531" s="29"/>
      <c r="C531" s="29"/>
      <c r="D531" s="29"/>
      <c r="E531" s="29"/>
      <c r="F531" s="30"/>
      <c r="G531" s="66"/>
      <c r="H531" s="130"/>
      <c r="I531" s="84"/>
      <c r="J531" s="17"/>
      <c r="K531" s="133"/>
      <c r="L531" s="135"/>
      <c r="M531" s="19"/>
      <c r="N531" s="131"/>
      <c r="O531" s="30"/>
      <c r="P531" s="29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7.75" customHeight="1">
      <c r="A532" s="29"/>
      <c r="B532" s="29"/>
      <c r="C532" s="29"/>
      <c r="D532" s="29"/>
      <c r="E532" s="29"/>
      <c r="F532" s="30"/>
      <c r="G532" s="66"/>
      <c r="H532" s="130"/>
      <c r="I532" s="84"/>
      <c r="J532" s="17"/>
      <c r="K532" s="133"/>
      <c r="L532" s="135"/>
      <c r="M532" s="19"/>
      <c r="N532" s="131"/>
      <c r="O532" s="30"/>
      <c r="P532" s="29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7.75" customHeight="1">
      <c r="A533" s="29"/>
      <c r="B533" s="29"/>
      <c r="C533" s="29"/>
      <c r="D533" s="29"/>
      <c r="E533" s="29"/>
      <c r="F533" s="30"/>
      <c r="G533" s="66"/>
      <c r="H533" s="130"/>
      <c r="I533" s="84"/>
      <c r="J533" s="17"/>
      <c r="K533" s="133"/>
      <c r="L533" s="135"/>
      <c r="M533" s="19"/>
      <c r="N533" s="131"/>
      <c r="O533" s="30"/>
      <c r="P533" s="29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7.75" customHeight="1">
      <c r="A534" s="29"/>
      <c r="B534" s="29"/>
      <c r="C534" s="29"/>
      <c r="D534" s="29"/>
      <c r="E534" s="29"/>
      <c r="F534" s="30"/>
      <c r="G534" s="66"/>
      <c r="H534" s="130"/>
      <c r="I534" s="84"/>
      <c r="J534" s="17"/>
      <c r="K534" s="133"/>
      <c r="L534" s="135"/>
      <c r="M534" s="19"/>
      <c r="N534" s="131"/>
      <c r="O534" s="30"/>
      <c r="P534" s="29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7.75" customHeight="1">
      <c r="A535" s="29"/>
      <c r="B535" s="29"/>
      <c r="C535" s="29"/>
      <c r="D535" s="29"/>
      <c r="E535" s="29"/>
      <c r="F535" s="30"/>
      <c r="G535" s="66"/>
      <c r="H535" s="130"/>
      <c r="I535" s="84"/>
      <c r="J535" s="17"/>
      <c r="K535" s="133"/>
      <c r="L535" s="135"/>
      <c r="M535" s="19"/>
      <c r="N535" s="131"/>
      <c r="O535" s="30"/>
      <c r="P535" s="29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7.75" customHeight="1">
      <c r="A536" s="29"/>
      <c r="B536" s="29"/>
      <c r="C536" s="29"/>
      <c r="D536" s="29"/>
      <c r="E536" s="29"/>
      <c r="F536" s="30"/>
      <c r="G536" s="66"/>
      <c r="H536" s="130"/>
      <c r="I536" s="84"/>
      <c r="J536" s="17"/>
      <c r="K536" s="133"/>
      <c r="L536" s="135"/>
      <c r="M536" s="19"/>
      <c r="N536" s="131"/>
      <c r="O536" s="30"/>
      <c r="P536" s="29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7.75" customHeight="1">
      <c r="A537" s="29"/>
      <c r="B537" s="29"/>
      <c r="C537" s="29"/>
      <c r="D537" s="29"/>
      <c r="E537" s="29"/>
      <c r="F537" s="30"/>
      <c r="G537" s="66"/>
      <c r="H537" s="130"/>
      <c r="I537" s="84"/>
      <c r="J537" s="17"/>
      <c r="K537" s="133"/>
      <c r="L537" s="135"/>
      <c r="M537" s="19"/>
      <c r="N537" s="131"/>
      <c r="O537" s="30"/>
      <c r="P537" s="29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7.75" customHeight="1">
      <c r="A538" s="29"/>
      <c r="B538" s="29"/>
      <c r="C538" s="29"/>
      <c r="D538" s="29"/>
      <c r="E538" s="29"/>
      <c r="F538" s="30"/>
      <c r="G538" s="66"/>
      <c r="H538" s="130"/>
      <c r="I538" s="84"/>
      <c r="J538" s="17"/>
      <c r="K538" s="133"/>
      <c r="L538" s="135"/>
      <c r="M538" s="19"/>
      <c r="N538" s="131"/>
      <c r="O538" s="30"/>
      <c r="P538" s="29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7.75" customHeight="1">
      <c r="A539" s="29"/>
      <c r="B539" s="29"/>
      <c r="C539" s="29"/>
      <c r="D539" s="29"/>
      <c r="E539" s="29"/>
      <c r="F539" s="30"/>
      <c r="G539" s="66"/>
      <c r="H539" s="130"/>
      <c r="I539" s="84"/>
      <c r="J539" s="17"/>
      <c r="K539" s="133"/>
      <c r="L539" s="135"/>
      <c r="M539" s="19"/>
      <c r="N539" s="131"/>
      <c r="O539" s="30"/>
      <c r="P539" s="29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7.75" customHeight="1">
      <c r="A540" s="29"/>
      <c r="B540" s="29"/>
      <c r="C540" s="29"/>
      <c r="D540" s="29"/>
      <c r="E540" s="29"/>
      <c r="F540" s="30"/>
      <c r="G540" s="66"/>
      <c r="H540" s="130"/>
      <c r="I540" s="84"/>
      <c r="J540" s="17"/>
      <c r="K540" s="133"/>
      <c r="L540" s="135"/>
      <c r="M540" s="19"/>
      <c r="N540" s="131"/>
      <c r="O540" s="30"/>
      <c r="P540" s="29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7.75" customHeight="1">
      <c r="A541" s="29"/>
      <c r="B541" s="29"/>
      <c r="C541" s="29"/>
      <c r="D541" s="29"/>
      <c r="E541" s="29"/>
      <c r="F541" s="30"/>
      <c r="G541" s="66"/>
      <c r="H541" s="130"/>
      <c r="I541" s="84"/>
      <c r="J541" s="17"/>
      <c r="K541" s="133"/>
      <c r="L541" s="135"/>
      <c r="M541" s="19"/>
      <c r="N541" s="131"/>
      <c r="O541" s="30"/>
      <c r="P541" s="29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7.75" customHeight="1">
      <c r="A542" s="29"/>
      <c r="B542" s="29"/>
      <c r="C542" s="29"/>
      <c r="D542" s="29"/>
      <c r="E542" s="29"/>
      <c r="F542" s="30"/>
      <c r="G542" s="66"/>
      <c r="H542" s="130"/>
      <c r="I542" s="84"/>
      <c r="J542" s="17"/>
      <c r="K542" s="133"/>
      <c r="L542" s="135"/>
      <c r="M542" s="19"/>
      <c r="N542" s="131"/>
      <c r="O542" s="30"/>
      <c r="P542" s="29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7.75" customHeight="1">
      <c r="A543" s="29"/>
      <c r="B543" s="29"/>
      <c r="C543" s="29"/>
      <c r="D543" s="29"/>
      <c r="E543" s="29"/>
      <c r="F543" s="30"/>
      <c r="G543" s="66"/>
      <c r="H543" s="130"/>
      <c r="I543" s="84"/>
      <c r="J543" s="17"/>
      <c r="K543" s="133"/>
      <c r="L543" s="135"/>
      <c r="M543" s="19"/>
      <c r="N543" s="131"/>
      <c r="O543" s="30"/>
      <c r="P543" s="29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7.75" customHeight="1">
      <c r="A544" s="29"/>
      <c r="B544" s="29"/>
      <c r="C544" s="29"/>
      <c r="D544" s="29"/>
      <c r="E544" s="29"/>
      <c r="F544" s="30"/>
      <c r="G544" s="66"/>
      <c r="H544" s="130"/>
      <c r="I544" s="84"/>
      <c r="J544" s="17"/>
      <c r="K544" s="133"/>
      <c r="L544" s="135"/>
      <c r="M544" s="19"/>
      <c r="N544" s="131"/>
      <c r="O544" s="30"/>
      <c r="P544" s="29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7.75" customHeight="1">
      <c r="A545" s="29"/>
      <c r="B545" s="29"/>
      <c r="C545" s="29"/>
      <c r="D545" s="29"/>
      <c r="E545" s="29"/>
      <c r="F545" s="30"/>
      <c r="G545" s="66"/>
      <c r="H545" s="130"/>
      <c r="I545" s="84"/>
      <c r="J545" s="17"/>
      <c r="K545" s="133"/>
      <c r="L545" s="135"/>
      <c r="M545" s="19"/>
      <c r="N545" s="131"/>
      <c r="O545" s="30"/>
      <c r="P545" s="29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7.75" customHeight="1">
      <c r="A546" s="29"/>
      <c r="B546" s="29"/>
      <c r="C546" s="29"/>
      <c r="D546" s="29"/>
      <c r="E546" s="29"/>
      <c r="F546" s="30"/>
      <c r="G546" s="66"/>
      <c r="H546" s="130"/>
      <c r="I546" s="84"/>
      <c r="J546" s="17"/>
      <c r="K546" s="133"/>
      <c r="L546" s="135"/>
      <c r="M546" s="19"/>
      <c r="N546" s="131"/>
      <c r="O546" s="30"/>
      <c r="P546" s="29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7.75" customHeight="1">
      <c r="A547" s="29"/>
      <c r="B547" s="29"/>
      <c r="C547" s="29"/>
      <c r="D547" s="29"/>
      <c r="E547" s="29"/>
      <c r="F547" s="30"/>
      <c r="G547" s="66"/>
      <c r="H547" s="130"/>
      <c r="I547" s="84"/>
      <c r="J547" s="17"/>
      <c r="K547" s="133"/>
      <c r="L547" s="135"/>
      <c r="M547" s="19"/>
      <c r="N547" s="131"/>
      <c r="O547" s="30"/>
      <c r="P547" s="29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7.75" customHeight="1">
      <c r="A548" s="29"/>
      <c r="B548" s="29"/>
      <c r="C548" s="29"/>
      <c r="D548" s="29"/>
      <c r="E548" s="29"/>
      <c r="F548" s="30"/>
      <c r="G548" s="66"/>
      <c r="H548" s="130"/>
      <c r="I548" s="84"/>
      <c r="J548" s="17"/>
      <c r="K548" s="133"/>
      <c r="L548" s="135"/>
      <c r="M548" s="19"/>
      <c r="N548" s="131"/>
      <c r="O548" s="30"/>
      <c r="P548" s="29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7.75" customHeight="1">
      <c r="A549" s="29"/>
      <c r="B549" s="29"/>
      <c r="C549" s="29"/>
      <c r="D549" s="29"/>
      <c r="E549" s="29"/>
      <c r="F549" s="30"/>
      <c r="G549" s="66"/>
      <c r="H549" s="130"/>
      <c r="I549" s="84"/>
      <c r="J549" s="17"/>
      <c r="K549" s="133"/>
      <c r="L549" s="135"/>
      <c r="M549" s="19"/>
      <c r="N549" s="131"/>
      <c r="O549" s="30"/>
      <c r="P549" s="29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7.75" customHeight="1">
      <c r="A550" s="29"/>
      <c r="B550" s="29"/>
      <c r="C550" s="29"/>
      <c r="D550" s="29"/>
      <c r="E550" s="29"/>
      <c r="F550" s="30"/>
      <c r="G550" s="66"/>
      <c r="H550" s="130"/>
      <c r="I550" s="84"/>
      <c r="J550" s="17"/>
      <c r="K550" s="133"/>
      <c r="L550" s="135"/>
      <c r="M550" s="19"/>
      <c r="N550" s="131"/>
      <c r="O550" s="30"/>
      <c r="P550" s="29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7.75" customHeight="1">
      <c r="A551" s="29"/>
      <c r="B551" s="29"/>
      <c r="C551" s="29"/>
      <c r="D551" s="29"/>
      <c r="E551" s="29"/>
      <c r="F551" s="30"/>
      <c r="G551" s="66"/>
      <c r="H551" s="130"/>
      <c r="I551" s="84"/>
      <c r="J551" s="17"/>
      <c r="K551" s="133"/>
      <c r="L551" s="135"/>
      <c r="M551" s="19"/>
      <c r="N551" s="131"/>
      <c r="O551" s="30"/>
      <c r="P551" s="29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7.75" customHeight="1">
      <c r="A552" s="29"/>
      <c r="B552" s="29"/>
      <c r="C552" s="29"/>
      <c r="D552" s="29"/>
      <c r="E552" s="29"/>
      <c r="F552" s="30"/>
      <c r="G552" s="66"/>
      <c r="H552" s="130"/>
      <c r="I552" s="84"/>
      <c r="J552" s="17"/>
      <c r="K552" s="133"/>
      <c r="L552" s="135"/>
      <c r="M552" s="19"/>
      <c r="N552" s="131"/>
      <c r="O552" s="30"/>
      <c r="P552" s="29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7.75" customHeight="1">
      <c r="A553" s="29"/>
      <c r="B553" s="29"/>
      <c r="C553" s="29"/>
      <c r="D553" s="29"/>
      <c r="E553" s="29"/>
      <c r="F553" s="30"/>
      <c r="G553" s="66"/>
      <c r="H553" s="130"/>
      <c r="I553" s="84"/>
      <c r="J553" s="17"/>
      <c r="K553" s="133"/>
      <c r="L553" s="135"/>
      <c r="M553" s="19"/>
      <c r="N553" s="131"/>
      <c r="O553" s="30"/>
      <c r="P553" s="29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7.75" customHeight="1">
      <c r="A554" s="29"/>
      <c r="B554" s="29"/>
      <c r="C554" s="29"/>
      <c r="D554" s="29"/>
      <c r="E554" s="29"/>
      <c r="F554" s="30"/>
      <c r="G554" s="66"/>
      <c r="H554" s="130"/>
      <c r="I554" s="84"/>
      <c r="J554" s="17"/>
      <c r="K554" s="133"/>
      <c r="L554" s="135"/>
      <c r="M554" s="19"/>
      <c r="N554" s="131"/>
      <c r="O554" s="30"/>
      <c r="P554" s="29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7.75" customHeight="1">
      <c r="A555" s="29"/>
      <c r="B555" s="29"/>
      <c r="C555" s="29"/>
      <c r="D555" s="29"/>
      <c r="E555" s="29"/>
      <c r="F555" s="30"/>
      <c r="G555" s="66"/>
      <c r="H555" s="130"/>
      <c r="I555" s="84"/>
      <c r="J555" s="17"/>
      <c r="K555" s="133"/>
      <c r="L555" s="135"/>
      <c r="M555" s="19"/>
      <c r="N555" s="131"/>
      <c r="O555" s="30"/>
      <c r="P555" s="29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7.75" customHeight="1">
      <c r="A556" s="29"/>
      <c r="B556" s="29"/>
      <c r="C556" s="29"/>
      <c r="D556" s="29"/>
      <c r="E556" s="29"/>
      <c r="F556" s="30"/>
      <c r="G556" s="66"/>
      <c r="H556" s="130"/>
      <c r="I556" s="84"/>
      <c r="J556" s="17"/>
      <c r="K556" s="133"/>
      <c r="L556" s="135"/>
      <c r="M556" s="19"/>
      <c r="N556" s="131"/>
      <c r="O556" s="30"/>
      <c r="P556" s="29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7.75" customHeight="1">
      <c r="A557" s="29"/>
      <c r="B557" s="29"/>
      <c r="C557" s="29"/>
      <c r="D557" s="29"/>
      <c r="E557" s="29"/>
      <c r="F557" s="30"/>
      <c r="G557" s="66"/>
      <c r="H557" s="130"/>
      <c r="I557" s="84"/>
      <c r="J557" s="17"/>
      <c r="K557" s="133"/>
      <c r="L557" s="135"/>
      <c r="M557" s="19"/>
      <c r="N557" s="131"/>
      <c r="O557" s="30"/>
      <c r="P557" s="29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7.75" customHeight="1">
      <c r="A558" s="29"/>
      <c r="B558" s="29"/>
      <c r="C558" s="29"/>
      <c r="D558" s="29"/>
      <c r="E558" s="29"/>
      <c r="F558" s="30"/>
      <c r="G558" s="66"/>
      <c r="H558" s="130"/>
      <c r="I558" s="84"/>
      <c r="J558" s="17"/>
      <c r="K558" s="133"/>
      <c r="L558" s="135"/>
      <c r="M558" s="19"/>
      <c r="N558" s="131"/>
      <c r="O558" s="30"/>
      <c r="P558" s="29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7.75" customHeight="1">
      <c r="A559" s="29"/>
      <c r="B559" s="29"/>
      <c r="C559" s="29"/>
      <c r="D559" s="29"/>
      <c r="E559" s="29"/>
      <c r="F559" s="30"/>
      <c r="G559" s="66"/>
      <c r="H559" s="130"/>
      <c r="I559" s="84"/>
      <c r="J559" s="17"/>
      <c r="K559" s="133"/>
      <c r="L559" s="135"/>
      <c r="M559" s="19"/>
      <c r="N559" s="131"/>
      <c r="O559" s="30"/>
      <c r="P559" s="29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7.75" customHeight="1">
      <c r="A560" s="29"/>
      <c r="B560" s="29"/>
      <c r="C560" s="29"/>
      <c r="D560" s="29"/>
      <c r="E560" s="29"/>
      <c r="F560" s="30"/>
      <c r="G560" s="66"/>
      <c r="H560" s="130"/>
      <c r="I560" s="84"/>
      <c r="J560" s="17"/>
      <c r="K560" s="133"/>
      <c r="L560" s="135"/>
      <c r="M560" s="19"/>
      <c r="N560" s="131"/>
      <c r="O560" s="30"/>
      <c r="P560" s="29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7.75" customHeight="1">
      <c r="A561" s="29"/>
      <c r="B561" s="29"/>
      <c r="C561" s="29"/>
      <c r="D561" s="29"/>
      <c r="E561" s="29"/>
      <c r="F561" s="30"/>
      <c r="G561" s="66"/>
      <c r="H561" s="130"/>
      <c r="I561" s="84"/>
      <c r="J561" s="17"/>
      <c r="K561" s="133"/>
      <c r="L561" s="135"/>
      <c r="M561" s="19"/>
      <c r="N561" s="131"/>
      <c r="O561" s="30"/>
      <c r="P561" s="29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7.75" customHeight="1">
      <c r="A562" s="29"/>
      <c r="B562" s="29"/>
      <c r="C562" s="29"/>
      <c r="D562" s="29"/>
      <c r="E562" s="29"/>
      <c r="F562" s="30"/>
      <c r="G562" s="66"/>
      <c r="H562" s="130"/>
      <c r="I562" s="84"/>
      <c r="J562" s="17"/>
      <c r="K562" s="133"/>
      <c r="L562" s="135"/>
      <c r="M562" s="19"/>
      <c r="N562" s="131"/>
      <c r="O562" s="30"/>
      <c r="P562" s="29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7.75" customHeight="1">
      <c r="A563" s="29"/>
      <c r="B563" s="29"/>
      <c r="C563" s="29"/>
      <c r="D563" s="29"/>
      <c r="E563" s="29"/>
      <c r="F563" s="30"/>
      <c r="G563" s="66"/>
      <c r="H563" s="130"/>
      <c r="I563" s="84"/>
      <c r="J563" s="17"/>
      <c r="K563" s="133"/>
      <c r="L563" s="135"/>
      <c r="M563" s="19"/>
      <c r="N563" s="131"/>
      <c r="O563" s="30"/>
      <c r="P563" s="29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7.75" customHeight="1">
      <c r="A564" s="29"/>
      <c r="B564" s="29"/>
      <c r="C564" s="29"/>
      <c r="D564" s="29"/>
      <c r="E564" s="29"/>
      <c r="F564" s="30"/>
      <c r="G564" s="66"/>
      <c r="H564" s="130"/>
      <c r="I564" s="84"/>
      <c r="J564" s="17"/>
      <c r="K564" s="133"/>
      <c r="L564" s="135"/>
      <c r="M564" s="19"/>
      <c r="N564" s="131"/>
      <c r="O564" s="30"/>
      <c r="P564" s="29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7.75" customHeight="1">
      <c r="A565" s="29"/>
      <c r="B565" s="29"/>
      <c r="C565" s="29"/>
      <c r="D565" s="29"/>
      <c r="E565" s="29"/>
      <c r="F565" s="30"/>
      <c r="G565" s="66"/>
      <c r="H565" s="130"/>
      <c r="I565" s="84"/>
      <c r="J565" s="17"/>
      <c r="K565" s="133"/>
      <c r="L565" s="135"/>
      <c r="M565" s="19"/>
      <c r="N565" s="131"/>
      <c r="O565" s="30"/>
      <c r="P565" s="29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7.75" customHeight="1">
      <c r="A566" s="29"/>
      <c r="B566" s="29"/>
      <c r="C566" s="29"/>
      <c r="D566" s="29"/>
      <c r="E566" s="29"/>
      <c r="F566" s="30"/>
      <c r="G566" s="66"/>
      <c r="H566" s="130"/>
      <c r="I566" s="84"/>
      <c r="J566" s="17"/>
      <c r="K566" s="133"/>
      <c r="L566" s="135"/>
      <c r="M566" s="19"/>
      <c r="N566" s="131"/>
      <c r="O566" s="30"/>
      <c r="P566" s="29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7.75" customHeight="1">
      <c r="A567" s="29"/>
      <c r="B567" s="29"/>
      <c r="C567" s="29"/>
      <c r="D567" s="29"/>
      <c r="E567" s="29"/>
      <c r="F567" s="30"/>
      <c r="G567" s="66"/>
      <c r="H567" s="130"/>
      <c r="I567" s="84"/>
      <c r="J567" s="17"/>
      <c r="K567" s="133"/>
      <c r="L567" s="135"/>
      <c r="M567" s="19"/>
      <c r="N567" s="131"/>
      <c r="O567" s="30"/>
      <c r="P567" s="29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7.75" customHeight="1">
      <c r="A568" s="29"/>
      <c r="B568" s="29"/>
      <c r="C568" s="29"/>
      <c r="D568" s="29"/>
      <c r="E568" s="29"/>
      <c r="F568" s="30"/>
      <c r="G568" s="66"/>
      <c r="H568" s="130"/>
      <c r="I568" s="84"/>
      <c r="J568" s="17"/>
      <c r="K568" s="133"/>
      <c r="L568" s="135"/>
      <c r="M568" s="19"/>
      <c r="N568" s="131"/>
      <c r="O568" s="30"/>
      <c r="P568" s="29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7.75" customHeight="1">
      <c r="A569" s="29"/>
      <c r="B569" s="29"/>
      <c r="C569" s="29"/>
      <c r="D569" s="29"/>
      <c r="E569" s="29"/>
      <c r="F569" s="30"/>
      <c r="G569" s="66"/>
      <c r="H569" s="130"/>
      <c r="I569" s="84"/>
      <c r="J569" s="17"/>
      <c r="K569" s="133"/>
      <c r="L569" s="135"/>
      <c r="M569" s="19"/>
      <c r="N569" s="131"/>
      <c r="O569" s="30"/>
      <c r="P569" s="29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7.75" customHeight="1">
      <c r="A570" s="29"/>
      <c r="B570" s="29"/>
      <c r="C570" s="29"/>
      <c r="D570" s="29"/>
      <c r="E570" s="29"/>
      <c r="F570" s="30"/>
      <c r="G570" s="66"/>
      <c r="H570" s="130"/>
      <c r="I570" s="84"/>
      <c r="J570" s="17"/>
      <c r="K570" s="133"/>
      <c r="L570" s="135"/>
      <c r="M570" s="19"/>
      <c r="N570" s="131"/>
      <c r="O570" s="30"/>
      <c r="P570" s="29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7.75" customHeight="1">
      <c r="A571" s="29"/>
      <c r="B571" s="29"/>
      <c r="C571" s="29"/>
      <c r="D571" s="29"/>
      <c r="E571" s="29"/>
      <c r="F571" s="30"/>
      <c r="G571" s="66"/>
      <c r="H571" s="130"/>
      <c r="I571" s="84"/>
      <c r="J571" s="17"/>
      <c r="K571" s="133"/>
      <c r="L571" s="135"/>
      <c r="M571" s="19"/>
      <c r="N571" s="131"/>
      <c r="O571" s="30"/>
      <c r="P571" s="29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7.75" customHeight="1">
      <c r="A572" s="29"/>
      <c r="B572" s="29"/>
      <c r="C572" s="29"/>
      <c r="D572" s="29"/>
      <c r="E572" s="29"/>
      <c r="F572" s="30"/>
      <c r="G572" s="66"/>
      <c r="H572" s="130"/>
      <c r="I572" s="84"/>
      <c r="J572" s="17"/>
      <c r="K572" s="133"/>
      <c r="L572" s="135"/>
      <c r="M572" s="19"/>
      <c r="N572" s="131"/>
      <c r="O572" s="30"/>
      <c r="P572" s="29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7.75" customHeight="1">
      <c r="A573" s="29"/>
      <c r="B573" s="29"/>
      <c r="C573" s="29"/>
      <c r="D573" s="29"/>
      <c r="E573" s="29"/>
      <c r="F573" s="30"/>
      <c r="G573" s="66"/>
      <c r="H573" s="130"/>
      <c r="I573" s="84"/>
      <c r="J573" s="17"/>
      <c r="K573" s="133"/>
      <c r="L573" s="135"/>
      <c r="M573" s="19"/>
      <c r="N573" s="131"/>
      <c r="O573" s="30"/>
      <c r="P573" s="29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7.75" customHeight="1">
      <c r="A574" s="29"/>
      <c r="B574" s="29"/>
      <c r="C574" s="29"/>
      <c r="D574" s="29"/>
      <c r="E574" s="29"/>
      <c r="F574" s="30"/>
      <c r="G574" s="66"/>
      <c r="H574" s="130"/>
      <c r="I574" s="84"/>
      <c r="J574" s="17"/>
      <c r="K574" s="133"/>
      <c r="L574" s="135"/>
      <c r="M574" s="19"/>
      <c r="N574" s="131"/>
      <c r="O574" s="30"/>
      <c r="P574" s="29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7.75" customHeight="1">
      <c r="A575" s="29"/>
      <c r="B575" s="29"/>
      <c r="C575" s="29"/>
      <c r="D575" s="29"/>
      <c r="E575" s="29"/>
      <c r="F575" s="30"/>
      <c r="G575" s="66"/>
      <c r="H575" s="130"/>
      <c r="I575" s="84"/>
      <c r="J575" s="17"/>
      <c r="K575" s="133"/>
      <c r="L575" s="135"/>
      <c r="M575" s="19"/>
      <c r="N575" s="131"/>
      <c r="O575" s="30"/>
      <c r="P575" s="29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7.75" customHeight="1">
      <c r="A576" s="29"/>
      <c r="B576" s="29"/>
      <c r="C576" s="29"/>
      <c r="D576" s="29"/>
      <c r="E576" s="29"/>
      <c r="F576" s="30"/>
      <c r="G576" s="66"/>
      <c r="H576" s="130"/>
      <c r="I576" s="84"/>
      <c r="J576" s="17"/>
      <c r="K576" s="133"/>
      <c r="L576" s="135"/>
      <c r="M576" s="19"/>
      <c r="N576" s="131"/>
      <c r="O576" s="30"/>
      <c r="P576" s="29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7.75" customHeight="1">
      <c r="A577" s="29"/>
      <c r="B577" s="29"/>
      <c r="C577" s="29"/>
      <c r="D577" s="29"/>
      <c r="E577" s="29"/>
      <c r="F577" s="30"/>
      <c r="G577" s="66"/>
      <c r="H577" s="130"/>
      <c r="I577" s="84"/>
      <c r="J577" s="17"/>
      <c r="K577" s="133"/>
      <c r="L577" s="135"/>
      <c r="M577" s="19"/>
      <c r="N577" s="131"/>
      <c r="O577" s="30"/>
      <c r="P577" s="29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7.75" customHeight="1">
      <c r="A578" s="29"/>
      <c r="B578" s="29"/>
      <c r="C578" s="29"/>
      <c r="D578" s="29"/>
      <c r="E578" s="29"/>
      <c r="F578" s="30"/>
      <c r="G578" s="66"/>
      <c r="H578" s="130"/>
      <c r="I578" s="84"/>
      <c r="J578" s="17"/>
      <c r="K578" s="133"/>
      <c r="L578" s="135"/>
      <c r="M578" s="19"/>
      <c r="N578" s="131"/>
      <c r="O578" s="30"/>
      <c r="P578" s="29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7.75" customHeight="1">
      <c r="A579" s="29"/>
      <c r="B579" s="29"/>
      <c r="C579" s="29"/>
      <c r="D579" s="29"/>
      <c r="E579" s="29"/>
      <c r="F579" s="30"/>
      <c r="G579" s="66"/>
      <c r="H579" s="130"/>
      <c r="I579" s="84"/>
      <c r="J579" s="17"/>
      <c r="K579" s="133"/>
      <c r="L579" s="135"/>
      <c r="M579" s="19"/>
      <c r="N579" s="131"/>
      <c r="O579" s="30"/>
      <c r="P579" s="29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7.75" customHeight="1">
      <c r="A580" s="29"/>
      <c r="B580" s="29"/>
      <c r="C580" s="29"/>
      <c r="D580" s="29"/>
      <c r="E580" s="29"/>
      <c r="F580" s="30"/>
      <c r="G580" s="66"/>
      <c r="H580" s="130"/>
      <c r="I580" s="84"/>
      <c r="J580" s="17"/>
      <c r="K580" s="133"/>
      <c r="L580" s="135"/>
      <c r="M580" s="19"/>
      <c r="N580" s="131"/>
      <c r="O580" s="30"/>
      <c r="P580" s="29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7.75" customHeight="1">
      <c r="A581" s="29"/>
      <c r="B581" s="29"/>
      <c r="C581" s="29"/>
      <c r="D581" s="29"/>
      <c r="E581" s="29"/>
      <c r="F581" s="30"/>
      <c r="G581" s="66"/>
      <c r="H581" s="130"/>
      <c r="I581" s="84"/>
      <c r="J581" s="17"/>
      <c r="K581" s="133"/>
      <c r="L581" s="135"/>
      <c r="M581" s="19"/>
      <c r="N581" s="131"/>
      <c r="O581" s="30"/>
      <c r="P581" s="29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7.75" customHeight="1">
      <c r="A582" s="29"/>
      <c r="B582" s="29"/>
      <c r="C582" s="29"/>
      <c r="D582" s="29"/>
      <c r="E582" s="29"/>
      <c r="F582" s="30"/>
      <c r="G582" s="66"/>
      <c r="H582" s="130"/>
      <c r="I582" s="84"/>
      <c r="J582" s="17"/>
      <c r="K582" s="133"/>
      <c r="L582" s="135"/>
      <c r="M582" s="19"/>
      <c r="N582" s="131"/>
      <c r="O582" s="30"/>
      <c r="P582" s="29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7.75" customHeight="1">
      <c r="A583" s="29"/>
      <c r="B583" s="29"/>
      <c r="C583" s="29"/>
      <c r="D583" s="29"/>
      <c r="E583" s="29"/>
      <c r="F583" s="30"/>
      <c r="G583" s="66"/>
      <c r="H583" s="130"/>
      <c r="I583" s="84"/>
      <c r="J583" s="17"/>
      <c r="K583" s="133"/>
      <c r="L583" s="135"/>
      <c r="M583" s="19"/>
      <c r="N583" s="131"/>
      <c r="O583" s="30"/>
      <c r="P583" s="29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7.75" customHeight="1">
      <c r="A584" s="29"/>
      <c r="B584" s="29"/>
      <c r="C584" s="29"/>
      <c r="D584" s="29"/>
      <c r="E584" s="29"/>
      <c r="F584" s="30"/>
      <c r="G584" s="66"/>
      <c r="H584" s="130"/>
      <c r="I584" s="84"/>
      <c r="J584" s="17"/>
      <c r="K584" s="133"/>
      <c r="L584" s="135"/>
      <c r="M584" s="19"/>
      <c r="N584" s="131"/>
      <c r="O584" s="30"/>
      <c r="P584" s="29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7.75" customHeight="1">
      <c r="A585" s="29"/>
      <c r="B585" s="29"/>
      <c r="C585" s="29"/>
      <c r="D585" s="29"/>
      <c r="E585" s="29"/>
      <c r="F585" s="30"/>
      <c r="G585" s="66"/>
      <c r="H585" s="130"/>
      <c r="I585" s="84"/>
      <c r="J585" s="17"/>
      <c r="K585" s="133"/>
      <c r="L585" s="135"/>
      <c r="M585" s="19"/>
      <c r="N585" s="131"/>
      <c r="O585" s="30"/>
      <c r="P585" s="29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7.75" customHeight="1">
      <c r="A586" s="29"/>
      <c r="B586" s="29"/>
      <c r="C586" s="29"/>
      <c r="D586" s="29"/>
      <c r="E586" s="29"/>
      <c r="F586" s="30"/>
      <c r="G586" s="66"/>
      <c r="H586" s="130"/>
      <c r="I586" s="84"/>
      <c r="J586" s="17"/>
      <c r="K586" s="133"/>
      <c r="L586" s="135"/>
      <c r="M586" s="19"/>
      <c r="N586" s="131"/>
      <c r="O586" s="30"/>
      <c r="P586" s="29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7.75" customHeight="1">
      <c r="A587" s="29"/>
      <c r="B587" s="29"/>
      <c r="C587" s="29"/>
      <c r="D587" s="29"/>
      <c r="E587" s="29"/>
      <c r="F587" s="30"/>
      <c r="G587" s="66"/>
      <c r="H587" s="130"/>
      <c r="I587" s="84"/>
      <c r="J587" s="17"/>
      <c r="K587" s="133"/>
      <c r="L587" s="135"/>
      <c r="M587" s="19"/>
      <c r="N587" s="131"/>
      <c r="O587" s="30"/>
      <c r="P587" s="29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7.75" customHeight="1">
      <c r="A588" s="29"/>
      <c r="B588" s="29"/>
      <c r="C588" s="29"/>
      <c r="D588" s="29"/>
      <c r="E588" s="29"/>
      <c r="F588" s="30"/>
      <c r="G588" s="66"/>
      <c r="H588" s="130"/>
      <c r="I588" s="84"/>
      <c r="J588" s="17"/>
      <c r="K588" s="133"/>
      <c r="L588" s="135"/>
      <c r="M588" s="19"/>
      <c r="N588" s="131"/>
      <c r="O588" s="30"/>
      <c r="P588" s="29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7.75" customHeight="1">
      <c r="A589" s="29"/>
      <c r="B589" s="29"/>
      <c r="C589" s="29"/>
      <c r="D589" s="29"/>
      <c r="E589" s="29"/>
      <c r="F589" s="30"/>
      <c r="G589" s="66"/>
      <c r="H589" s="130"/>
      <c r="I589" s="84"/>
      <c r="J589" s="17"/>
      <c r="K589" s="133"/>
      <c r="L589" s="135"/>
      <c r="M589" s="19"/>
      <c r="N589" s="131"/>
      <c r="O589" s="30"/>
      <c r="P589" s="29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7.75" customHeight="1">
      <c r="A590" s="29"/>
      <c r="B590" s="29"/>
      <c r="C590" s="29"/>
      <c r="D590" s="29"/>
      <c r="E590" s="29"/>
      <c r="F590" s="30"/>
      <c r="G590" s="66"/>
      <c r="H590" s="130"/>
      <c r="I590" s="84"/>
      <c r="J590" s="17"/>
      <c r="K590" s="133"/>
      <c r="L590" s="135"/>
      <c r="M590" s="19"/>
      <c r="N590" s="131"/>
      <c r="O590" s="30"/>
      <c r="P590" s="29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7.75" customHeight="1">
      <c r="A591" s="29"/>
      <c r="B591" s="29"/>
      <c r="C591" s="29"/>
      <c r="D591" s="29"/>
      <c r="E591" s="29"/>
      <c r="F591" s="30"/>
      <c r="G591" s="66"/>
      <c r="H591" s="130"/>
      <c r="I591" s="84"/>
      <c r="J591" s="17"/>
      <c r="K591" s="133"/>
      <c r="L591" s="135"/>
      <c r="M591" s="19"/>
      <c r="N591" s="131"/>
      <c r="O591" s="30"/>
      <c r="P591" s="29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7.75" customHeight="1">
      <c r="A592" s="29"/>
      <c r="B592" s="29"/>
      <c r="C592" s="29"/>
      <c r="D592" s="29"/>
      <c r="E592" s="29"/>
      <c r="F592" s="30"/>
      <c r="G592" s="66"/>
      <c r="H592" s="130"/>
      <c r="I592" s="84"/>
      <c r="J592" s="17"/>
      <c r="K592" s="133"/>
      <c r="L592" s="135"/>
      <c r="M592" s="19"/>
      <c r="N592" s="131"/>
      <c r="O592" s="30"/>
      <c r="P592" s="29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7.75" customHeight="1">
      <c r="A593" s="29"/>
      <c r="B593" s="29"/>
      <c r="C593" s="29"/>
      <c r="D593" s="29"/>
      <c r="E593" s="29"/>
      <c r="F593" s="30"/>
      <c r="G593" s="66"/>
      <c r="H593" s="130"/>
      <c r="I593" s="84"/>
      <c r="J593" s="17"/>
      <c r="K593" s="133"/>
      <c r="L593" s="135"/>
      <c r="M593" s="19"/>
      <c r="N593" s="131"/>
      <c r="O593" s="30"/>
      <c r="P593" s="29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7.75" customHeight="1">
      <c r="A594" s="29"/>
      <c r="B594" s="29"/>
      <c r="C594" s="29"/>
      <c r="D594" s="29"/>
      <c r="E594" s="29"/>
      <c r="F594" s="30"/>
      <c r="G594" s="66"/>
      <c r="H594" s="130"/>
      <c r="I594" s="84"/>
      <c r="J594" s="17"/>
      <c r="K594" s="133"/>
      <c r="L594" s="135"/>
      <c r="M594" s="19"/>
      <c r="N594" s="131"/>
      <c r="O594" s="30"/>
      <c r="P594" s="29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7.75" customHeight="1">
      <c r="A595" s="29"/>
      <c r="B595" s="29"/>
      <c r="C595" s="29"/>
      <c r="D595" s="29"/>
      <c r="E595" s="29"/>
      <c r="F595" s="30"/>
      <c r="G595" s="66"/>
      <c r="H595" s="130"/>
      <c r="I595" s="84"/>
      <c r="J595" s="17"/>
      <c r="K595" s="133"/>
      <c r="L595" s="135"/>
      <c r="M595" s="19"/>
      <c r="N595" s="131"/>
      <c r="O595" s="30"/>
      <c r="P595" s="29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7.75" customHeight="1">
      <c r="A596" s="29"/>
      <c r="B596" s="29"/>
      <c r="C596" s="29"/>
      <c r="D596" s="29"/>
      <c r="E596" s="29"/>
      <c r="F596" s="30"/>
      <c r="G596" s="66"/>
      <c r="H596" s="130"/>
      <c r="I596" s="84"/>
      <c r="J596" s="17"/>
      <c r="K596" s="133"/>
      <c r="L596" s="135"/>
      <c r="M596" s="19"/>
      <c r="N596" s="131"/>
      <c r="O596" s="30"/>
      <c r="P596" s="29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7.75" customHeight="1">
      <c r="A597" s="29"/>
      <c r="B597" s="29"/>
      <c r="C597" s="29"/>
      <c r="D597" s="29"/>
      <c r="E597" s="29"/>
      <c r="F597" s="30"/>
      <c r="G597" s="66"/>
      <c r="H597" s="130"/>
      <c r="I597" s="84"/>
      <c r="J597" s="17"/>
      <c r="K597" s="133"/>
      <c r="L597" s="135"/>
      <c r="M597" s="19"/>
      <c r="N597" s="131"/>
      <c r="O597" s="30"/>
      <c r="P597" s="29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7.75" customHeight="1">
      <c r="A598" s="29"/>
      <c r="B598" s="29"/>
      <c r="C598" s="29"/>
      <c r="D598" s="29"/>
      <c r="E598" s="29"/>
      <c r="F598" s="30"/>
      <c r="G598" s="66"/>
      <c r="H598" s="130"/>
      <c r="I598" s="84"/>
      <c r="J598" s="17"/>
      <c r="K598" s="133"/>
      <c r="L598" s="135"/>
      <c r="M598" s="19"/>
      <c r="N598" s="131"/>
      <c r="O598" s="30"/>
      <c r="P598" s="29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7.75" customHeight="1">
      <c r="A599" s="29"/>
      <c r="B599" s="29"/>
      <c r="C599" s="29"/>
      <c r="D599" s="29"/>
      <c r="E599" s="29"/>
      <c r="F599" s="30"/>
      <c r="G599" s="66"/>
      <c r="H599" s="130"/>
      <c r="I599" s="84"/>
      <c r="J599" s="17"/>
      <c r="K599" s="133"/>
      <c r="L599" s="135"/>
      <c r="M599" s="19"/>
      <c r="N599" s="131"/>
      <c r="O599" s="30"/>
      <c r="P599" s="29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7.75" customHeight="1">
      <c r="A600" s="29"/>
      <c r="B600" s="29"/>
      <c r="C600" s="29"/>
      <c r="D600" s="29"/>
      <c r="E600" s="29"/>
      <c r="F600" s="30"/>
      <c r="G600" s="66"/>
      <c r="H600" s="130"/>
      <c r="I600" s="84"/>
      <c r="J600" s="17"/>
      <c r="K600" s="133"/>
      <c r="L600" s="135"/>
      <c r="M600" s="19"/>
      <c r="N600" s="131"/>
      <c r="O600" s="30"/>
      <c r="P600" s="29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7.75" customHeight="1">
      <c r="A601" s="29"/>
      <c r="B601" s="29"/>
      <c r="C601" s="29"/>
      <c r="D601" s="29"/>
      <c r="E601" s="29"/>
      <c r="F601" s="30"/>
      <c r="G601" s="66"/>
      <c r="H601" s="130"/>
      <c r="I601" s="84"/>
      <c r="J601" s="17"/>
      <c r="K601" s="133"/>
      <c r="L601" s="135"/>
      <c r="M601" s="19"/>
      <c r="N601" s="131"/>
      <c r="O601" s="30"/>
      <c r="P601" s="29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7.75" customHeight="1">
      <c r="A602" s="29"/>
      <c r="B602" s="29"/>
      <c r="C602" s="29"/>
      <c r="D602" s="29"/>
      <c r="E602" s="29"/>
      <c r="F602" s="30"/>
      <c r="G602" s="66"/>
      <c r="H602" s="130"/>
      <c r="I602" s="84"/>
      <c r="J602" s="17"/>
      <c r="K602" s="133"/>
      <c r="L602" s="135"/>
      <c r="M602" s="19"/>
      <c r="N602" s="131"/>
      <c r="O602" s="30"/>
      <c r="P602" s="29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7.75" customHeight="1">
      <c r="A603" s="29"/>
      <c r="B603" s="29"/>
      <c r="C603" s="29"/>
      <c r="D603" s="29"/>
      <c r="E603" s="29"/>
      <c r="F603" s="30"/>
      <c r="G603" s="66"/>
      <c r="H603" s="130"/>
      <c r="I603" s="84"/>
      <c r="J603" s="17"/>
      <c r="K603" s="133"/>
      <c r="L603" s="135"/>
      <c r="M603" s="19"/>
      <c r="N603" s="131"/>
      <c r="O603" s="30"/>
      <c r="P603" s="29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7.75" customHeight="1">
      <c r="A604" s="29"/>
      <c r="B604" s="29"/>
      <c r="C604" s="29"/>
      <c r="D604" s="29"/>
      <c r="E604" s="29"/>
      <c r="F604" s="30"/>
      <c r="G604" s="66"/>
      <c r="H604" s="130"/>
      <c r="I604" s="84"/>
      <c r="J604" s="17"/>
      <c r="K604" s="133"/>
      <c r="L604" s="135"/>
      <c r="M604" s="19"/>
      <c r="N604" s="131"/>
      <c r="O604" s="30"/>
      <c r="P604" s="29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7.75" customHeight="1">
      <c r="A605" s="29"/>
      <c r="B605" s="29"/>
      <c r="C605" s="29"/>
      <c r="D605" s="29"/>
      <c r="E605" s="29"/>
      <c r="F605" s="30"/>
      <c r="G605" s="66"/>
      <c r="H605" s="130"/>
      <c r="I605" s="84"/>
      <c r="J605" s="17"/>
      <c r="K605" s="133"/>
      <c r="L605" s="135"/>
      <c r="M605" s="19"/>
      <c r="N605" s="131"/>
      <c r="O605" s="30"/>
      <c r="P605" s="29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7.75" customHeight="1">
      <c r="A606" s="29"/>
      <c r="B606" s="29"/>
      <c r="C606" s="29"/>
      <c r="D606" s="29"/>
      <c r="E606" s="29"/>
      <c r="F606" s="30"/>
      <c r="G606" s="66"/>
      <c r="H606" s="130"/>
      <c r="I606" s="84"/>
      <c r="J606" s="17"/>
      <c r="K606" s="133"/>
      <c r="L606" s="135"/>
      <c r="M606" s="19"/>
      <c r="N606" s="131"/>
      <c r="O606" s="30"/>
      <c r="P606" s="29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7.75" customHeight="1">
      <c r="A607" s="29"/>
      <c r="B607" s="29"/>
      <c r="C607" s="29"/>
      <c r="D607" s="29"/>
      <c r="E607" s="29"/>
      <c r="F607" s="30"/>
      <c r="G607" s="66"/>
      <c r="H607" s="130"/>
      <c r="I607" s="84"/>
      <c r="J607" s="17"/>
      <c r="K607" s="133"/>
      <c r="L607" s="135"/>
      <c r="M607" s="19"/>
      <c r="N607" s="131"/>
      <c r="O607" s="30"/>
      <c r="P607" s="29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7.75" customHeight="1">
      <c r="A608" s="29"/>
      <c r="B608" s="29"/>
      <c r="C608" s="29"/>
      <c r="D608" s="29"/>
      <c r="E608" s="29"/>
      <c r="F608" s="30"/>
      <c r="G608" s="66"/>
      <c r="H608" s="130"/>
      <c r="I608" s="84"/>
      <c r="J608" s="17"/>
      <c r="K608" s="133"/>
      <c r="L608" s="135"/>
      <c r="M608" s="19"/>
      <c r="N608" s="131"/>
      <c r="O608" s="30"/>
      <c r="P608" s="29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7.75" customHeight="1">
      <c r="A609" s="29"/>
      <c r="B609" s="29"/>
      <c r="C609" s="29"/>
      <c r="D609" s="29"/>
      <c r="E609" s="29"/>
      <c r="F609" s="30"/>
      <c r="G609" s="66"/>
      <c r="H609" s="130"/>
      <c r="I609" s="84"/>
      <c r="J609" s="17"/>
      <c r="K609" s="133"/>
      <c r="L609" s="135"/>
      <c r="M609" s="19"/>
      <c r="N609" s="131"/>
      <c r="O609" s="30"/>
      <c r="P609" s="29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7.75" customHeight="1">
      <c r="A610" s="29"/>
      <c r="B610" s="29"/>
      <c r="C610" s="29"/>
      <c r="D610" s="29"/>
      <c r="E610" s="29"/>
      <c r="F610" s="30"/>
      <c r="G610" s="66"/>
      <c r="H610" s="130"/>
      <c r="I610" s="84"/>
      <c r="J610" s="17"/>
      <c r="K610" s="133"/>
      <c r="L610" s="135"/>
      <c r="M610" s="19"/>
      <c r="N610" s="131"/>
      <c r="O610" s="30"/>
      <c r="P610" s="29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7.75" customHeight="1">
      <c r="A611" s="29"/>
      <c r="B611" s="29"/>
      <c r="C611" s="29"/>
      <c r="D611" s="29"/>
      <c r="E611" s="29"/>
      <c r="F611" s="30"/>
      <c r="G611" s="66"/>
      <c r="H611" s="130"/>
      <c r="I611" s="84"/>
      <c r="J611" s="17"/>
      <c r="K611" s="133"/>
      <c r="L611" s="135"/>
      <c r="M611" s="19"/>
      <c r="N611" s="131"/>
      <c r="O611" s="30"/>
      <c r="P611" s="29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7.75" customHeight="1">
      <c r="A612" s="29"/>
      <c r="B612" s="29"/>
      <c r="C612" s="29"/>
      <c r="D612" s="29"/>
      <c r="E612" s="29"/>
      <c r="F612" s="30"/>
      <c r="G612" s="66"/>
      <c r="H612" s="130"/>
      <c r="I612" s="84"/>
      <c r="J612" s="17"/>
      <c r="K612" s="133"/>
      <c r="L612" s="135"/>
      <c r="M612" s="19"/>
      <c r="N612" s="131"/>
      <c r="O612" s="30"/>
      <c r="P612" s="29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7.75" customHeight="1">
      <c r="A613" s="29"/>
      <c r="B613" s="29"/>
      <c r="C613" s="29"/>
      <c r="D613" s="29"/>
      <c r="E613" s="29"/>
      <c r="F613" s="30"/>
      <c r="G613" s="66"/>
      <c r="H613" s="130"/>
      <c r="I613" s="84"/>
      <c r="J613" s="17"/>
      <c r="K613" s="133"/>
      <c r="L613" s="135"/>
      <c r="M613" s="19"/>
      <c r="N613" s="131"/>
      <c r="O613" s="30"/>
      <c r="P613" s="29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7.75" customHeight="1">
      <c r="A614" s="29"/>
      <c r="B614" s="29"/>
      <c r="C614" s="29"/>
      <c r="D614" s="29"/>
      <c r="E614" s="29"/>
      <c r="F614" s="30"/>
      <c r="G614" s="66"/>
      <c r="H614" s="130"/>
      <c r="I614" s="84"/>
      <c r="J614" s="17"/>
      <c r="K614" s="133"/>
      <c r="L614" s="135"/>
      <c r="M614" s="19"/>
      <c r="N614" s="131"/>
      <c r="O614" s="30"/>
      <c r="P614" s="29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7.75" customHeight="1">
      <c r="A615" s="29"/>
      <c r="B615" s="29"/>
      <c r="C615" s="29"/>
      <c r="D615" s="29"/>
      <c r="E615" s="29"/>
      <c r="F615" s="30"/>
      <c r="G615" s="66"/>
      <c r="H615" s="130"/>
      <c r="I615" s="84"/>
      <c r="J615" s="17"/>
      <c r="K615" s="133"/>
      <c r="L615" s="135"/>
      <c r="M615" s="19"/>
      <c r="N615" s="131"/>
      <c r="O615" s="30"/>
      <c r="P615" s="29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7.75" customHeight="1">
      <c r="A616" s="29"/>
      <c r="B616" s="29"/>
      <c r="C616" s="29"/>
      <c r="D616" s="29"/>
      <c r="E616" s="29"/>
      <c r="F616" s="30"/>
      <c r="G616" s="66"/>
      <c r="H616" s="130"/>
      <c r="I616" s="84"/>
      <c r="J616" s="17"/>
      <c r="K616" s="133"/>
      <c r="L616" s="135"/>
      <c r="M616" s="19"/>
      <c r="N616" s="131"/>
      <c r="O616" s="30"/>
      <c r="P616" s="29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7.75" customHeight="1">
      <c r="A617" s="29"/>
      <c r="B617" s="29"/>
      <c r="C617" s="29"/>
      <c r="D617" s="29"/>
      <c r="E617" s="29"/>
      <c r="F617" s="30"/>
      <c r="G617" s="66"/>
      <c r="H617" s="130"/>
      <c r="I617" s="84"/>
      <c r="J617" s="17"/>
      <c r="K617" s="133"/>
      <c r="L617" s="135"/>
      <c r="M617" s="19"/>
      <c r="N617" s="131"/>
      <c r="O617" s="30"/>
      <c r="P617" s="29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7.75" customHeight="1">
      <c r="A618" s="29"/>
      <c r="B618" s="29"/>
      <c r="C618" s="29"/>
      <c r="D618" s="29"/>
      <c r="E618" s="29"/>
      <c r="F618" s="30"/>
      <c r="G618" s="66"/>
      <c r="H618" s="130"/>
      <c r="I618" s="84"/>
      <c r="J618" s="17"/>
      <c r="K618" s="133"/>
      <c r="L618" s="135"/>
      <c r="M618" s="19"/>
      <c r="N618" s="131"/>
      <c r="O618" s="30"/>
      <c r="P618" s="29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7.75" customHeight="1">
      <c r="A619" s="29"/>
      <c r="B619" s="29"/>
      <c r="C619" s="29"/>
      <c r="D619" s="29"/>
      <c r="E619" s="29"/>
      <c r="F619" s="30"/>
      <c r="G619" s="66"/>
      <c r="H619" s="130"/>
      <c r="I619" s="84"/>
      <c r="J619" s="17"/>
      <c r="K619" s="133"/>
      <c r="L619" s="135"/>
      <c r="M619" s="19"/>
      <c r="N619" s="131"/>
      <c r="O619" s="30"/>
      <c r="P619" s="29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7.75" customHeight="1">
      <c r="A620" s="29"/>
      <c r="B620" s="29"/>
      <c r="C620" s="29"/>
      <c r="D620" s="29"/>
      <c r="E620" s="29"/>
      <c r="F620" s="30"/>
      <c r="G620" s="66"/>
      <c r="H620" s="130"/>
      <c r="I620" s="84"/>
      <c r="J620" s="17"/>
      <c r="K620" s="133"/>
      <c r="L620" s="135"/>
      <c r="M620" s="19"/>
      <c r="N620" s="131"/>
      <c r="O620" s="30"/>
      <c r="P620" s="29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7.75" customHeight="1">
      <c r="A621" s="29"/>
      <c r="B621" s="29"/>
      <c r="C621" s="29"/>
      <c r="D621" s="29"/>
      <c r="E621" s="29"/>
      <c r="F621" s="30"/>
      <c r="G621" s="66"/>
      <c r="H621" s="130"/>
      <c r="I621" s="84"/>
      <c r="J621" s="17"/>
      <c r="K621" s="133"/>
      <c r="L621" s="135"/>
      <c r="M621" s="19"/>
      <c r="N621" s="131"/>
      <c r="O621" s="30"/>
      <c r="P621" s="29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7.75" customHeight="1">
      <c r="A622" s="29"/>
      <c r="B622" s="29"/>
      <c r="C622" s="29"/>
      <c r="D622" s="29"/>
      <c r="E622" s="29"/>
      <c r="F622" s="30"/>
      <c r="G622" s="66"/>
      <c r="H622" s="130"/>
      <c r="I622" s="84"/>
      <c r="J622" s="17"/>
      <c r="K622" s="133"/>
      <c r="L622" s="135"/>
      <c r="M622" s="19"/>
      <c r="N622" s="131"/>
      <c r="O622" s="30"/>
      <c r="P622" s="29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7.75" customHeight="1">
      <c r="A623" s="29"/>
      <c r="B623" s="29"/>
      <c r="C623" s="29"/>
      <c r="D623" s="29"/>
      <c r="E623" s="29"/>
      <c r="F623" s="30"/>
      <c r="G623" s="66"/>
      <c r="H623" s="130"/>
      <c r="I623" s="84"/>
      <c r="J623" s="17"/>
      <c r="K623" s="133"/>
      <c r="L623" s="135"/>
      <c r="M623" s="19"/>
      <c r="N623" s="131"/>
      <c r="O623" s="30"/>
      <c r="P623" s="29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7.75" customHeight="1">
      <c r="A624" s="29"/>
      <c r="B624" s="29"/>
      <c r="C624" s="29"/>
      <c r="D624" s="29"/>
      <c r="E624" s="29"/>
      <c r="F624" s="30"/>
      <c r="G624" s="66"/>
      <c r="H624" s="130"/>
      <c r="I624" s="84"/>
      <c r="J624" s="17"/>
      <c r="K624" s="133"/>
      <c r="L624" s="135"/>
      <c r="M624" s="19"/>
      <c r="N624" s="131"/>
      <c r="O624" s="30"/>
      <c r="P624" s="29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7.75" customHeight="1">
      <c r="A625" s="29"/>
      <c r="B625" s="29"/>
      <c r="C625" s="29"/>
      <c r="D625" s="29"/>
      <c r="E625" s="29"/>
      <c r="F625" s="30"/>
      <c r="G625" s="66"/>
      <c r="H625" s="130"/>
      <c r="I625" s="84"/>
      <c r="J625" s="17"/>
      <c r="K625" s="133"/>
      <c r="L625" s="135"/>
      <c r="M625" s="19"/>
      <c r="N625" s="131"/>
      <c r="O625" s="30"/>
      <c r="P625" s="29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7.75" customHeight="1">
      <c r="A626" s="29"/>
      <c r="B626" s="29"/>
      <c r="C626" s="29"/>
      <c r="D626" s="29"/>
      <c r="E626" s="29"/>
      <c r="F626" s="30"/>
      <c r="G626" s="66"/>
      <c r="H626" s="130"/>
      <c r="I626" s="84"/>
      <c r="J626" s="17"/>
      <c r="K626" s="133"/>
      <c r="L626" s="135"/>
      <c r="M626" s="19"/>
      <c r="N626" s="131"/>
      <c r="O626" s="30"/>
      <c r="P626" s="29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7.75" customHeight="1">
      <c r="A627" s="29"/>
      <c r="B627" s="29"/>
      <c r="C627" s="29"/>
      <c r="D627" s="29"/>
      <c r="E627" s="29"/>
      <c r="F627" s="30"/>
      <c r="G627" s="66"/>
      <c r="H627" s="130"/>
      <c r="I627" s="84"/>
      <c r="J627" s="17"/>
      <c r="K627" s="133"/>
      <c r="L627" s="135"/>
      <c r="M627" s="19"/>
      <c r="N627" s="131"/>
      <c r="O627" s="30"/>
      <c r="P627" s="29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7.75" customHeight="1">
      <c r="A628" s="29"/>
      <c r="B628" s="29"/>
      <c r="C628" s="29"/>
      <c r="D628" s="29"/>
      <c r="E628" s="29"/>
      <c r="F628" s="30"/>
      <c r="G628" s="66"/>
      <c r="H628" s="130"/>
      <c r="I628" s="84"/>
      <c r="J628" s="17"/>
      <c r="K628" s="133"/>
      <c r="L628" s="135"/>
      <c r="M628" s="19"/>
      <c r="N628" s="131"/>
      <c r="O628" s="30"/>
      <c r="P628" s="29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7.75" customHeight="1">
      <c r="A629" s="29"/>
      <c r="B629" s="29"/>
      <c r="C629" s="29"/>
      <c r="D629" s="29"/>
      <c r="E629" s="29"/>
      <c r="F629" s="30"/>
      <c r="G629" s="66"/>
      <c r="H629" s="130"/>
      <c r="I629" s="84"/>
      <c r="J629" s="17"/>
      <c r="K629" s="133"/>
      <c r="L629" s="135"/>
      <c r="M629" s="19"/>
      <c r="N629" s="131"/>
      <c r="O629" s="30"/>
      <c r="P629" s="29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7.75" customHeight="1">
      <c r="A630" s="29"/>
      <c r="B630" s="29"/>
      <c r="C630" s="29"/>
      <c r="D630" s="29"/>
      <c r="E630" s="29"/>
      <c r="F630" s="30"/>
      <c r="G630" s="66"/>
      <c r="H630" s="130"/>
      <c r="I630" s="84"/>
      <c r="J630" s="17"/>
      <c r="K630" s="133"/>
      <c r="L630" s="135"/>
      <c r="M630" s="19"/>
      <c r="N630" s="131"/>
      <c r="O630" s="30"/>
      <c r="P630" s="29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7.75" customHeight="1">
      <c r="A631" s="29"/>
      <c r="B631" s="29"/>
      <c r="C631" s="29"/>
      <c r="D631" s="29"/>
      <c r="E631" s="29"/>
      <c r="F631" s="30"/>
      <c r="G631" s="66"/>
      <c r="H631" s="130"/>
      <c r="I631" s="84"/>
      <c r="J631" s="17"/>
      <c r="K631" s="133"/>
      <c r="L631" s="135"/>
      <c r="M631" s="19"/>
      <c r="N631" s="131"/>
      <c r="O631" s="30"/>
      <c r="P631" s="29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7.75" customHeight="1">
      <c r="A632" s="29"/>
      <c r="B632" s="29"/>
      <c r="C632" s="29"/>
      <c r="D632" s="29"/>
      <c r="E632" s="29"/>
      <c r="F632" s="30"/>
      <c r="G632" s="66"/>
      <c r="H632" s="130"/>
      <c r="I632" s="84"/>
      <c r="J632" s="17"/>
      <c r="K632" s="133"/>
      <c r="L632" s="135"/>
      <c r="M632" s="19"/>
      <c r="N632" s="131"/>
      <c r="O632" s="30"/>
      <c r="P632" s="29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7.75" customHeight="1">
      <c r="A633" s="29"/>
      <c r="B633" s="29"/>
      <c r="C633" s="29"/>
      <c r="D633" s="29"/>
      <c r="E633" s="29"/>
      <c r="F633" s="30"/>
      <c r="G633" s="66"/>
      <c r="H633" s="130"/>
      <c r="I633" s="84"/>
      <c r="J633" s="17"/>
      <c r="K633" s="133"/>
      <c r="L633" s="135"/>
      <c r="M633" s="19"/>
      <c r="N633" s="131"/>
      <c r="O633" s="30"/>
      <c r="P633" s="29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7.75" customHeight="1">
      <c r="A634" s="29"/>
      <c r="B634" s="29"/>
      <c r="C634" s="29"/>
      <c r="D634" s="29"/>
      <c r="E634" s="29"/>
      <c r="F634" s="30"/>
      <c r="G634" s="66"/>
      <c r="H634" s="130"/>
      <c r="I634" s="84"/>
      <c r="J634" s="17"/>
      <c r="K634" s="133"/>
      <c r="L634" s="135"/>
      <c r="M634" s="19"/>
      <c r="N634" s="131"/>
      <c r="O634" s="30"/>
      <c r="P634" s="29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7.75" customHeight="1">
      <c r="A635" s="29"/>
      <c r="B635" s="29"/>
      <c r="C635" s="29"/>
      <c r="D635" s="29"/>
      <c r="E635" s="29"/>
      <c r="F635" s="30"/>
      <c r="G635" s="66"/>
      <c r="H635" s="130"/>
      <c r="I635" s="84"/>
      <c r="J635" s="17"/>
      <c r="K635" s="133"/>
      <c r="L635" s="135"/>
      <c r="M635" s="19"/>
      <c r="N635" s="131"/>
      <c r="O635" s="30"/>
      <c r="P635" s="29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7.75" customHeight="1">
      <c r="A636" s="29"/>
      <c r="B636" s="29"/>
      <c r="C636" s="29"/>
      <c r="D636" s="29"/>
      <c r="E636" s="29"/>
      <c r="F636" s="30"/>
      <c r="G636" s="66"/>
      <c r="H636" s="130"/>
      <c r="I636" s="84"/>
      <c r="J636" s="17"/>
      <c r="K636" s="133"/>
      <c r="L636" s="135"/>
      <c r="M636" s="19"/>
      <c r="N636" s="131"/>
      <c r="O636" s="30"/>
      <c r="P636" s="29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7.75" customHeight="1">
      <c r="A637" s="29"/>
      <c r="B637" s="29"/>
      <c r="C637" s="29"/>
      <c r="D637" s="29"/>
      <c r="E637" s="29"/>
      <c r="F637" s="30"/>
      <c r="G637" s="66"/>
      <c r="H637" s="130"/>
      <c r="I637" s="84"/>
      <c r="J637" s="17"/>
      <c r="K637" s="133"/>
      <c r="L637" s="135"/>
      <c r="M637" s="19"/>
      <c r="N637" s="131"/>
      <c r="O637" s="30"/>
      <c r="P637" s="29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7.75" customHeight="1">
      <c r="A638" s="29"/>
      <c r="B638" s="29"/>
      <c r="C638" s="29"/>
      <c r="D638" s="29"/>
      <c r="E638" s="29"/>
      <c r="F638" s="30"/>
      <c r="G638" s="66"/>
      <c r="H638" s="130"/>
      <c r="I638" s="84"/>
      <c r="J638" s="17"/>
      <c r="K638" s="133"/>
      <c r="L638" s="135"/>
      <c r="M638" s="19"/>
      <c r="N638" s="131"/>
      <c r="O638" s="30"/>
      <c r="P638" s="29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7.75" customHeight="1">
      <c r="A639" s="29"/>
      <c r="B639" s="29"/>
      <c r="C639" s="29"/>
      <c r="D639" s="29"/>
      <c r="E639" s="29"/>
      <c r="F639" s="30"/>
      <c r="G639" s="66"/>
      <c r="H639" s="130"/>
      <c r="I639" s="84"/>
      <c r="J639" s="17"/>
      <c r="K639" s="133"/>
      <c r="L639" s="135"/>
      <c r="M639" s="19"/>
      <c r="N639" s="131"/>
      <c r="O639" s="30"/>
      <c r="P639" s="29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7.75" customHeight="1">
      <c r="A640" s="29"/>
      <c r="B640" s="29"/>
      <c r="C640" s="29"/>
      <c r="D640" s="29"/>
      <c r="E640" s="29"/>
      <c r="F640" s="30"/>
      <c r="G640" s="66"/>
      <c r="H640" s="130"/>
      <c r="I640" s="84"/>
      <c r="J640" s="17"/>
      <c r="K640" s="133"/>
      <c r="L640" s="135"/>
      <c r="M640" s="19"/>
      <c r="N640" s="131"/>
      <c r="O640" s="30"/>
      <c r="P640" s="29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7.75" customHeight="1">
      <c r="A641" s="29"/>
      <c r="B641" s="29"/>
      <c r="C641" s="29"/>
      <c r="D641" s="29"/>
      <c r="E641" s="29"/>
      <c r="F641" s="30"/>
      <c r="G641" s="66"/>
      <c r="H641" s="130"/>
      <c r="I641" s="84"/>
      <c r="J641" s="17"/>
      <c r="K641" s="133"/>
      <c r="L641" s="135"/>
      <c r="M641" s="19"/>
      <c r="N641" s="131"/>
      <c r="O641" s="30"/>
      <c r="P641" s="29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7.75" customHeight="1">
      <c r="A642" s="29"/>
      <c r="B642" s="29"/>
      <c r="C642" s="29"/>
      <c r="D642" s="29"/>
      <c r="E642" s="29"/>
      <c r="F642" s="30"/>
      <c r="G642" s="66"/>
      <c r="H642" s="130"/>
      <c r="I642" s="84"/>
      <c r="J642" s="17"/>
      <c r="K642" s="133"/>
      <c r="L642" s="135"/>
      <c r="M642" s="19"/>
      <c r="N642" s="131"/>
      <c r="O642" s="30"/>
      <c r="P642" s="29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7.75" customHeight="1">
      <c r="A643" s="29"/>
      <c r="B643" s="29"/>
      <c r="C643" s="29"/>
      <c r="D643" s="29"/>
      <c r="E643" s="29"/>
      <c r="F643" s="30"/>
      <c r="G643" s="66"/>
      <c r="H643" s="130"/>
      <c r="I643" s="84"/>
      <c r="J643" s="17"/>
      <c r="K643" s="133"/>
      <c r="L643" s="135"/>
      <c r="M643" s="19"/>
      <c r="N643" s="131"/>
      <c r="O643" s="30"/>
      <c r="P643" s="29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7.75" customHeight="1">
      <c r="A644" s="29"/>
      <c r="B644" s="29"/>
      <c r="C644" s="29"/>
      <c r="D644" s="29"/>
      <c r="E644" s="29"/>
      <c r="F644" s="30"/>
      <c r="G644" s="66"/>
      <c r="H644" s="130"/>
      <c r="I644" s="84"/>
      <c r="J644" s="17"/>
      <c r="K644" s="133"/>
      <c r="L644" s="135"/>
      <c r="M644" s="19"/>
      <c r="N644" s="131"/>
      <c r="O644" s="30"/>
      <c r="P644" s="29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7.75" customHeight="1">
      <c r="A645" s="29"/>
      <c r="B645" s="29"/>
      <c r="C645" s="29"/>
      <c r="D645" s="29"/>
      <c r="E645" s="29"/>
      <c r="F645" s="30"/>
      <c r="G645" s="66"/>
      <c r="H645" s="130"/>
      <c r="I645" s="84"/>
      <c r="J645" s="17"/>
      <c r="K645" s="133"/>
      <c r="L645" s="135"/>
      <c r="M645" s="19"/>
      <c r="N645" s="131"/>
      <c r="O645" s="30"/>
      <c r="P645" s="29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7.75" customHeight="1">
      <c r="A646" s="29"/>
      <c r="B646" s="29"/>
      <c r="C646" s="29"/>
      <c r="D646" s="29"/>
      <c r="E646" s="29"/>
      <c r="F646" s="30"/>
      <c r="G646" s="66"/>
      <c r="H646" s="130"/>
      <c r="I646" s="84"/>
      <c r="J646" s="17"/>
      <c r="K646" s="133"/>
      <c r="L646" s="135"/>
      <c r="M646" s="19"/>
      <c r="N646" s="131"/>
      <c r="O646" s="30"/>
      <c r="P646" s="29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7.75" customHeight="1">
      <c r="A647" s="29"/>
      <c r="B647" s="29"/>
      <c r="C647" s="29"/>
      <c r="D647" s="29"/>
      <c r="E647" s="29"/>
      <c r="F647" s="30"/>
      <c r="G647" s="66"/>
      <c r="H647" s="130"/>
      <c r="I647" s="84"/>
      <c r="J647" s="17"/>
      <c r="K647" s="133"/>
      <c r="L647" s="135"/>
      <c r="M647" s="19"/>
      <c r="N647" s="131"/>
      <c r="O647" s="30"/>
      <c r="P647" s="29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7.75" customHeight="1">
      <c r="A648" s="29"/>
      <c r="B648" s="29"/>
      <c r="C648" s="29"/>
      <c r="D648" s="29"/>
      <c r="E648" s="29"/>
      <c r="F648" s="30"/>
      <c r="G648" s="66"/>
      <c r="H648" s="130"/>
      <c r="I648" s="84"/>
      <c r="J648" s="17"/>
      <c r="K648" s="133"/>
      <c r="L648" s="135"/>
      <c r="M648" s="19"/>
      <c r="N648" s="131"/>
      <c r="O648" s="30"/>
      <c r="P648" s="29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7.75" customHeight="1">
      <c r="A649" s="29"/>
      <c r="B649" s="29"/>
      <c r="C649" s="29"/>
      <c r="D649" s="29"/>
      <c r="E649" s="29"/>
      <c r="F649" s="30"/>
      <c r="G649" s="66"/>
      <c r="H649" s="130"/>
      <c r="I649" s="84"/>
      <c r="J649" s="17"/>
      <c r="K649" s="133"/>
      <c r="L649" s="135"/>
      <c r="M649" s="19"/>
      <c r="N649" s="131"/>
      <c r="O649" s="30"/>
      <c r="P649" s="29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7.75" customHeight="1">
      <c r="A650" s="29"/>
      <c r="B650" s="29"/>
      <c r="C650" s="29"/>
      <c r="D650" s="29"/>
      <c r="E650" s="29"/>
      <c r="F650" s="30"/>
      <c r="G650" s="66"/>
      <c r="H650" s="130"/>
      <c r="I650" s="84"/>
      <c r="J650" s="17"/>
      <c r="K650" s="133"/>
      <c r="L650" s="135"/>
      <c r="M650" s="19"/>
      <c r="N650" s="131"/>
      <c r="O650" s="30"/>
      <c r="P650" s="29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7.75" customHeight="1">
      <c r="A651" s="29"/>
      <c r="B651" s="29"/>
      <c r="C651" s="29"/>
      <c r="D651" s="29"/>
      <c r="E651" s="29"/>
      <c r="F651" s="30"/>
      <c r="G651" s="66"/>
      <c r="H651" s="130"/>
      <c r="I651" s="84"/>
      <c r="J651" s="17"/>
      <c r="K651" s="133"/>
      <c r="L651" s="135"/>
      <c r="M651" s="19"/>
      <c r="N651" s="131"/>
      <c r="O651" s="30"/>
      <c r="P651" s="29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7.75" customHeight="1">
      <c r="A652" s="29"/>
      <c r="B652" s="29"/>
      <c r="C652" s="29"/>
      <c r="D652" s="29"/>
      <c r="E652" s="29"/>
      <c r="F652" s="30"/>
      <c r="G652" s="66"/>
      <c r="H652" s="130"/>
      <c r="I652" s="84"/>
      <c r="J652" s="17"/>
      <c r="K652" s="133"/>
      <c r="L652" s="135"/>
      <c r="M652" s="19"/>
      <c r="N652" s="131"/>
      <c r="O652" s="30"/>
      <c r="P652" s="29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7.75" customHeight="1">
      <c r="A653" s="29"/>
      <c r="B653" s="29"/>
      <c r="C653" s="29"/>
      <c r="D653" s="29"/>
      <c r="E653" s="29"/>
      <c r="F653" s="30"/>
      <c r="G653" s="66"/>
      <c r="H653" s="130"/>
      <c r="I653" s="84"/>
      <c r="J653" s="17"/>
      <c r="K653" s="133"/>
      <c r="L653" s="135"/>
      <c r="M653" s="19"/>
      <c r="N653" s="131"/>
      <c r="O653" s="30"/>
      <c r="P653" s="29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7.75" customHeight="1">
      <c r="A654" s="29"/>
      <c r="B654" s="29"/>
      <c r="C654" s="29"/>
      <c r="D654" s="29"/>
      <c r="E654" s="29"/>
      <c r="F654" s="30"/>
      <c r="G654" s="66"/>
      <c r="H654" s="130"/>
      <c r="I654" s="84"/>
      <c r="J654" s="17"/>
      <c r="K654" s="133"/>
      <c r="L654" s="135"/>
      <c r="M654" s="19"/>
      <c r="N654" s="131"/>
      <c r="O654" s="30"/>
      <c r="P654" s="29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7.75" customHeight="1">
      <c r="A655" s="29"/>
      <c r="B655" s="29"/>
      <c r="C655" s="29"/>
      <c r="D655" s="29"/>
      <c r="E655" s="29"/>
      <c r="F655" s="30"/>
      <c r="G655" s="66"/>
      <c r="H655" s="130"/>
      <c r="I655" s="84"/>
      <c r="J655" s="17"/>
      <c r="K655" s="133"/>
      <c r="L655" s="135"/>
      <c r="M655" s="19"/>
      <c r="N655" s="131"/>
      <c r="O655" s="30"/>
      <c r="P655" s="29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7.75" customHeight="1">
      <c r="A656" s="29"/>
      <c r="B656" s="29"/>
      <c r="C656" s="29"/>
      <c r="D656" s="29"/>
      <c r="E656" s="29"/>
      <c r="F656" s="30"/>
      <c r="G656" s="66"/>
      <c r="H656" s="130"/>
      <c r="I656" s="84"/>
      <c r="J656" s="17"/>
      <c r="K656" s="133"/>
      <c r="L656" s="135"/>
      <c r="M656" s="19"/>
      <c r="N656" s="131"/>
      <c r="O656" s="30"/>
      <c r="P656" s="29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7.75" customHeight="1">
      <c r="A657" s="29"/>
      <c r="B657" s="29"/>
      <c r="C657" s="29"/>
      <c r="D657" s="29"/>
      <c r="E657" s="29"/>
      <c r="F657" s="30"/>
      <c r="G657" s="66"/>
      <c r="H657" s="130"/>
      <c r="I657" s="84"/>
      <c r="J657" s="17"/>
      <c r="K657" s="133"/>
      <c r="L657" s="135"/>
      <c r="M657" s="19"/>
      <c r="N657" s="131"/>
      <c r="O657" s="30"/>
      <c r="P657" s="29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7.75" customHeight="1">
      <c r="A658" s="29"/>
      <c r="B658" s="29"/>
      <c r="C658" s="29"/>
      <c r="D658" s="29"/>
      <c r="E658" s="29"/>
      <c r="F658" s="30"/>
      <c r="G658" s="66"/>
      <c r="H658" s="130"/>
      <c r="I658" s="84"/>
      <c r="J658" s="17"/>
      <c r="K658" s="133"/>
      <c r="L658" s="135"/>
      <c r="M658" s="19"/>
      <c r="N658" s="131"/>
      <c r="O658" s="30"/>
      <c r="P658" s="29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7.75" customHeight="1">
      <c r="A659" s="29"/>
      <c r="B659" s="29"/>
      <c r="C659" s="29"/>
      <c r="D659" s="29"/>
      <c r="E659" s="29"/>
      <c r="F659" s="30"/>
      <c r="G659" s="66"/>
      <c r="H659" s="130"/>
      <c r="I659" s="84"/>
      <c r="J659" s="17"/>
      <c r="K659" s="133"/>
      <c r="L659" s="135"/>
      <c r="M659" s="19"/>
      <c r="N659" s="131"/>
      <c r="O659" s="30"/>
      <c r="P659" s="29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7.75" customHeight="1">
      <c r="A660" s="29"/>
      <c r="B660" s="29"/>
      <c r="C660" s="29"/>
      <c r="D660" s="29"/>
      <c r="E660" s="29"/>
      <c r="F660" s="30"/>
      <c r="G660" s="66"/>
      <c r="H660" s="130"/>
      <c r="I660" s="84"/>
      <c r="J660" s="17"/>
      <c r="K660" s="133"/>
      <c r="L660" s="135"/>
      <c r="M660" s="19"/>
      <c r="N660" s="131"/>
      <c r="O660" s="30"/>
      <c r="P660" s="29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7.75" customHeight="1">
      <c r="A661" s="29"/>
      <c r="B661" s="29"/>
      <c r="C661" s="29"/>
      <c r="D661" s="29"/>
      <c r="E661" s="29"/>
      <c r="F661" s="30"/>
      <c r="G661" s="66"/>
      <c r="H661" s="130"/>
      <c r="I661" s="84"/>
      <c r="J661" s="17"/>
      <c r="K661" s="133"/>
      <c r="L661" s="135"/>
      <c r="M661" s="19"/>
      <c r="N661" s="131"/>
      <c r="O661" s="30"/>
      <c r="P661" s="29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7.75" customHeight="1">
      <c r="A662" s="29"/>
      <c r="B662" s="29"/>
      <c r="C662" s="29"/>
      <c r="D662" s="29"/>
      <c r="E662" s="29"/>
      <c r="F662" s="30"/>
      <c r="G662" s="66"/>
      <c r="H662" s="130"/>
      <c r="I662" s="84"/>
      <c r="J662" s="17"/>
      <c r="K662" s="133"/>
      <c r="L662" s="135"/>
      <c r="M662" s="19"/>
      <c r="N662" s="131"/>
      <c r="O662" s="30"/>
      <c r="P662" s="29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7.75" customHeight="1">
      <c r="A663" s="29"/>
      <c r="B663" s="29"/>
      <c r="C663" s="29"/>
      <c r="D663" s="29"/>
      <c r="E663" s="29"/>
      <c r="F663" s="30"/>
      <c r="G663" s="66"/>
      <c r="H663" s="130"/>
      <c r="I663" s="84"/>
      <c r="J663" s="17"/>
      <c r="K663" s="133"/>
      <c r="L663" s="135"/>
      <c r="M663" s="19"/>
      <c r="N663" s="131"/>
      <c r="O663" s="30"/>
      <c r="P663" s="29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7.75" customHeight="1">
      <c r="A664" s="29"/>
      <c r="B664" s="29"/>
      <c r="C664" s="29"/>
      <c r="D664" s="29"/>
      <c r="E664" s="29"/>
      <c r="F664" s="30"/>
      <c r="G664" s="66"/>
      <c r="H664" s="130"/>
      <c r="I664" s="84"/>
      <c r="J664" s="17"/>
      <c r="K664" s="133"/>
      <c r="L664" s="135"/>
      <c r="M664" s="19"/>
      <c r="N664" s="131"/>
      <c r="O664" s="30"/>
      <c r="P664" s="29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7.75" customHeight="1">
      <c r="A665" s="29"/>
      <c r="B665" s="29"/>
      <c r="C665" s="29"/>
      <c r="D665" s="29"/>
      <c r="E665" s="29"/>
      <c r="F665" s="30"/>
      <c r="G665" s="66"/>
      <c r="H665" s="130"/>
      <c r="I665" s="84"/>
      <c r="J665" s="17"/>
      <c r="K665" s="133"/>
      <c r="L665" s="135"/>
      <c r="M665" s="19"/>
      <c r="N665" s="131"/>
      <c r="O665" s="30"/>
      <c r="P665" s="29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7.75" customHeight="1">
      <c r="A666" s="29"/>
      <c r="B666" s="29"/>
      <c r="C666" s="29"/>
      <c r="D666" s="29"/>
      <c r="E666" s="29"/>
      <c r="F666" s="30"/>
      <c r="G666" s="66"/>
      <c r="H666" s="130"/>
      <c r="I666" s="84"/>
      <c r="J666" s="17"/>
      <c r="K666" s="133"/>
      <c r="L666" s="135"/>
      <c r="M666" s="19"/>
      <c r="N666" s="131"/>
      <c r="O666" s="30"/>
      <c r="P666" s="29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7.75" customHeight="1">
      <c r="A667" s="29"/>
      <c r="B667" s="29"/>
      <c r="C667" s="29"/>
      <c r="D667" s="29"/>
      <c r="E667" s="29"/>
      <c r="F667" s="30"/>
      <c r="G667" s="66"/>
      <c r="H667" s="130"/>
      <c r="I667" s="84"/>
      <c r="J667" s="17"/>
      <c r="K667" s="133"/>
      <c r="L667" s="135"/>
      <c r="M667" s="19"/>
      <c r="N667" s="131"/>
      <c r="O667" s="30"/>
      <c r="P667" s="29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7.75" customHeight="1">
      <c r="A668" s="29"/>
      <c r="B668" s="29"/>
      <c r="C668" s="29"/>
      <c r="D668" s="29"/>
      <c r="E668" s="29"/>
      <c r="F668" s="30"/>
      <c r="G668" s="66"/>
      <c r="H668" s="130"/>
      <c r="I668" s="84"/>
      <c r="J668" s="17"/>
      <c r="K668" s="133"/>
      <c r="L668" s="135"/>
      <c r="M668" s="19"/>
      <c r="N668" s="131"/>
      <c r="O668" s="30"/>
      <c r="P668" s="29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7.75" customHeight="1">
      <c r="A669" s="29"/>
      <c r="B669" s="29"/>
      <c r="C669" s="29"/>
      <c r="D669" s="29"/>
      <c r="E669" s="29"/>
      <c r="F669" s="30"/>
      <c r="G669" s="66"/>
      <c r="H669" s="130"/>
      <c r="I669" s="84"/>
      <c r="J669" s="17"/>
      <c r="K669" s="133"/>
      <c r="L669" s="135"/>
      <c r="M669" s="19"/>
      <c r="N669" s="131"/>
      <c r="O669" s="30"/>
      <c r="P669" s="29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7.75" customHeight="1">
      <c r="A670" s="29"/>
      <c r="B670" s="29"/>
      <c r="C670" s="29"/>
      <c r="D670" s="29"/>
      <c r="E670" s="29"/>
      <c r="F670" s="30"/>
      <c r="G670" s="66"/>
      <c r="H670" s="130"/>
      <c r="I670" s="84"/>
      <c r="J670" s="17"/>
      <c r="K670" s="133"/>
      <c r="L670" s="135"/>
      <c r="M670" s="19"/>
      <c r="N670" s="131"/>
      <c r="O670" s="30"/>
      <c r="P670" s="29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7.75" customHeight="1">
      <c r="A671" s="29"/>
      <c r="B671" s="29"/>
      <c r="C671" s="29"/>
      <c r="D671" s="29"/>
      <c r="E671" s="29"/>
      <c r="F671" s="30"/>
      <c r="G671" s="66"/>
      <c r="H671" s="130"/>
      <c r="I671" s="84"/>
      <c r="J671" s="17"/>
      <c r="K671" s="133"/>
      <c r="L671" s="135"/>
      <c r="M671" s="19"/>
      <c r="N671" s="131"/>
      <c r="O671" s="30"/>
      <c r="P671" s="29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7.75" customHeight="1">
      <c r="A672" s="29"/>
      <c r="B672" s="29"/>
      <c r="C672" s="29"/>
      <c r="D672" s="29"/>
      <c r="E672" s="29"/>
      <c r="F672" s="30"/>
      <c r="G672" s="66"/>
      <c r="H672" s="130"/>
      <c r="I672" s="84"/>
      <c r="J672" s="17"/>
      <c r="K672" s="133"/>
      <c r="L672" s="135"/>
      <c r="M672" s="19"/>
      <c r="N672" s="131"/>
      <c r="O672" s="30"/>
      <c r="P672" s="29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7.75" customHeight="1">
      <c r="A673" s="29"/>
      <c r="B673" s="29"/>
      <c r="C673" s="29"/>
      <c r="D673" s="29"/>
      <c r="E673" s="29"/>
      <c r="F673" s="30"/>
      <c r="G673" s="66"/>
      <c r="H673" s="130"/>
      <c r="I673" s="84"/>
      <c r="J673" s="17"/>
      <c r="K673" s="133"/>
      <c r="L673" s="135"/>
      <c r="M673" s="19"/>
      <c r="N673" s="131"/>
      <c r="O673" s="30"/>
      <c r="P673" s="29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7.75" customHeight="1">
      <c r="A674" s="29"/>
      <c r="B674" s="29"/>
      <c r="C674" s="29"/>
      <c r="D674" s="29"/>
      <c r="E674" s="29"/>
      <c r="F674" s="30"/>
      <c r="G674" s="66"/>
      <c r="H674" s="130"/>
      <c r="I674" s="84"/>
      <c r="J674" s="17"/>
      <c r="K674" s="133"/>
      <c r="L674" s="135"/>
      <c r="M674" s="19"/>
      <c r="N674" s="131"/>
      <c r="O674" s="30"/>
      <c r="P674" s="29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7.75" customHeight="1">
      <c r="A675" s="29"/>
      <c r="B675" s="29"/>
      <c r="C675" s="29"/>
      <c r="D675" s="29"/>
      <c r="E675" s="29"/>
      <c r="F675" s="30"/>
      <c r="G675" s="66"/>
      <c r="H675" s="130"/>
      <c r="I675" s="84"/>
      <c r="J675" s="17"/>
      <c r="K675" s="133"/>
      <c r="L675" s="135"/>
      <c r="M675" s="19"/>
      <c r="N675" s="131"/>
      <c r="O675" s="30"/>
      <c r="P675" s="29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7.75" customHeight="1">
      <c r="A676" s="29"/>
      <c r="B676" s="29"/>
      <c r="C676" s="29"/>
      <c r="D676" s="29"/>
      <c r="E676" s="29"/>
      <c r="F676" s="30"/>
      <c r="G676" s="66"/>
      <c r="H676" s="130"/>
      <c r="I676" s="84"/>
      <c r="J676" s="17"/>
      <c r="K676" s="133"/>
      <c r="L676" s="135"/>
      <c r="M676" s="19"/>
      <c r="N676" s="131"/>
      <c r="O676" s="30"/>
      <c r="P676" s="29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7.75" customHeight="1">
      <c r="A677" s="29"/>
      <c r="B677" s="29"/>
      <c r="C677" s="29"/>
      <c r="D677" s="29"/>
      <c r="E677" s="29"/>
      <c r="F677" s="30"/>
      <c r="G677" s="66"/>
      <c r="H677" s="130"/>
      <c r="I677" s="84"/>
      <c r="J677" s="17"/>
      <c r="K677" s="133"/>
      <c r="L677" s="135"/>
      <c r="M677" s="19"/>
      <c r="N677" s="131"/>
      <c r="O677" s="30"/>
      <c r="P677" s="29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7.75" customHeight="1">
      <c r="A678" s="29"/>
      <c r="B678" s="29"/>
      <c r="C678" s="29"/>
      <c r="D678" s="29"/>
      <c r="E678" s="29"/>
      <c r="F678" s="30"/>
      <c r="G678" s="66"/>
      <c r="H678" s="130"/>
      <c r="I678" s="84"/>
      <c r="J678" s="17"/>
      <c r="K678" s="133"/>
      <c r="L678" s="135"/>
      <c r="M678" s="19"/>
      <c r="N678" s="131"/>
      <c r="O678" s="30"/>
      <c r="P678" s="29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7.75" customHeight="1">
      <c r="A679" s="29"/>
      <c r="B679" s="29"/>
      <c r="C679" s="29"/>
      <c r="D679" s="29"/>
      <c r="E679" s="29"/>
      <c r="F679" s="30"/>
      <c r="G679" s="66"/>
      <c r="H679" s="130"/>
      <c r="I679" s="84"/>
      <c r="J679" s="17"/>
      <c r="K679" s="133"/>
      <c r="L679" s="135"/>
      <c r="M679" s="19"/>
      <c r="N679" s="131"/>
      <c r="O679" s="30"/>
      <c r="P679" s="29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7.75" customHeight="1">
      <c r="A680" s="29"/>
      <c r="B680" s="29"/>
      <c r="C680" s="29"/>
      <c r="D680" s="29"/>
      <c r="E680" s="29"/>
      <c r="F680" s="30"/>
      <c r="G680" s="66"/>
      <c r="H680" s="130"/>
      <c r="I680" s="84"/>
      <c r="J680" s="17"/>
      <c r="K680" s="133"/>
      <c r="L680" s="135"/>
      <c r="M680" s="19"/>
      <c r="N680" s="131"/>
      <c r="O680" s="30"/>
      <c r="P680" s="29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7.75" customHeight="1">
      <c r="A681" s="29"/>
      <c r="B681" s="29"/>
      <c r="C681" s="29"/>
      <c r="D681" s="29"/>
      <c r="E681" s="29"/>
      <c r="F681" s="30"/>
      <c r="G681" s="66"/>
      <c r="H681" s="130"/>
      <c r="I681" s="84"/>
      <c r="J681" s="17"/>
      <c r="K681" s="133"/>
      <c r="L681" s="135"/>
      <c r="M681" s="19"/>
      <c r="N681" s="131"/>
      <c r="O681" s="30"/>
      <c r="P681" s="29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7.75" customHeight="1">
      <c r="A682" s="29"/>
      <c r="B682" s="29"/>
      <c r="C682" s="29"/>
      <c r="D682" s="29"/>
      <c r="E682" s="29"/>
      <c r="F682" s="30"/>
      <c r="G682" s="66"/>
      <c r="H682" s="130"/>
      <c r="I682" s="84"/>
      <c r="J682" s="17"/>
      <c r="K682" s="133"/>
      <c r="L682" s="135"/>
      <c r="M682" s="19"/>
      <c r="N682" s="131"/>
      <c r="O682" s="30"/>
      <c r="P682" s="29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7.75" customHeight="1">
      <c r="A683" s="29"/>
      <c r="B683" s="29"/>
      <c r="C683" s="29"/>
      <c r="D683" s="29"/>
      <c r="E683" s="29"/>
      <c r="F683" s="30"/>
      <c r="G683" s="66"/>
      <c r="H683" s="130"/>
      <c r="I683" s="84"/>
      <c r="J683" s="17"/>
      <c r="K683" s="133"/>
      <c r="L683" s="135"/>
      <c r="M683" s="19"/>
      <c r="N683" s="131"/>
      <c r="O683" s="30"/>
      <c r="P683" s="29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7.75" customHeight="1">
      <c r="A684" s="29"/>
      <c r="B684" s="29"/>
      <c r="C684" s="29"/>
      <c r="D684" s="29"/>
      <c r="E684" s="29"/>
      <c r="F684" s="30"/>
      <c r="G684" s="66"/>
      <c r="H684" s="130"/>
      <c r="I684" s="84"/>
      <c r="J684" s="17"/>
      <c r="K684" s="133"/>
      <c r="L684" s="135"/>
      <c r="M684" s="19"/>
      <c r="N684" s="131"/>
      <c r="O684" s="30"/>
      <c r="P684" s="29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7.75" customHeight="1">
      <c r="A685" s="29"/>
      <c r="B685" s="29"/>
      <c r="C685" s="29"/>
      <c r="D685" s="29"/>
      <c r="E685" s="29"/>
      <c r="F685" s="30"/>
      <c r="G685" s="66"/>
      <c r="H685" s="130"/>
      <c r="I685" s="84"/>
      <c r="J685" s="17"/>
      <c r="K685" s="133"/>
      <c r="L685" s="135"/>
      <c r="M685" s="19"/>
      <c r="N685" s="131"/>
      <c r="O685" s="30"/>
      <c r="P685" s="29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7.75" customHeight="1">
      <c r="A686" s="29"/>
      <c r="B686" s="29"/>
      <c r="C686" s="29"/>
      <c r="D686" s="29"/>
      <c r="E686" s="29"/>
      <c r="F686" s="30"/>
      <c r="G686" s="66"/>
      <c r="H686" s="130"/>
      <c r="I686" s="84"/>
      <c r="J686" s="17"/>
      <c r="K686" s="133"/>
      <c r="L686" s="135"/>
      <c r="M686" s="19"/>
      <c r="N686" s="131"/>
      <c r="O686" s="30"/>
      <c r="P686" s="29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7.75" customHeight="1">
      <c r="A687" s="29"/>
      <c r="B687" s="29"/>
      <c r="C687" s="29"/>
      <c r="D687" s="29"/>
      <c r="E687" s="29"/>
      <c r="F687" s="30"/>
      <c r="G687" s="66"/>
      <c r="H687" s="130"/>
      <c r="I687" s="84"/>
      <c r="J687" s="17"/>
      <c r="K687" s="133"/>
      <c r="L687" s="135"/>
      <c r="M687" s="19"/>
      <c r="N687" s="131"/>
      <c r="O687" s="30"/>
      <c r="P687" s="29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7.75" customHeight="1">
      <c r="A688" s="29"/>
      <c r="B688" s="29"/>
      <c r="C688" s="29"/>
      <c r="D688" s="29"/>
      <c r="E688" s="29"/>
      <c r="F688" s="30"/>
      <c r="G688" s="66"/>
      <c r="H688" s="130"/>
      <c r="I688" s="84"/>
      <c r="J688" s="17"/>
      <c r="K688" s="133"/>
      <c r="L688" s="135"/>
      <c r="M688" s="19"/>
      <c r="N688" s="131"/>
      <c r="O688" s="30"/>
      <c r="P688" s="29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7.75" customHeight="1">
      <c r="A689" s="29"/>
      <c r="B689" s="29"/>
      <c r="C689" s="29"/>
      <c r="D689" s="29"/>
      <c r="E689" s="29"/>
      <c r="F689" s="30"/>
      <c r="G689" s="66"/>
      <c r="H689" s="130"/>
      <c r="I689" s="84"/>
      <c r="J689" s="17"/>
      <c r="K689" s="133"/>
      <c r="L689" s="135"/>
      <c r="M689" s="19"/>
      <c r="N689" s="131"/>
      <c r="O689" s="30"/>
      <c r="P689" s="29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7.75" customHeight="1">
      <c r="A690" s="29"/>
      <c r="B690" s="29"/>
      <c r="C690" s="29"/>
      <c r="D690" s="29"/>
      <c r="E690" s="29"/>
      <c r="F690" s="30"/>
      <c r="G690" s="66"/>
      <c r="H690" s="130"/>
      <c r="I690" s="84"/>
      <c r="J690" s="17"/>
      <c r="K690" s="133"/>
      <c r="L690" s="135"/>
      <c r="M690" s="19"/>
      <c r="N690" s="131"/>
      <c r="O690" s="30"/>
      <c r="P690" s="29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7.75" customHeight="1">
      <c r="A691" s="29"/>
      <c r="B691" s="29"/>
      <c r="C691" s="29"/>
      <c r="D691" s="29"/>
      <c r="E691" s="29"/>
      <c r="F691" s="30"/>
      <c r="G691" s="66"/>
      <c r="H691" s="130"/>
      <c r="I691" s="84"/>
      <c r="J691" s="17"/>
      <c r="K691" s="133"/>
      <c r="L691" s="135"/>
      <c r="M691" s="19"/>
      <c r="N691" s="131"/>
      <c r="O691" s="30"/>
      <c r="P691" s="29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7.75" customHeight="1">
      <c r="A692" s="29"/>
      <c r="B692" s="29"/>
      <c r="C692" s="29"/>
      <c r="D692" s="29"/>
      <c r="E692" s="29"/>
      <c r="F692" s="30"/>
      <c r="G692" s="66"/>
      <c r="H692" s="130"/>
      <c r="I692" s="84"/>
      <c r="J692" s="17"/>
      <c r="K692" s="133"/>
      <c r="L692" s="135"/>
      <c r="M692" s="19"/>
      <c r="N692" s="131"/>
      <c r="O692" s="30"/>
      <c r="P692" s="29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7.75" customHeight="1">
      <c r="A693" s="29"/>
      <c r="B693" s="29"/>
      <c r="C693" s="29"/>
      <c r="D693" s="29"/>
      <c r="E693" s="29"/>
      <c r="F693" s="30"/>
      <c r="G693" s="66"/>
      <c r="H693" s="130"/>
      <c r="I693" s="84"/>
      <c r="J693" s="17"/>
      <c r="K693" s="133"/>
      <c r="L693" s="135"/>
      <c r="M693" s="19"/>
      <c r="N693" s="131"/>
      <c r="O693" s="30"/>
      <c r="P693" s="29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7.75" customHeight="1">
      <c r="A694" s="29"/>
      <c r="B694" s="29"/>
      <c r="C694" s="29"/>
      <c r="D694" s="29"/>
      <c r="E694" s="29"/>
      <c r="F694" s="30"/>
      <c r="G694" s="66"/>
      <c r="H694" s="130"/>
      <c r="I694" s="84"/>
      <c r="J694" s="17"/>
      <c r="K694" s="133"/>
      <c r="L694" s="135"/>
      <c r="M694" s="19"/>
      <c r="N694" s="131"/>
      <c r="O694" s="30"/>
      <c r="P694" s="29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7.75" customHeight="1">
      <c r="A695" s="29"/>
      <c r="B695" s="29"/>
      <c r="C695" s="29"/>
      <c r="D695" s="29"/>
      <c r="E695" s="29"/>
      <c r="F695" s="30"/>
      <c r="G695" s="66"/>
      <c r="H695" s="130"/>
      <c r="I695" s="84"/>
      <c r="J695" s="17"/>
      <c r="K695" s="133"/>
      <c r="L695" s="135"/>
      <c r="M695" s="19"/>
      <c r="N695" s="131"/>
      <c r="O695" s="30"/>
      <c r="P695" s="29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7.75" customHeight="1">
      <c r="A696" s="29"/>
      <c r="B696" s="29"/>
      <c r="C696" s="29"/>
      <c r="D696" s="29"/>
      <c r="E696" s="29"/>
      <c r="F696" s="30"/>
      <c r="G696" s="66"/>
      <c r="H696" s="130"/>
      <c r="I696" s="84"/>
      <c r="J696" s="17"/>
      <c r="K696" s="133"/>
      <c r="L696" s="135"/>
      <c r="M696" s="19"/>
      <c r="N696" s="131"/>
      <c r="O696" s="30"/>
      <c r="P696" s="29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7.75" customHeight="1">
      <c r="A697" s="29"/>
      <c r="B697" s="29"/>
      <c r="C697" s="29"/>
      <c r="D697" s="29"/>
      <c r="E697" s="29"/>
      <c r="F697" s="30"/>
      <c r="G697" s="66"/>
      <c r="H697" s="130"/>
      <c r="I697" s="84"/>
      <c r="J697" s="17"/>
      <c r="K697" s="133"/>
      <c r="L697" s="135"/>
      <c r="M697" s="19"/>
      <c r="N697" s="131"/>
      <c r="O697" s="30"/>
      <c r="P697" s="29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7.75" customHeight="1">
      <c r="A698" s="29"/>
      <c r="B698" s="29"/>
      <c r="C698" s="29"/>
      <c r="D698" s="29"/>
      <c r="E698" s="29"/>
      <c r="F698" s="30"/>
      <c r="G698" s="66"/>
      <c r="H698" s="130"/>
      <c r="I698" s="84"/>
      <c r="J698" s="17"/>
      <c r="K698" s="133"/>
      <c r="L698" s="135"/>
      <c r="M698" s="19"/>
      <c r="N698" s="131"/>
      <c r="O698" s="30"/>
      <c r="P698" s="29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7.75" customHeight="1">
      <c r="A699" s="29"/>
      <c r="B699" s="29"/>
      <c r="C699" s="29"/>
      <c r="D699" s="29"/>
      <c r="E699" s="29"/>
      <c r="F699" s="30"/>
      <c r="G699" s="66"/>
      <c r="H699" s="130"/>
      <c r="I699" s="84"/>
      <c r="J699" s="17"/>
      <c r="K699" s="133"/>
      <c r="L699" s="135"/>
      <c r="M699" s="19"/>
      <c r="N699" s="131"/>
      <c r="O699" s="30"/>
      <c r="P699" s="29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7.75" customHeight="1">
      <c r="A700" s="29"/>
      <c r="B700" s="29"/>
      <c r="C700" s="29"/>
      <c r="D700" s="29"/>
      <c r="E700" s="29"/>
      <c r="F700" s="30"/>
      <c r="G700" s="66"/>
      <c r="H700" s="130"/>
      <c r="I700" s="84"/>
      <c r="J700" s="17"/>
      <c r="K700" s="133"/>
      <c r="L700" s="135"/>
      <c r="M700" s="19"/>
      <c r="N700" s="131"/>
      <c r="O700" s="30"/>
      <c r="P700" s="29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7.75" customHeight="1">
      <c r="A701" s="29"/>
      <c r="B701" s="29"/>
      <c r="C701" s="29"/>
      <c r="D701" s="29"/>
      <c r="E701" s="29"/>
      <c r="F701" s="30"/>
      <c r="G701" s="66"/>
      <c r="H701" s="130"/>
      <c r="I701" s="84"/>
      <c r="J701" s="17"/>
      <c r="K701" s="133"/>
      <c r="L701" s="135"/>
      <c r="M701" s="19"/>
      <c r="N701" s="131"/>
      <c r="O701" s="30"/>
      <c r="P701" s="29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7.75" customHeight="1">
      <c r="A702" s="29"/>
      <c r="B702" s="29"/>
      <c r="C702" s="29"/>
      <c r="D702" s="29"/>
      <c r="E702" s="29"/>
      <c r="F702" s="30"/>
      <c r="G702" s="66"/>
      <c r="H702" s="130"/>
      <c r="I702" s="84"/>
      <c r="J702" s="17"/>
      <c r="K702" s="133"/>
      <c r="L702" s="135"/>
      <c r="M702" s="19"/>
      <c r="N702" s="131"/>
      <c r="O702" s="30"/>
      <c r="P702" s="29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7.75" customHeight="1">
      <c r="A703" s="29"/>
      <c r="B703" s="29"/>
      <c r="C703" s="29"/>
      <c r="D703" s="29"/>
      <c r="E703" s="29"/>
      <c r="F703" s="30"/>
      <c r="G703" s="66"/>
      <c r="H703" s="130"/>
      <c r="I703" s="84"/>
      <c r="J703" s="17"/>
      <c r="K703" s="133"/>
      <c r="L703" s="135"/>
      <c r="M703" s="19"/>
      <c r="N703" s="131"/>
      <c r="O703" s="30"/>
      <c r="P703" s="29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7.75" customHeight="1">
      <c r="A704" s="29"/>
      <c r="B704" s="29"/>
      <c r="C704" s="29"/>
      <c r="D704" s="29"/>
      <c r="E704" s="29"/>
      <c r="F704" s="30"/>
      <c r="G704" s="66"/>
      <c r="H704" s="130"/>
      <c r="I704" s="84"/>
      <c r="J704" s="17"/>
      <c r="K704" s="133"/>
      <c r="L704" s="135"/>
      <c r="M704" s="19"/>
      <c r="N704" s="131"/>
      <c r="O704" s="30"/>
      <c r="P704" s="29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7.75" customHeight="1">
      <c r="A705" s="29"/>
      <c r="B705" s="29"/>
      <c r="C705" s="29"/>
      <c r="D705" s="29"/>
      <c r="E705" s="29"/>
      <c r="F705" s="30"/>
      <c r="G705" s="66"/>
      <c r="H705" s="130"/>
      <c r="I705" s="84"/>
      <c r="J705" s="17"/>
      <c r="K705" s="133"/>
      <c r="L705" s="135"/>
      <c r="M705" s="19"/>
      <c r="N705" s="131"/>
      <c r="O705" s="30"/>
      <c r="P705" s="29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7.75" customHeight="1">
      <c r="A706" s="29"/>
      <c r="B706" s="29"/>
      <c r="C706" s="29"/>
      <c r="D706" s="29"/>
      <c r="E706" s="29"/>
      <c r="F706" s="30"/>
      <c r="G706" s="66"/>
      <c r="H706" s="130"/>
      <c r="I706" s="84"/>
      <c r="J706" s="17"/>
      <c r="K706" s="133"/>
      <c r="L706" s="135"/>
      <c r="M706" s="19"/>
      <c r="N706" s="131"/>
      <c r="O706" s="30"/>
      <c r="P706" s="29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7.75" customHeight="1">
      <c r="A707" s="29"/>
      <c r="B707" s="29"/>
      <c r="C707" s="29"/>
      <c r="D707" s="29"/>
      <c r="E707" s="29"/>
      <c r="F707" s="30"/>
      <c r="G707" s="66"/>
      <c r="H707" s="130"/>
      <c r="I707" s="84"/>
      <c r="J707" s="17"/>
      <c r="K707" s="133"/>
      <c r="L707" s="135"/>
      <c r="M707" s="19"/>
      <c r="N707" s="131"/>
      <c r="O707" s="30"/>
      <c r="P707" s="29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7.75" customHeight="1">
      <c r="A708" s="29"/>
      <c r="B708" s="29"/>
      <c r="C708" s="29"/>
      <c r="D708" s="29"/>
      <c r="E708" s="29"/>
      <c r="F708" s="30"/>
      <c r="G708" s="66"/>
      <c r="H708" s="130"/>
      <c r="I708" s="84"/>
      <c r="J708" s="17"/>
      <c r="K708" s="133"/>
      <c r="L708" s="135"/>
      <c r="M708" s="19"/>
      <c r="N708" s="131"/>
      <c r="O708" s="30"/>
      <c r="P708" s="29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7.75" customHeight="1">
      <c r="A709" s="29"/>
      <c r="B709" s="29"/>
      <c r="C709" s="29"/>
      <c r="D709" s="29"/>
      <c r="E709" s="29"/>
      <c r="F709" s="30"/>
      <c r="G709" s="66"/>
      <c r="H709" s="130"/>
      <c r="I709" s="84"/>
      <c r="J709" s="17"/>
      <c r="K709" s="133"/>
      <c r="L709" s="135"/>
      <c r="M709" s="19"/>
      <c r="N709" s="131"/>
      <c r="O709" s="30"/>
      <c r="P709" s="29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7.75" customHeight="1">
      <c r="A710" s="29"/>
      <c r="B710" s="29"/>
      <c r="C710" s="29"/>
      <c r="D710" s="29"/>
      <c r="E710" s="29"/>
      <c r="F710" s="30"/>
      <c r="G710" s="66"/>
      <c r="H710" s="130"/>
      <c r="I710" s="84"/>
      <c r="J710" s="17"/>
      <c r="K710" s="133"/>
      <c r="L710" s="135"/>
      <c r="M710" s="19"/>
      <c r="N710" s="131"/>
      <c r="O710" s="30"/>
      <c r="P710" s="29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7.75" customHeight="1">
      <c r="A711" s="29"/>
      <c r="B711" s="29"/>
      <c r="C711" s="29"/>
      <c r="D711" s="29"/>
      <c r="E711" s="29"/>
      <c r="F711" s="30"/>
      <c r="G711" s="66"/>
      <c r="H711" s="130"/>
      <c r="I711" s="84"/>
      <c r="J711" s="17"/>
      <c r="K711" s="133"/>
      <c r="L711" s="135"/>
      <c r="M711" s="19"/>
      <c r="N711" s="131"/>
      <c r="O711" s="30"/>
      <c r="P711" s="29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7.75" customHeight="1">
      <c r="A712" s="29"/>
      <c r="B712" s="29"/>
      <c r="C712" s="29"/>
      <c r="D712" s="29"/>
      <c r="E712" s="29"/>
      <c r="F712" s="30"/>
      <c r="G712" s="66"/>
      <c r="H712" s="130"/>
      <c r="I712" s="84"/>
      <c r="J712" s="17"/>
      <c r="K712" s="133"/>
      <c r="L712" s="135"/>
      <c r="M712" s="19"/>
      <c r="N712" s="131"/>
      <c r="O712" s="30"/>
      <c r="P712" s="29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7.75" customHeight="1">
      <c r="A713" s="29"/>
      <c r="B713" s="29"/>
      <c r="C713" s="29"/>
      <c r="D713" s="29"/>
      <c r="E713" s="29"/>
      <c r="F713" s="30"/>
      <c r="G713" s="66"/>
      <c r="H713" s="130"/>
      <c r="I713" s="84"/>
      <c r="J713" s="17"/>
      <c r="K713" s="133"/>
      <c r="L713" s="135"/>
      <c r="M713" s="19"/>
      <c r="N713" s="131"/>
      <c r="O713" s="30"/>
      <c r="P713" s="29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7.75" customHeight="1">
      <c r="A714" s="29"/>
      <c r="B714" s="29"/>
      <c r="C714" s="29"/>
      <c r="D714" s="29"/>
      <c r="E714" s="29"/>
      <c r="F714" s="30"/>
      <c r="G714" s="66"/>
      <c r="H714" s="130"/>
      <c r="I714" s="84"/>
      <c r="J714" s="17"/>
      <c r="K714" s="133"/>
      <c r="L714" s="135"/>
      <c r="M714" s="19"/>
      <c r="N714" s="131"/>
      <c r="O714" s="30"/>
      <c r="P714" s="29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7.75" customHeight="1">
      <c r="A715" s="29"/>
      <c r="B715" s="29"/>
      <c r="C715" s="29"/>
      <c r="D715" s="29"/>
      <c r="E715" s="29"/>
      <c r="F715" s="30"/>
      <c r="G715" s="66"/>
      <c r="H715" s="130"/>
      <c r="I715" s="84"/>
      <c r="J715" s="17"/>
      <c r="K715" s="133"/>
      <c r="L715" s="135"/>
      <c r="M715" s="19"/>
      <c r="N715" s="131"/>
      <c r="O715" s="30"/>
      <c r="P715" s="29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7.75" customHeight="1">
      <c r="A716" s="29"/>
      <c r="B716" s="29"/>
      <c r="C716" s="29"/>
      <c r="D716" s="29"/>
      <c r="E716" s="29"/>
      <c r="F716" s="30"/>
      <c r="G716" s="66"/>
      <c r="H716" s="130"/>
      <c r="I716" s="84"/>
      <c r="J716" s="17"/>
      <c r="K716" s="133"/>
      <c r="L716" s="135"/>
      <c r="M716" s="19"/>
      <c r="N716" s="131"/>
      <c r="O716" s="30"/>
      <c r="P716" s="29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7.75" customHeight="1">
      <c r="A717" s="29"/>
      <c r="B717" s="29"/>
      <c r="C717" s="29"/>
      <c r="D717" s="29"/>
      <c r="E717" s="29"/>
      <c r="F717" s="30"/>
      <c r="G717" s="66"/>
      <c r="H717" s="130"/>
      <c r="I717" s="84"/>
      <c r="J717" s="17"/>
      <c r="K717" s="133"/>
      <c r="L717" s="135"/>
      <c r="M717" s="19"/>
      <c r="N717" s="131"/>
      <c r="O717" s="30"/>
      <c r="P717" s="29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7.75" customHeight="1">
      <c r="A718" s="29"/>
      <c r="B718" s="29"/>
      <c r="C718" s="29"/>
      <c r="D718" s="29"/>
      <c r="E718" s="29"/>
      <c r="F718" s="30"/>
      <c r="G718" s="66"/>
      <c r="H718" s="130"/>
      <c r="I718" s="84"/>
      <c r="J718" s="17"/>
      <c r="K718" s="133"/>
      <c r="L718" s="135"/>
      <c r="M718" s="19"/>
      <c r="N718" s="131"/>
      <c r="O718" s="30"/>
      <c r="P718" s="29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7.75" customHeight="1">
      <c r="A719" s="29"/>
      <c r="B719" s="29"/>
      <c r="C719" s="29"/>
      <c r="D719" s="29"/>
      <c r="E719" s="29"/>
      <c r="F719" s="30"/>
      <c r="G719" s="66"/>
      <c r="H719" s="130"/>
      <c r="I719" s="84"/>
      <c r="J719" s="17"/>
      <c r="K719" s="133"/>
      <c r="L719" s="135"/>
      <c r="M719" s="19"/>
      <c r="N719" s="131"/>
      <c r="O719" s="30"/>
      <c r="P719" s="29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7.75" customHeight="1">
      <c r="A720" s="29"/>
      <c r="B720" s="29"/>
      <c r="C720" s="29"/>
      <c r="D720" s="29"/>
      <c r="E720" s="29"/>
      <c r="F720" s="30"/>
      <c r="G720" s="66"/>
      <c r="H720" s="130"/>
      <c r="I720" s="84"/>
      <c r="J720" s="17"/>
      <c r="K720" s="133"/>
      <c r="L720" s="135"/>
      <c r="M720" s="19"/>
      <c r="N720" s="131"/>
      <c r="O720" s="30"/>
      <c r="P720" s="29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7.75" customHeight="1">
      <c r="A721" s="29"/>
      <c r="B721" s="29"/>
      <c r="C721" s="29"/>
      <c r="D721" s="29"/>
      <c r="E721" s="29"/>
      <c r="F721" s="30"/>
      <c r="G721" s="66"/>
      <c r="H721" s="130"/>
      <c r="I721" s="84"/>
      <c r="J721" s="17"/>
      <c r="K721" s="133"/>
      <c r="L721" s="135"/>
      <c r="M721" s="19"/>
      <c r="N721" s="131"/>
      <c r="O721" s="30"/>
      <c r="P721" s="29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7.75" customHeight="1">
      <c r="A722" s="29"/>
      <c r="B722" s="29"/>
      <c r="C722" s="29"/>
      <c r="D722" s="29"/>
      <c r="E722" s="29"/>
      <c r="F722" s="30"/>
      <c r="G722" s="66"/>
      <c r="H722" s="130"/>
      <c r="I722" s="84"/>
      <c r="J722" s="17"/>
      <c r="K722" s="133"/>
      <c r="L722" s="135"/>
      <c r="M722" s="19"/>
      <c r="N722" s="131"/>
      <c r="O722" s="30"/>
      <c r="P722" s="29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7.75" customHeight="1">
      <c r="A723" s="29"/>
      <c r="B723" s="29"/>
      <c r="C723" s="29"/>
      <c r="D723" s="29"/>
      <c r="E723" s="29"/>
      <c r="F723" s="30"/>
      <c r="G723" s="66"/>
      <c r="H723" s="130"/>
      <c r="I723" s="84"/>
      <c r="J723" s="17"/>
      <c r="K723" s="133"/>
      <c r="L723" s="135"/>
      <c r="M723" s="19"/>
      <c r="N723" s="131"/>
      <c r="O723" s="30"/>
      <c r="P723" s="29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7.75" customHeight="1">
      <c r="A724" s="29"/>
      <c r="B724" s="29"/>
      <c r="C724" s="29"/>
      <c r="D724" s="29"/>
      <c r="E724" s="29"/>
      <c r="F724" s="30"/>
      <c r="G724" s="66"/>
      <c r="H724" s="130"/>
      <c r="I724" s="84"/>
      <c r="J724" s="17"/>
      <c r="K724" s="133"/>
      <c r="L724" s="135"/>
      <c r="M724" s="19"/>
      <c r="N724" s="131"/>
      <c r="O724" s="30"/>
      <c r="P724" s="29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7.75" customHeight="1">
      <c r="A725" s="29"/>
      <c r="B725" s="29"/>
      <c r="C725" s="29"/>
      <c r="D725" s="29"/>
      <c r="E725" s="29"/>
      <c r="F725" s="30"/>
      <c r="G725" s="66"/>
      <c r="H725" s="130"/>
      <c r="I725" s="84"/>
      <c r="J725" s="17"/>
      <c r="K725" s="133"/>
      <c r="L725" s="135"/>
      <c r="M725" s="19"/>
      <c r="N725" s="131"/>
      <c r="O725" s="30"/>
      <c r="P725" s="29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7.75" customHeight="1">
      <c r="A726" s="29"/>
      <c r="B726" s="29"/>
      <c r="C726" s="29"/>
      <c r="D726" s="29"/>
      <c r="E726" s="29"/>
      <c r="F726" s="30"/>
      <c r="G726" s="66"/>
      <c r="H726" s="130"/>
      <c r="I726" s="84"/>
      <c r="J726" s="17"/>
      <c r="K726" s="133"/>
      <c r="L726" s="135"/>
      <c r="M726" s="19"/>
      <c r="N726" s="131"/>
      <c r="O726" s="30"/>
      <c r="P726" s="29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7.75" customHeight="1">
      <c r="A727" s="29"/>
      <c r="B727" s="29"/>
      <c r="C727" s="29"/>
      <c r="D727" s="29"/>
      <c r="E727" s="29"/>
      <c r="F727" s="30"/>
      <c r="G727" s="66"/>
      <c r="H727" s="130"/>
      <c r="I727" s="84"/>
      <c r="J727" s="17"/>
      <c r="K727" s="133"/>
      <c r="L727" s="135"/>
      <c r="M727" s="19"/>
      <c r="N727" s="131"/>
      <c r="O727" s="30"/>
      <c r="P727" s="29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7.75" customHeight="1">
      <c r="A728" s="29"/>
      <c r="B728" s="29"/>
      <c r="C728" s="29"/>
      <c r="D728" s="29"/>
      <c r="E728" s="29"/>
      <c r="F728" s="30"/>
      <c r="G728" s="66"/>
      <c r="H728" s="130"/>
      <c r="I728" s="84"/>
      <c r="J728" s="17"/>
      <c r="K728" s="133"/>
      <c r="L728" s="135"/>
      <c r="M728" s="19"/>
      <c r="N728" s="131"/>
      <c r="O728" s="30"/>
      <c r="P728" s="29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7.75" customHeight="1">
      <c r="A729" s="29"/>
      <c r="B729" s="29"/>
      <c r="C729" s="29"/>
      <c r="D729" s="29"/>
      <c r="E729" s="29"/>
      <c r="F729" s="30"/>
      <c r="G729" s="66"/>
      <c r="H729" s="130"/>
      <c r="I729" s="84"/>
      <c r="J729" s="17"/>
      <c r="K729" s="133"/>
      <c r="L729" s="135"/>
      <c r="M729" s="19"/>
      <c r="N729" s="131"/>
      <c r="O729" s="30"/>
      <c r="P729" s="29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7.75" customHeight="1">
      <c r="A730" s="29"/>
      <c r="B730" s="29"/>
      <c r="C730" s="29"/>
      <c r="D730" s="29"/>
      <c r="E730" s="29"/>
      <c r="F730" s="30"/>
      <c r="G730" s="66"/>
      <c r="H730" s="130"/>
      <c r="I730" s="84"/>
      <c r="J730" s="17"/>
      <c r="K730" s="133"/>
      <c r="L730" s="135"/>
      <c r="M730" s="19"/>
      <c r="N730" s="131"/>
      <c r="O730" s="30"/>
      <c r="P730" s="29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7.75" customHeight="1">
      <c r="A731" s="29"/>
      <c r="B731" s="29"/>
      <c r="C731" s="29"/>
      <c r="D731" s="29"/>
      <c r="E731" s="29"/>
      <c r="F731" s="30"/>
      <c r="G731" s="66"/>
      <c r="H731" s="130"/>
      <c r="I731" s="84"/>
      <c r="J731" s="17"/>
      <c r="K731" s="133"/>
      <c r="L731" s="135"/>
      <c r="M731" s="19"/>
      <c r="N731" s="131"/>
      <c r="O731" s="30"/>
      <c r="P731" s="29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7.75" customHeight="1">
      <c r="A732" s="29"/>
      <c r="B732" s="29"/>
      <c r="C732" s="29"/>
      <c r="D732" s="29"/>
      <c r="E732" s="29"/>
      <c r="F732" s="30"/>
      <c r="G732" s="66"/>
      <c r="H732" s="130"/>
      <c r="I732" s="84"/>
      <c r="J732" s="17"/>
      <c r="K732" s="133"/>
      <c r="L732" s="135"/>
      <c r="M732" s="19"/>
      <c r="N732" s="131"/>
      <c r="O732" s="30"/>
      <c r="P732" s="29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7.75" customHeight="1">
      <c r="A733" s="29"/>
      <c r="B733" s="29"/>
      <c r="C733" s="29"/>
      <c r="D733" s="29"/>
      <c r="E733" s="29"/>
      <c r="F733" s="30"/>
      <c r="G733" s="66"/>
      <c r="H733" s="130"/>
      <c r="I733" s="84"/>
      <c r="J733" s="17"/>
      <c r="K733" s="133"/>
      <c r="L733" s="135"/>
      <c r="M733" s="19"/>
      <c r="N733" s="131"/>
      <c r="O733" s="30"/>
      <c r="P733" s="29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7.75" customHeight="1">
      <c r="A734" s="29"/>
      <c r="B734" s="29"/>
      <c r="C734" s="29"/>
      <c r="D734" s="29"/>
      <c r="E734" s="29"/>
      <c r="F734" s="30"/>
      <c r="G734" s="66"/>
      <c r="H734" s="130"/>
      <c r="I734" s="84"/>
      <c r="J734" s="17"/>
      <c r="K734" s="133"/>
      <c r="L734" s="135"/>
      <c r="M734" s="19"/>
      <c r="N734" s="131"/>
      <c r="O734" s="30"/>
      <c r="P734" s="29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7.75" customHeight="1">
      <c r="A735" s="29"/>
      <c r="B735" s="29"/>
      <c r="C735" s="29"/>
      <c r="D735" s="29"/>
      <c r="E735" s="29"/>
      <c r="F735" s="30"/>
      <c r="G735" s="66"/>
      <c r="H735" s="130"/>
      <c r="I735" s="84"/>
      <c r="J735" s="17"/>
      <c r="K735" s="133"/>
      <c r="L735" s="135"/>
      <c r="M735" s="19"/>
      <c r="N735" s="131"/>
      <c r="O735" s="30"/>
      <c r="P735" s="29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7.75" customHeight="1">
      <c r="A736" s="29"/>
      <c r="B736" s="29"/>
      <c r="C736" s="29"/>
      <c r="D736" s="29"/>
      <c r="E736" s="29"/>
      <c r="F736" s="30"/>
      <c r="G736" s="66"/>
      <c r="H736" s="130"/>
      <c r="I736" s="84"/>
      <c r="J736" s="17"/>
      <c r="K736" s="133"/>
      <c r="L736" s="135"/>
      <c r="M736" s="19"/>
      <c r="N736" s="131"/>
      <c r="O736" s="30"/>
      <c r="P736" s="29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7.75" customHeight="1">
      <c r="A737" s="29"/>
      <c r="B737" s="29"/>
      <c r="C737" s="29"/>
      <c r="D737" s="29"/>
      <c r="E737" s="29"/>
      <c r="F737" s="30"/>
      <c r="G737" s="66"/>
      <c r="H737" s="130"/>
      <c r="I737" s="84"/>
      <c r="J737" s="17"/>
      <c r="K737" s="133"/>
      <c r="L737" s="135"/>
      <c r="M737" s="19"/>
      <c r="N737" s="131"/>
      <c r="O737" s="30"/>
      <c r="P737" s="29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7.75" customHeight="1">
      <c r="A738" s="29"/>
      <c r="B738" s="29"/>
      <c r="C738" s="29"/>
      <c r="D738" s="29"/>
      <c r="E738" s="29"/>
      <c r="F738" s="30"/>
      <c r="G738" s="66"/>
      <c r="H738" s="130"/>
      <c r="I738" s="84"/>
      <c r="J738" s="17"/>
      <c r="K738" s="133"/>
      <c r="L738" s="135"/>
      <c r="M738" s="19"/>
      <c r="N738" s="131"/>
      <c r="O738" s="30"/>
      <c r="P738" s="29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7.75" customHeight="1">
      <c r="A739" s="29"/>
      <c r="B739" s="29"/>
      <c r="C739" s="29"/>
      <c r="D739" s="29"/>
      <c r="E739" s="29"/>
      <c r="F739" s="30"/>
      <c r="G739" s="66"/>
      <c r="H739" s="130"/>
      <c r="I739" s="84"/>
      <c r="J739" s="17"/>
      <c r="K739" s="133"/>
      <c r="L739" s="135"/>
      <c r="M739" s="19"/>
      <c r="N739" s="131"/>
      <c r="O739" s="30"/>
      <c r="P739" s="29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7.75" customHeight="1">
      <c r="A740" s="29"/>
      <c r="B740" s="29"/>
      <c r="C740" s="29"/>
      <c r="D740" s="29"/>
      <c r="E740" s="29"/>
      <c r="F740" s="30"/>
      <c r="G740" s="66"/>
      <c r="H740" s="130"/>
      <c r="I740" s="84"/>
      <c r="J740" s="17"/>
      <c r="K740" s="133"/>
      <c r="L740" s="135"/>
      <c r="M740" s="19"/>
      <c r="N740" s="131"/>
      <c r="O740" s="30"/>
      <c r="P740" s="29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7.75" customHeight="1">
      <c r="A741" s="29"/>
      <c r="B741" s="29"/>
      <c r="C741" s="29"/>
      <c r="D741" s="29"/>
      <c r="E741" s="29"/>
      <c r="F741" s="30"/>
      <c r="G741" s="66"/>
      <c r="H741" s="130"/>
      <c r="I741" s="84"/>
      <c r="J741" s="17"/>
      <c r="K741" s="133"/>
      <c r="L741" s="135"/>
      <c r="M741" s="19"/>
      <c r="N741" s="131"/>
      <c r="O741" s="30"/>
      <c r="P741" s="29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7.75" customHeight="1">
      <c r="A742" s="29"/>
      <c r="B742" s="29"/>
      <c r="C742" s="29"/>
      <c r="D742" s="29"/>
      <c r="E742" s="29"/>
      <c r="F742" s="30"/>
      <c r="G742" s="66"/>
      <c r="H742" s="130"/>
      <c r="I742" s="84"/>
      <c r="J742" s="17"/>
      <c r="K742" s="133"/>
      <c r="L742" s="135"/>
      <c r="M742" s="19"/>
      <c r="N742" s="131"/>
      <c r="O742" s="30"/>
      <c r="P742" s="29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7.75" customHeight="1">
      <c r="A743" s="29"/>
      <c r="B743" s="29"/>
      <c r="C743" s="29"/>
      <c r="D743" s="29"/>
      <c r="E743" s="29"/>
      <c r="F743" s="30"/>
      <c r="G743" s="66"/>
      <c r="H743" s="130"/>
      <c r="I743" s="84"/>
      <c r="J743" s="17"/>
      <c r="K743" s="133"/>
      <c r="L743" s="135"/>
      <c r="M743" s="19"/>
      <c r="N743" s="131"/>
      <c r="O743" s="30"/>
      <c r="P743" s="29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7.75" customHeight="1">
      <c r="A744" s="29"/>
      <c r="B744" s="29"/>
      <c r="C744" s="29"/>
      <c r="D744" s="29"/>
      <c r="E744" s="29"/>
      <c r="F744" s="30"/>
      <c r="G744" s="66"/>
      <c r="H744" s="130"/>
      <c r="I744" s="84"/>
      <c r="J744" s="17"/>
      <c r="K744" s="133"/>
      <c r="L744" s="135"/>
      <c r="M744" s="19"/>
      <c r="N744" s="131"/>
      <c r="O744" s="30"/>
      <c r="P744" s="29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7.75" customHeight="1">
      <c r="A745" s="29"/>
      <c r="B745" s="29"/>
      <c r="C745" s="29"/>
      <c r="D745" s="29"/>
      <c r="E745" s="29"/>
      <c r="F745" s="30"/>
      <c r="G745" s="66"/>
      <c r="H745" s="130"/>
      <c r="I745" s="84"/>
      <c r="J745" s="17"/>
      <c r="K745" s="133"/>
      <c r="L745" s="135"/>
      <c r="M745" s="19"/>
      <c r="N745" s="131"/>
      <c r="O745" s="30"/>
      <c r="P745" s="29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7.75" customHeight="1">
      <c r="A746" s="29"/>
      <c r="B746" s="29"/>
      <c r="C746" s="29"/>
      <c r="D746" s="29"/>
      <c r="E746" s="29"/>
      <c r="F746" s="30"/>
      <c r="G746" s="66"/>
      <c r="H746" s="130"/>
      <c r="I746" s="84"/>
      <c r="J746" s="17"/>
      <c r="K746" s="133"/>
      <c r="L746" s="135"/>
      <c r="M746" s="19"/>
      <c r="N746" s="131"/>
      <c r="O746" s="30"/>
      <c r="P746" s="29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7.75" customHeight="1">
      <c r="A747" s="29"/>
      <c r="B747" s="29"/>
      <c r="C747" s="29"/>
      <c r="D747" s="29"/>
      <c r="E747" s="29"/>
      <c r="F747" s="30"/>
      <c r="G747" s="66"/>
      <c r="H747" s="130"/>
      <c r="I747" s="84"/>
      <c r="J747" s="17"/>
      <c r="K747" s="133"/>
      <c r="L747" s="135"/>
      <c r="M747" s="19"/>
      <c r="N747" s="131"/>
      <c r="O747" s="30"/>
      <c r="P747" s="29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7.75" customHeight="1">
      <c r="A748" s="29"/>
      <c r="B748" s="29"/>
      <c r="C748" s="29"/>
      <c r="D748" s="29"/>
      <c r="E748" s="29"/>
      <c r="F748" s="30"/>
      <c r="G748" s="66"/>
      <c r="H748" s="130"/>
      <c r="I748" s="84"/>
      <c r="J748" s="17"/>
      <c r="K748" s="133"/>
      <c r="L748" s="135"/>
      <c r="M748" s="19"/>
      <c r="N748" s="131"/>
      <c r="O748" s="30"/>
      <c r="P748" s="29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7.75" customHeight="1">
      <c r="A749" s="29"/>
      <c r="B749" s="29"/>
      <c r="C749" s="29"/>
      <c r="D749" s="29"/>
      <c r="E749" s="29"/>
      <c r="F749" s="30"/>
      <c r="G749" s="66"/>
      <c r="H749" s="130"/>
      <c r="I749" s="84"/>
      <c r="J749" s="17"/>
      <c r="K749" s="133"/>
      <c r="L749" s="135"/>
      <c r="M749" s="19"/>
      <c r="N749" s="131"/>
      <c r="O749" s="30"/>
      <c r="P749" s="29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7.75" customHeight="1">
      <c r="A750" s="29"/>
      <c r="B750" s="29"/>
      <c r="C750" s="29"/>
      <c r="D750" s="29"/>
      <c r="E750" s="29"/>
      <c r="F750" s="30"/>
      <c r="G750" s="66"/>
      <c r="H750" s="130"/>
      <c r="I750" s="84"/>
      <c r="J750" s="17"/>
      <c r="K750" s="133"/>
      <c r="L750" s="135"/>
      <c r="M750" s="19"/>
      <c r="N750" s="131"/>
      <c r="O750" s="30"/>
      <c r="P750" s="29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7.75" customHeight="1">
      <c r="A751" s="29"/>
      <c r="B751" s="29"/>
      <c r="C751" s="29"/>
      <c r="D751" s="29"/>
      <c r="E751" s="29"/>
      <c r="F751" s="30"/>
      <c r="G751" s="66"/>
      <c r="H751" s="130"/>
      <c r="I751" s="84"/>
      <c r="J751" s="17"/>
      <c r="K751" s="133"/>
      <c r="L751" s="135"/>
      <c r="M751" s="19"/>
      <c r="N751" s="131"/>
      <c r="O751" s="30"/>
      <c r="P751" s="29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7.75" customHeight="1">
      <c r="A752" s="29"/>
      <c r="B752" s="29"/>
      <c r="C752" s="29"/>
      <c r="D752" s="29"/>
      <c r="E752" s="29"/>
      <c r="F752" s="30"/>
      <c r="G752" s="66"/>
      <c r="H752" s="130"/>
      <c r="I752" s="84"/>
      <c r="J752" s="17"/>
      <c r="K752" s="133"/>
      <c r="L752" s="135"/>
      <c r="M752" s="19"/>
      <c r="N752" s="131"/>
      <c r="O752" s="30"/>
      <c r="P752" s="29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7.75" customHeight="1">
      <c r="A753" s="29"/>
      <c r="B753" s="29"/>
      <c r="C753" s="29"/>
      <c r="D753" s="29"/>
      <c r="E753" s="29"/>
      <c r="F753" s="30"/>
      <c r="G753" s="66"/>
      <c r="H753" s="130"/>
      <c r="I753" s="84"/>
      <c r="J753" s="17"/>
      <c r="K753" s="133"/>
      <c r="L753" s="135"/>
      <c r="M753" s="19"/>
      <c r="N753" s="131"/>
      <c r="O753" s="30"/>
      <c r="P753" s="29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7.75" customHeight="1">
      <c r="A754" s="29"/>
      <c r="B754" s="29"/>
      <c r="C754" s="29"/>
      <c r="D754" s="29"/>
      <c r="E754" s="29"/>
      <c r="F754" s="30"/>
      <c r="G754" s="66"/>
      <c r="H754" s="130"/>
      <c r="I754" s="84"/>
      <c r="J754" s="17"/>
      <c r="K754" s="133"/>
      <c r="L754" s="135"/>
      <c r="M754" s="19"/>
      <c r="N754" s="131"/>
      <c r="O754" s="30"/>
      <c r="P754" s="29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7.75" customHeight="1">
      <c r="A755" s="29"/>
      <c r="B755" s="29"/>
      <c r="C755" s="29"/>
      <c r="D755" s="29"/>
      <c r="E755" s="29"/>
      <c r="F755" s="30"/>
      <c r="G755" s="66"/>
      <c r="H755" s="130"/>
      <c r="I755" s="84"/>
      <c r="J755" s="17"/>
      <c r="K755" s="133"/>
      <c r="L755" s="135"/>
      <c r="M755" s="19"/>
      <c r="N755" s="131"/>
      <c r="O755" s="30"/>
      <c r="P755" s="29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7.75" customHeight="1">
      <c r="A756" s="29"/>
      <c r="B756" s="29"/>
      <c r="C756" s="29"/>
      <c r="D756" s="29"/>
      <c r="E756" s="29"/>
      <c r="F756" s="30"/>
      <c r="G756" s="66"/>
      <c r="H756" s="130"/>
      <c r="I756" s="84"/>
      <c r="J756" s="17"/>
      <c r="K756" s="133"/>
      <c r="L756" s="135"/>
      <c r="M756" s="19"/>
      <c r="N756" s="131"/>
      <c r="O756" s="30"/>
      <c r="P756" s="29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7.75" customHeight="1">
      <c r="A757" s="29"/>
      <c r="B757" s="29"/>
      <c r="C757" s="29"/>
      <c r="D757" s="29"/>
      <c r="E757" s="29"/>
      <c r="F757" s="30"/>
      <c r="G757" s="66"/>
      <c r="H757" s="130"/>
      <c r="I757" s="84"/>
      <c r="J757" s="17"/>
      <c r="K757" s="133"/>
      <c r="L757" s="135"/>
      <c r="M757" s="19"/>
      <c r="N757" s="131"/>
      <c r="O757" s="30"/>
      <c r="P757" s="29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7.75" customHeight="1">
      <c r="A758" s="29"/>
      <c r="B758" s="29"/>
      <c r="C758" s="29"/>
      <c r="D758" s="29"/>
      <c r="E758" s="29"/>
      <c r="F758" s="30"/>
      <c r="G758" s="66"/>
      <c r="H758" s="130"/>
      <c r="I758" s="84"/>
      <c r="J758" s="17"/>
      <c r="K758" s="133"/>
      <c r="L758" s="135"/>
      <c r="M758" s="19"/>
      <c r="N758" s="131"/>
      <c r="O758" s="30"/>
      <c r="P758" s="29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7.75" customHeight="1">
      <c r="A759" s="29"/>
      <c r="B759" s="29"/>
      <c r="C759" s="29"/>
      <c r="D759" s="29"/>
      <c r="E759" s="29"/>
      <c r="F759" s="30"/>
      <c r="G759" s="66"/>
      <c r="H759" s="130"/>
      <c r="I759" s="84"/>
      <c r="J759" s="17"/>
      <c r="K759" s="133"/>
      <c r="L759" s="135"/>
      <c r="M759" s="19"/>
      <c r="N759" s="131"/>
      <c r="O759" s="30"/>
      <c r="P759" s="29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7.75" customHeight="1">
      <c r="A760" s="29"/>
      <c r="B760" s="29"/>
      <c r="C760" s="29"/>
      <c r="D760" s="29"/>
      <c r="E760" s="29"/>
      <c r="F760" s="30"/>
      <c r="G760" s="66"/>
      <c r="H760" s="130"/>
      <c r="I760" s="84"/>
      <c r="J760" s="17"/>
      <c r="K760" s="133"/>
      <c r="L760" s="135"/>
      <c r="M760" s="19"/>
      <c r="N760" s="131"/>
      <c r="O760" s="30"/>
      <c r="P760" s="29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7.75" customHeight="1">
      <c r="A761" s="29"/>
      <c r="B761" s="29"/>
      <c r="C761" s="29"/>
      <c r="D761" s="29"/>
      <c r="E761" s="29"/>
      <c r="F761" s="30"/>
      <c r="G761" s="66"/>
      <c r="H761" s="130"/>
      <c r="I761" s="84"/>
      <c r="J761" s="17"/>
      <c r="K761" s="133"/>
      <c r="L761" s="135"/>
      <c r="M761" s="19"/>
      <c r="N761" s="131"/>
      <c r="O761" s="30"/>
      <c r="P761" s="29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7.75" customHeight="1">
      <c r="A762" s="29"/>
      <c r="B762" s="29"/>
      <c r="C762" s="29"/>
      <c r="D762" s="29"/>
      <c r="E762" s="29"/>
      <c r="F762" s="30"/>
      <c r="G762" s="66"/>
      <c r="H762" s="130"/>
      <c r="I762" s="84"/>
      <c r="J762" s="17"/>
      <c r="K762" s="133"/>
      <c r="L762" s="135"/>
      <c r="M762" s="19"/>
      <c r="N762" s="131"/>
      <c r="O762" s="30"/>
      <c r="P762" s="29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7.75" customHeight="1">
      <c r="A763" s="29"/>
      <c r="B763" s="29"/>
      <c r="C763" s="29"/>
      <c r="D763" s="29"/>
      <c r="E763" s="29"/>
      <c r="F763" s="30"/>
      <c r="G763" s="66"/>
      <c r="H763" s="130"/>
      <c r="I763" s="84"/>
      <c r="J763" s="17"/>
      <c r="K763" s="133"/>
      <c r="L763" s="135"/>
      <c r="M763" s="19"/>
      <c r="N763" s="131"/>
      <c r="O763" s="30"/>
      <c r="P763" s="29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7.75" customHeight="1">
      <c r="A764" s="29"/>
      <c r="B764" s="29"/>
      <c r="C764" s="29"/>
      <c r="D764" s="29"/>
      <c r="E764" s="29"/>
      <c r="F764" s="30"/>
      <c r="G764" s="66"/>
      <c r="H764" s="130"/>
      <c r="I764" s="84"/>
      <c r="J764" s="17"/>
      <c r="K764" s="133"/>
      <c r="L764" s="135"/>
      <c r="M764" s="19"/>
      <c r="N764" s="131"/>
      <c r="O764" s="30"/>
      <c r="P764" s="29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7.75" customHeight="1">
      <c r="A765" s="29"/>
      <c r="B765" s="29"/>
      <c r="C765" s="29"/>
      <c r="D765" s="29"/>
      <c r="E765" s="29"/>
      <c r="F765" s="30"/>
      <c r="G765" s="66"/>
      <c r="H765" s="130"/>
      <c r="I765" s="84"/>
      <c r="J765" s="17"/>
      <c r="K765" s="133"/>
      <c r="L765" s="135"/>
      <c r="M765" s="19"/>
      <c r="N765" s="131"/>
      <c r="O765" s="30"/>
      <c r="P765" s="29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7.75" customHeight="1">
      <c r="A766" s="29"/>
      <c r="B766" s="29"/>
      <c r="C766" s="29"/>
      <c r="D766" s="29"/>
      <c r="E766" s="29"/>
      <c r="F766" s="30"/>
      <c r="G766" s="66"/>
      <c r="H766" s="130"/>
      <c r="I766" s="84"/>
      <c r="J766" s="17"/>
      <c r="K766" s="133"/>
      <c r="L766" s="135"/>
      <c r="M766" s="19"/>
      <c r="N766" s="131"/>
      <c r="O766" s="30"/>
      <c r="P766" s="29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7.75" customHeight="1">
      <c r="A767" s="29"/>
      <c r="B767" s="29"/>
      <c r="C767" s="29"/>
      <c r="D767" s="29"/>
      <c r="E767" s="29"/>
      <c r="F767" s="30"/>
      <c r="G767" s="66"/>
      <c r="H767" s="130"/>
      <c r="I767" s="84"/>
      <c r="J767" s="17"/>
      <c r="K767" s="133"/>
      <c r="L767" s="135"/>
      <c r="M767" s="19"/>
      <c r="N767" s="131"/>
      <c r="O767" s="30"/>
      <c r="P767" s="29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7.75" customHeight="1">
      <c r="A768" s="29"/>
      <c r="B768" s="29"/>
      <c r="C768" s="29"/>
      <c r="D768" s="29"/>
      <c r="E768" s="29"/>
      <c r="F768" s="30"/>
      <c r="G768" s="66"/>
      <c r="H768" s="130"/>
      <c r="I768" s="84"/>
      <c r="J768" s="17"/>
      <c r="K768" s="133"/>
      <c r="L768" s="135"/>
      <c r="M768" s="19"/>
      <c r="N768" s="131"/>
      <c r="O768" s="30"/>
      <c r="P768" s="29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7.75" customHeight="1">
      <c r="A769" s="29"/>
      <c r="B769" s="29"/>
      <c r="C769" s="29"/>
      <c r="D769" s="29"/>
      <c r="E769" s="29"/>
      <c r="F769" s="30"/>
      <c r="G769" s="66"/>
      <c r="H769" s="130"/>
      <c r="I769" s="84"/>
      <c r="J769" s="17"/>
      <c r="K769" s="133"/>
      <c r="L769" s="135"/>
      <c r="M769" s="19"/>
      <c r="N769" s="131"/>
      <c r="O769" s="30"/>
      <c r="P769" s="29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7.75" customHeight="1">
      <c r="A770" s="29"/>
      <c r="B770" s="29"/>
      <c r="C770" s="29"/>
      <c r="D770" s="29"/>
      <c r="E770" s="29"/>
      <c r="F770" s="30"/>
      <c r="G770" s="66"/>
      <c r="H770" s="130"/>
      <c r="I770" s="84"/>
      <c r="J770" s="17"/>
      <c r="K770" s="133"/>
      <c r="L770" s="135"/>
      <c r="M770" s="19"/>
      <c r="N770" s="131"/>
      <c r="O770" s="30"/>
      <c r="P770" s="29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7.75" customHeight="1">
      <c r="A771" s="29"/>
      <c r="B771" s="29"/>
      <c r="C771" s="29"/>
      <c r="D771" s="29"/>
      <c r="E771" s="29"/>
      <c r="F771" s="30"/>
      <c r="G771" s="66"/>
      <c r="H771" s="130"/>
      <c r="I771" s="84"/>
      <c r="J771" s="17"/>
      <c r="K771" s="133"/>
      <c r="L771" s="135"/>
      <c r="M771" s="19"/>
      <c r="N771" s="131"/>
      <c r="O771" s="30"/>
      <c r="P771" s="29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7.75" customHeight="1">
      <c r="A772" s="29"/>
      <c r="B772" s="29"/>
      <c r="C772" s="29"/>
      <c r="D772" s="29"/>
      <c r="E772" s="29"/>
      <c r="F772" s="30"/>
      <c r="G772" s="66"/>
      <c r="H772" s="130"/>
      <c r="I772" s="84"/>
      <c r="J772" s="17"/>
      <c r="K772" s="133"/>
      <c r="L772" s="135"/>
      <c r="M772" s="19"/>
      <c r="N772" s="131"/>
      <c r="O772" s="30"/>
      <c r="P772" s="29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7.75" customHeight="1">
      <c r="A773" s="29"/>
      <c r="B773" s="29"/>
      <c r="C773" s="29"/>
      <c r="D773" s="29"/>
      <c r="E773" s="29"/>
      <c r="F773" s="30"/>
      <c r="G773" s="66"/>
      <c r="H773" s="130"/>
      <c r="I773" s="84"/>
      <c r="J773" s="17"/>
      <c r="K773" s="133"/>
      <c r="L773" s="135"/>
      <c r="M773" s="19"/>
      <c r="N773" s="131"/>
      <c r="O773" s="30"/>
      <c r="P773" s="29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7.75" customHeight="1">
      <c r="A774" s="29"/>
      <c r="B774" s="29"/>
      <c r="C774" s="29"/>
      <c r="D774" s="29"/>
      <c r="E774" s="29"/>
      <c r="F774" s="30"/>
      <c r="G774" s="66"/>
      <c r="H774" s="130"/>
      <c r="I774" s="84"/>
      <c r="J774" s="17"/>
      <c r="K774" s="133"/>
      <c r="L774" s="135"/>
      <c r="M774" s="19"/>
      <c r="N774" s="131"/>
      <c r="O774" s="30"/>
      <c r="P774" s="29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7.75" customHeight="1">
      <c r="A775" s="29"/>
      <c r="B775" s="29"/>
      <c r="C775" s="29"/>
      <c r="D775" s="29"/>
      <c r="E775" s="29"/>
      <c r="F775" s="30"/>
      <c r="G775" s="66"/>
      <c r="H775" s="130"/>
      <c r="I775" s="84"/>
      <c r="J775" s="17"/>
      <c r="K775" s="133"/>
      <c r="L775" s="135"/>
      <c r="M775" s="19"/>
      <c r="N775" s="131"/>
      <c r="O775" s="30"/>
      <c r="P775" s="29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7.75" customHeight="1">
      <c r="A776" s="29"/>
      <c r="B776" s="29"/>
      <c r="C776" s="29"/>
      <c r="D776" s="29"/>
      <c r="E776" s="29"/>
      <c r="F776" s="30"/>
      <c r="G776" s="66"/>
      <c r="H776" s="130"/>
      <c r="I776" s="84"/>
      <c r="J776" s="17"/>
      <c r="K776" s="133"/>
      <c r="L776" s="135"/>
      <c r="M776" s="19"/>
      <c r="N776" s="131"/>
      <c r="O776" s="30"/>
      <c r="P776" s="29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7.75" customHeight="1">
      <c r="A777" s="29"/>
      <c r="B777" s="29"/>
      <c r="C777" s="29"/>
      <c r="D777" s="29"/>
      <c r="E777" s="29"/>
      <c r="F777" s="30"/>
      <c r="G777" s="66"/>
      <c r="H777" s="130"/>
      <c r="I777" s="84"/>
      <c r="J777" s="17"/>
      <c r="K777" s="133"/>
      <c r="L777" s="135"/>
      <c r="M777" s="19"/>
      <c r="N777" s="131"/>
      <c r="O777" s="30"/>
      <c r="P777" s="29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7.75" customHeight="1">
      <c r="A778" s="29"/>
      <c r="B778" s="29"/>
      <c r="C778" s="29"/>
      <c r="D778" s="29"/>
      <c r="E778" s="29"/>
      <c r="F778" s="30"/>
      <c r="G778" s="66"/>
      <c r="H778" s="130"/>
      <c r="I778" s="84"/>
      <c r="J778" s="17"/>
      <c r="K778" s="133"/>
      <c r="L778" s="135"/>
      <c r="M778" s="19"/>
      <c r="N778" s="131"/>
      <c r="O778" s="30"/>
      <c r="P778" s="29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7.75" customHeight="1">
      <c r="A779" s="29"/>
      <c r="B779" s="29"/>
      <c r="C779" s="29"/>
      <c r="D779" s="29"/>
      <c r="E779" s="29"/>
      <c r="F779" s="30"/>
      <c r="G779" s="66"/>
      <c r="H779" s="130"/>
      <c r="I779" s="84"/>
      <c r="J779" s="17"/>
      <c r="K779" s="133"/>
      <c r="L779" s="135"/>
      <c r="M779" s="19"/>
      <c r="N779" s="131"/>
      <c r="O779" s="30"/>
      <c r="P779" s="29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7.75" customHeight="1">
      <c r="A780" s="29"/>
      <c r="B780" s="29"/>
      <c r="C780" s="29"/>
      <c r="D780" s="29"/>
      <c r="E780" s="29"/>
      <c r="F780" s="30"/>
      <c r="G780" s="66"/>
      <c r="H780" s="130"/>
      <c r="I780" s="84"/>
      <c r="J780" s="17"/>
      <c r="K780" s="133"/>
      <c r="L780" s="135"/>
      <c r="M780" s="19"/>
      <c r="N780" s="131"/>
      <c r="O780" s="30"/>
      <c r="P780" s="29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7.75" customHeight="1">
      <c r="A781" s="29"/>
      <c r="B781" s="29"/>
      <c r="C781" s="29"/>
      <c r="D781" s="29"/>
      <c r="E781" s="29"/>
      <c r="F781" s="30"/>
      <c r="G781" s="66"/>
      <c r="H781" s="130"/>
      <c r="I781" s="84"/>
      <c r="J781" s="17"/>
      <c r="K781" s="133"/>
      <c r="L781" s="135"/>
      <c r="M781" s="19"/>
      <c r="N781" s="131"/>
      <c r="O781" s="30"/>
      <c r="P781" s="29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7.75" customHeight="1">
      <c r="A782" s="29"/>
      <c r="B782" s="29"/>
      <c r="C782" s="29"/>
      <c r="D782" s="29"/>
      <c r="E782" s="29"/>
      <c r="F782" s="30"/>
      <c r="G782" s="66"/>
      <c r="H782" s="130"/>
      <c r="I782" s="84"/>
      <c r="J782" s="17"/>
      <c r="K782" s="133"/>
      <c r="L782" s="135"/>
      <c r="M782" s="19"/>
      <c r="N782" s="131"/>
      <c r="O782" s="30"/>
      <c r="P782" s="29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7.75" customHeight="1">
      <c r="A783" s="29"/>
      <c r="B783" s="29"/>
      <c r="C783" s="29"/>
      <c r="D783" s="29"/>
      <c r="E783" s="29"/>
      <c r="F783" s="30"/>
      <c r="G783" s="66"/>
      <c r="H783" s="130"/>
      <c r="I783" s="84"/>
      <c r="J783" s="17"/>
      <c r="K783" s="133"/>
      <c r="L783" s="135"/>
      <c r="M783" s="19"/>
      <c r="N783" s="131"/>
      <c r="O783" s="30"/>
      <c r="P783" s="29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7.75" customHeight="1">
      <c r="A784" s="29"/>
      <c r="B784" s="29"/>
      <c r="C784" s="29"/>
      <c r="D784" s="29"/>
      <c r="E784" s="29"/>
      <c r="F784" s="30"/>
      <c r="G784" s="66"/>
      <c r="H784" s="130"/>
      <c r="I784" s="84"/>
      <c r="J784" s="17"/>
      <c r="K784" s="133"/>
      <c r="L784" s="135"/>
      <c r="M784" s="19"/>
      <c r="N784" s="131"/>
      <c r="O784" s="30"/>
      <c r="P784" s="29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7.75" customHeight="1">
      <c r="A785" s="29"/>
      <c r="B785" s="29"/>
      <c r="C785" s="29"/>
      <c r="D785" s="29"/>
      <c r="E785" s="29"/>
      <c r="F785" s="30"/>
      <c r="G785" s="66"/>
      <c r="H785" s="130"/>
      <c r="I785" s="84"/>
      <c r="J785" s="17"/>
      <c r="K785" s="133"/>
      <c r="L785" s="135"/>
      <c r="M785" s="19"/>
      <c r="N785" s="131"/>
      <c r="O785" s="30"/>
      <c r="P785" s="29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7.75" customHeight="1">
      <c r="A786" s="29"/>
      <c r="B786" s="29"/>
      <c r="C786" s="29"/>
      <c r="D786" s="29"/>
      <c r="E786" s="29"/>
      <c r="F786" s="30"/>
      <c r="G786" s="66"/>
      <c r="H786" s="130"/>
      <c r="I786" s="84"/>
      <c r="J786" s="17"/>
      <c r="K786" s="133"/>
      <c r="L786" s="135"/>
      <c r="M786" s="19"/>
      <c r="N786" s="131"/>
      <c r="O786" s="30"/>
      <c r="P786" s="29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7.75" customHeight="1">
      <c r="A787" s="29"/>
      <c r="B787" s="29"/>
      <c r="C787" s="29"/>
      <c r="D787" s="29"/>
      <c r="E787" s="29"/>
      <c r="F787" s="30"/>
      <c r="G787" s="66"/>
      <c r="H787" s="130"/>
      <c r="I787" s="84"/>
      <c r="J787" s="17"/>
      <c r="K787" s="133"/>
      <c r="L787" s="135"/>
      <c r="M787" s="19"/>
      <c r="N787" s="131"/>
      <c r="O787" s="30"/>
      <c r="P787" s="29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7.75" customHeight="1">
      <c r="A788" s="29"/>
      <c r="B788" s="29"/>
      <c r="C788" s="29"/>
      <c r="D788" s="29"/>
      <c r="E788" s="29"/>
      <c r="F788" s="30"/>
      <c r="G788" s="66"/>
      <c r="H788" s="130"/>
      <c r="I788" s="84"/>
      <c r="J788" s="17"/>
      <c r="K788" s="133"/>
      <c r="L788" s="135"/>
      <c r="M788" s="19"/>
      <c r="N788" s="131"/>
      <c r="O788" s="30"/>
      <c r="P788" s="29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7.75" customHeight="1">
      <c r="A789" s="29"/>
      <c r="B789" s="29"/>
      <c r="C789" s="29"/>
      <c r="D789" s="29"/>
      <c r="E789" s="29"/>
      <c r="F789" s="30"/>
      <c r="G789" s="66"/>
      <c r="H789" s="130"/>
      <c r="I789" s="84"/>
      <c r="J789" s="17"/>
      <c r="K789" s="133"/>
      <c r="L789" s="135"/>
      <c r="M789" s="19"/>
      <c r="N789" s="131"/>
      <c r="O789" s="30"/>
      <c r="P789" s="29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7.75" customHeight="1">
      <c r="A790" s="29"/>
      <c r="B790" s="29"/>
      <c r="C790" s="29"/>
      <c r="D790" s="29"/>
      <c r="E790" s="29"/>
      <c r="F790" s="30"/>
      <c r="G790" s="66"/>
      <c r="H790" s="130"/>
      <c r="I790" s="84"/>
      <c r="J790" s="17"/>
      <c r="K790" s="133"/>
      <c r="L790" s="135"/>
      <c r="M790" s="19"/>
      <c r="N790" s="131"/>
      <c r="O790" s="30"/>
      <c r="P790" s="29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7.75" customHeight="1">
      <c r="A791" s="29"/>
      <c r="B791" s="29"/>
      <c r="C791" s="29"/>
      <c r="D791" s="29"/>
      <c r="E791" s="29"/>
      <c r="F791" s="30"/>
      <c r="G791" s="66"/>
      <c r="H791" s="130"/>
      <c r="I791" s="84"/>
      <c r="J791" s="17"/>
      <c r="K791" s="133"/>
      <c r="L791" s="135"/>
      <c r="M791" s="19"/>
      <c r="N791" s="131"/>
      <c r="O791" s="30"/>
      <c r="P791" s="29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7.75" customHeight="1">
      <c r="A792" s="29"/>
      <c r="B792" s="29"/>
      <c r="C792" s="29"/>
      <c r="D792" s="29"/>
      <c r="E792" s="29"/>
      <c r="F792" s="30"/>
      <c r="G792" s="66"/>
      <c r="H792" s="130"/>
      <c r="I792" s="84"/>
      <c r="J792" s="17"/>
      <c r="K792" s="133"/>
      <c r="L792" s="135"/>
      <c r="M792" s="19"/>
      <c r="N792" s="131"/>
      <c r="O792" s="30"/>
      <c r="P792" s="29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7.75" customHeight="1">
      <c r="A793" s="29"/>
      <c r="B793" s="29"/>
      <c r="C793" s="29"/>
      <c r="D793" s="29"/>
      <c r="E793" s="29"/>
      <c r="F793" s="30"/>
      <c r="G793" s="66"/>
      <c r="H793" s="130"/>
      <c r="I793" s="84"/>
      <c r="J793" s="17"/>
      <c r="K793" s="133"/>
      <c r="L793" s="135"/>
      <c r="M793" s="19"/>
      <c r="N793" s="131"/>
      <c r="O793" s="30"/>
      <c r="P793" s="29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7.75" customHeight="1">
      <c r="A794" s="29"/>
      <c r="B794" s="29"/>
      <c r="C794" s="29"/>
      <c r="D794" s="29"/>
      <c r="E794" s="29"/>
      <c r="F794" s="30"/>
      <c r="G794" s="66"/>
      <c r="H794" s="130"/>
      <c r="I794" s="84"/>
      <c r="J794" s="17"/>
      <c r="K794" s="133"/>
      <c r="L794" s="135"/>
      <c r="M794" s="19"/>
      <c r="N794" s="131"/>
      <c r="O794" s="30"/>
      <c r="P794" s="29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7.75" customHeight="1">
      <c r="A795" s="29"/>
      <c r="B795" s="29"/>
      <c r="C795" s="29"/>
      <c r="D795" s="29"/>
      <c r="E795" s="29"/>
      <c r="F795" s="30"/>
      <c r="G795" s="66"/>
      <c r="H795" s="130"/>
      <c r="I795" s="84"/>
      <c r="J795" s="17"/>
      <c r="K795" s="133"/>
      <c r="L795" s="135"/>
      <c r="M795" s="19"/>
      <c r="N795" s="131"/>
      <c r="O795" s="30"/>
      <c r="P795" s="29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7.75" customHeight="1">
      <c r="A796" s="29"/>
      <c r="B796" s="29"/>
      <c r="C796" s="29"/>
      <c r="D796" s="29"/>
      <c r="E796" s="29"/>
      <c r="F796" s="30"/>
      <c r="G796" s="66"/>
      <c r="H796" s="130"/>
      <c r="I796" s="84"/>
      <c r="J796" s="17"/>
      <c r="K796" s="133"/>
      <c r="L796" s="135"/>
      <c r="M796" s="19"/>
      <c r="N796" s="131"/>
      <c r="O796" s="30"/>
      <c r="P796" s="29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7.75" customHeight="1">
      <c r="A797" s="29"/>
      <c r="B797" s="29"/>
      <c r="C797" s="29"/>
      <c r="D797" s="29"/>
      <c r="E797" s="29"/>
      <c r="F797" s="30"/>
      <c r="G797" s="66"/>
      <c r="H797" s="130"/>
      <c r="I797" s="84"/>
      <c r="J797" s="17"/>
      <c r="K797" s="133"/>
      <c r="L797" s="135"/>
      <c r="M797" s="19"/>
      <c r="N797" s="131"/>
      <c r="O797" s="30"/>
      <c r="P797" s="29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7.75" customHeight="1">
      <c r="A798" s="29"/>
      <c r="B798" s="29"/>
      <c r="C798" s="29"/>
      <c r="D798" s="29"/>
      <c r="E798" s="29"/>
      <c r="F798" s="30"/>
      <c r="G798" s="66"/>
      <c r="H798" s="130"/>
      <c r="I798" s="84"/>
      <c r="J798" s="17"/>
      <c r="K798" s="133"/>
      <c r="L798" s="135"/>
      <c r="M798" s="19"/>
      <c r="N798" s="131"/>
      <c r="O798" s="30"/>
      <c r="P798" s="29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7.75" customHeight="1">
      <c r="A799" s="29"/>
      <c r="B799" s="29"/>
      <c r="C799" s="29"/>
      <c r="D799" s="29"/>
      <c r="E799" s="29"/>
      <c r="F799" s="30"/>
      <c r="G799" s="66"/>
      <c r="H799" s="130"/>
      <c r="I799" s="84"/>
      <c r="J799" s="17"/>
      <c r="K799" s="133"/>
      <c r="L799" s="135"/>
      <c r="M799" s="19"/>
      <c r="N799" s="131"/>
      <c r="O799" s="30"/>
      <c r="P799" s="29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7.75" customHeight="1">
      <c r="A800" s="29"/>
      <c r="B800" s="29"/>
      <c r="C800" s="29"/>
      <c r="D800" s="29"/>
      <c r="E800" s="29"/>
      <c r="F800" s="30"/>
      <c r="G800" s="66"/>
      <c r="H800" s="130"/>
      <c r="I800" s="84"/>
      <c r="J800" s="17"/>
      <c r="K800" s="133"/>
      <c r="L800" s="135"/>
      <c r="M800" s="19"/>
      <c r="N800" s="131"/>
      <c r="O800" s="30"/>
      <c r="P800" s="29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7.75" customHeight="1">
      <c r="A801" s="29"/>
      <c r="B801" s="29"/>
      <c r="C801" s="29"/>
      <c r="D801" s="29"/>
      <c r="E801" s="29"/>
      <c r="F801" s="30"/>
      <c r="G801" s="66"/>
      <c r="H801" s="130"/>
      <c r="I801" s="84"/>
      <c r="J801" s="17"/>
      <c r="K801" s="133"/>
      <c r="L801" s="135"/>
      <c r="M801" s="19"/>
      <c r="N801" s="131"/>
      <c r="O801" s="30"/>
      <c r="P801" s="29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7.75" customHeight="1">
      <c r="A802" s="29"/>
      <c r="B802" s="29"/>
      <c r="C802" s="29"/>
      <c r="D802" s="29"/>
      <c r="E802" s="29"/>
      <c r="F802" s="30"/>
      <c r="G802" s="66"/>
      <c r="H802" s="130"/>
      <c r="I802" s="84"/>
      <c r="J802" s="17"/>
      <c r="K802" s="133"/>
      <c r="L802" s="135"/>
      <c r="M802" s="19"/>
      <c r="N802" s="131"/>
      <c r="O802" s="30"/>
      <c r="P802" s="29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7.75" customHeight="1">
      <c r="A803" s="29"/>
      <c r="B803" s="29"/>
      <c r="C803" s="29"/>
      <c r="D803" s="29"/>
      <c r="E803" s="29"/>
      <c r="F803" s="30"/>
      <c r="G803" s="66"/>
      <c r="H803" s="130"/>
      <c r="I803" s="84"/>
      <c r="J803" s="17"/>
      <c r="K803" s="133"/>
      <c r="L803" s="135"/>
      <c r="M803" s="19"/>
      <c r="N803" s="131"/>
      <c r="O803" s="30"/>
      <c r="P803" s="29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7.75" customHeight="1">
      <c r="A804" s="29"/>
      <c r="B804" s="29"/>
      <c r="C804" s="29"/>
      <c r="D804" s="29"/>
      <c r="E804" s="29"/>
      <c r="F804" s="30"/>
      <c r="G804" s="66"/>
      <c r="H804" s="130"/>
      <c r="I804" s="84"/>
      <c r="J804" s="17"/>
      <c r="K804" s="133"/>
      <c r="L804" s="135"/>
      <c r="M804" s="19"/>
      <c r="N804" s="131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7.75" customHeight="1">
      <c r="A805" s="29"/>
      <c r="B805" s="29"/>
      <c r="C805" s="29"/>
      <c r="D805" s="29"/>
      <c r="E805" s="29"/>
      <c r="F805" s="30"/>
      <c r="G805" s="66"/>
      <c r="H805" s="130"/>
      <c r="I805" s="84"/>
      <c r="J805" s="17"/>
      <c r="K805" s="133"/>
      <c r="L805" s="135"/>
      <c r="M805" s="19"/>
      <c r="N805" s="131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7.75" customHeight="1">
      <c r="A806" s="29"/>
      <c r="B806" s="29"/>
      <c r="C806" s="29"/>
      <c r="D806" s="29"/>
      <c r="E806" s="29"/>
      <c r="F806" s="30"/>
      <c r="G806" s="66"/>
      <c r="H806" s="130"/>
      <c r="I806" s="84"/>
      <c r="J806" s="17"/>
      <c r="K806" s="133"/>
      <c r="L806" s="135"/>
      <c r="M806" s="19"/>
      <c r="N806" s="131"/>
      <c r="O806" s="30"/>
      <c r="P806" s="29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7.75" customHeight="1">
      <c r="A807" s="29"/>
      <c r="B807" s="29"/>
      <c r="C807" s="29"/>
      <c r="D807" s="29"/>
      <c r="E807" s="29"/>
      <c r="F807" s="30"/>
      <c r="G807" s="66"/>
      <c r="H807" s="130"/>
      <c r="I807" s="84"/>
      <c r="J807" s="17"/>
      <c r="K807" s="133"/>
      <c r="L807" s="135"/>
      <c r="M807" s="19"/>
      <c r="N807" s="131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7.75" customHeight="1">
      <c r="A808" s="29"/>
      <c r="B808" s="29"/>
      <c r="C808" s="29"/>
      <c r="D808" s="29"/>
      <c r="E808" s="29"/>
      <c r="F808" s="30"/>
      <c r="G808" s="66"/>
      <c r="H808" s="130"/>
      <c r="I808" s="84"/>
      <c r="J808" s="17"/>
      <c r="K808" s="133"/>
      <c r="L808" s="135"/>
      <c r="M808" s="19"/>
      <c r="N808" s="131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7.75" customHeight="1">
      <c r="A809" s="29"/>
      <c r="B809" s="29"/>
      <c r="C809" s="29"/>
      <c r="D809" s="29"/>
      <c r="E809" s="29"/>
      <c r="F809" s="30"/>
      <c r="G809" s="66"/>
      <c r="H809" s="130"/>
      <c r="I809" s="84"/>
      <c r="J809" s="17"/>
      <c r="K809" s="133"/>
      <c r="L809" s="135"/>
      <c r="M809" s="19"/>
      <c r="N809" s="131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7.75" customHeight="1">
      <c r="A810" s="29"/>
      <c r="B810" s="29"/>
      <c r="C810" s="29"/>
      <c r="D810" s="29"/>
      <c r="E810" s="29"/>
      <c r="F810" s="30"/>
      <c r="G810" s="66"/>
      <c r="H810" s="130"/>
      <c r="I810" s="84"/>
      <c r="J810" s="17"/>
      <c r="K810" s="133"/>
      <c r="L810" s="135"/>
      <c r="M810" s="19"/>
      <c r="N810" s="131"/>
      <c r="O810" s="30"/>
      <c r="P810" s="29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7.75" customHeight="1">
      <c r="A811" s="29"/>
      <c r="B811" s="29"/>
      <c r="C811" s="29"/>
      <c r="D811" s="29"/>
      <c r="E811" s="29"/>
      <c r="F811" s="30"/>
      <c r="G811" s="66"/>
      <c r="H811" s="130"/>
      <c r="I811" s="84"/>
      <c r="J811" s="17"/>
      <c r="K811" s="133"/>
      <c r="L811" s="135"/>
      <c r="M811" s="19"/>
      <c r="N811" s="131"/>
      <c r="O811" s="30"/>
      <c r="P811" s="29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7.75" customHeight="1">
      <c r="A812" s="29"/>
      <c r="B812" s="29"/>
      <c r="C812" s="29"/>
      <c r="D812" s="29"/>
      <c r="E812" s="29"/>
      <c r="F812" s="30"/>
      <c r="G812" s="66"/>
      <c r="H812" s="130"/>
      <c r="I812" s="84"/>
      <c r="J812" s="17"/>
      <c r="K812" s="133"/>
      <c r="L812" s="135"/>
      <c r="M812" s="19"/>
      <c r="N812" s="131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7.75" customHeight="1">
      <c r="A813" s="29"/>
      <c r="B813" s="29"/>
      <c r="C813" s="29"/>
      <c r="D813" s="29"/>
      <c r="E813" s="29"/>
      <c r="F813" s="30"/>
      <c r="G813" s="66"/>
      <c r="H813" s="130"/>
      <c r="I813" s="84"/>
      <c r="J813" s="17"/>
      <c r="K813" s="133"/>
      <c r="L813" s="135"/>
      <c r="M813" s="19"/>
      <c r="N813" s="131"/>
      <c r="O813" s="30"/>
      <c r="P813" s="29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7.75" customHeight="1">
      <c r="A814" s="29"/>
      <c r="B814" s="29"/>
      <c r="C814" s="29"/>
      <c r="D814" s="29"/>
      <c r="E814" s="29"/>
      <c r="F814" s="30"/>
      <c r="G814" s="66"/>
      <c r="H814" s="130"/>
      <c r="I814" s="84"/>
      <c r="J814" s="17"/>
      <c r="K814" s="133"/>
      <c r="L814" s="135"/>
      <c r="M814" s="19"/>
      <c r="N814" s="131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7.75" customHeight="1">
      <c r="A815" s="29"/>
      <c r="B815" s="29"/>
      <c r="C815" s="29"/>
      <c r="D815" s="29"/>
      <c r="E815" s="29"/>
      <c r="F815" s="30"/>
      <c r="G815" s="66"/>
      <c r="H815" s="130"/>
      <c r="I815" s="84"/>
      <c r="J815" s="17"/>
      <c r="K815" s="133"/>
      <c r="L815" s="135"/>
      <c r="M815" s="19"/>
      <c r="N815" s="131"/>
      <c r="O815" s="30"/>
      <c r="P815" s="29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7.75" customHeight="1">
      <c r="A816" s="29"/>
      <c r="B816" s="29"/>
      <c r="C816" s="29"/>
      <c r="D816" s="29"/>
      <c r="E816" s="29"/>
      <c r="F816" s="30"/>
      <c r="G816" s="66"/>
      <c r="H816" s="130"/>
      <c r="I816" s="84"/>
      <c r="J816" s="17"/>
      <c r="K816" s="133"/>
      <c r="L816" s="135"/>
      <c r="M816" s="19"/>
      <c r="N816" s="131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7.75" customHeight="1">
      <c r="A817" s="29"/>
      <c r="B817" s="29"/>
      <c r="C817" s="29"/>
      <c r="D817" s="29"/>
      <c r="E817" s="29"/>
      <c r="F817" s="30"/>
      <c r="G817" s="66"/>
      <c r="H817" s="130"/>
      <c r="I817" s="84"/>
      <c r="J817" s="17"/>
      <c r="K817" s="133"/>
      <c r="L817" s="135"/>
      <c r="M817" s="19"/>
      <c r="N817" s="131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7.75" customHeight="1">
      <c r="A818" s="29"/>
      <c r="B818" s="29"/>
      <c r="C818" s="29"/>
      <c r="D818" s="29"/>
      <c r="E818" s="29"/>
      <c r="F818" s="30"/>
      <c r="G818" s="66"/>
      <c r="H818" s="130"/>
      <c r="I818" s="84"/>
      <c r="J818" s="17"/>
      <c r="K818" s="133"/>
      <c r="L818" s="135"/>
      <c r="M818" s="19"/>
      <c r="N818" s="131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7.75" customHeight="1">
      <c r="A819" s="29"/>
      <c r="B819" s="29"/>
      <c r="C819" s="29"/>
      <c r="D819" s="29"/>
      <c r="E819" s="29"/>
      <c r="F819" s="30"/>
      <c r="G819" s="66"/>
      <c r="H819" s="130"/>
      <c r="I819" s="84"/>
      <c r="J819" s="17"/>
      <c r="K819" s="133"/>
      <c r="L819" s="135"/>
      <c r="M819" s="19"/>
      <c r="N819" s="131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7.75" customHeight="1">
      <c r="A820" s="29"/>
      <c r="B820" s="29"/>
      <c r="C820" s="29"/>
      <c r="D820" s="29"/>
      <c r="E820" s="29"/>
      <c r="F820" s="30"/>
      <c r="G820" s="66"/>
      <c r="H820" s="130"/>
      <c r="I820" s="84"/>
      <c r="J820" s="17"/>
      <c r="K820" s="133"/>
      <c r="L820" s="135"/>
      <c r="M820" s="19"/>
      <c r="N820" s="131"/>
      <c r="O820" s="30"/>
      <c r="P820" s="29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7.75" customHeight="1">
      <c r="A821" s="29"/>
      <c r="B821" s="29"/>
      <c r="C821" s="29"/>
      <c r="D821" s="29"/>
      <c r="E821" s="29"/>
      <c r="F821" s="30"/>
      <c r="G821" s="66"/>
      <c r="H821" s="130"/>
      <c r="I821" s="84"/>
      <c r="J821" s="17"/>
      <c r="K821" s="133"/>
      <c r="L821" s="135"/>
      <c r="M821" s="19"/>
      <c r="N821" s="131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7.75" customHeight="1">
      <c r="A822" s="29"/>
      <c r="B822" s="29"/>
      <c r="C822" s="29"/>
      <c r="D822" s="29"/>
      <c r="E822" s="29"/>
      <c r="F822" s="30"/>
      <c r="G822" s="66"/>
      <c r="H822" s="130"/>
      <c r="I822" s="84"/>
      <c r="J822" s="17"/>
      <c r="K822" s="133"/>
      <c r="L822" s="135"/>
      <c r="M822" s="19"/>
      <c r="N822" s="131"/>
      <c r="O822" s="30"/>
      <c r="P822" s="29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7.75" customHeight="1">
      <c r="A823" s="29"/>
      <c r="B823" s="29"/>
      <c r="C823" s="29"/>
      <c r="D823" s="29"/>
      <c r="E823" s="29"/>
      <c r="F823" s="30"/>
      <c r="G823" s="66"/>
      <c r="H823" s="130"/>
      <c r="I823" s="84"/>
      <c r="J823" s="17"/>
      <c r="K823" s="133"/>
      <c r="L823" s="135"/>
      <c r="M823" s="19"/>
      <c r="N823" s="131"/>
      <c r="O823" s="30"/>
      <c r="P823" s="29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7.75" customHeight="1">
      <c r="A824" s="29"/>
      <c r="B824" s="29"/>
      <c r="C824" s="29"/>
      <c r="D824" s="29"/>
      <c r="E824" s="29"/>
      <c r="F824" s="30"/>
      <c r="G824" s="66"/>
      <c r="H824" s="130"/>
      <c r="I824" s="84"/>
      <c r="J824" s="17"/>
      <c r="K824" s="133"/>
      <c r="L824" s="135"/>
      <c r="M824" s="19"/>
      <c r="N824" s="131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7.75" customHeight="1">
      <c r="A825" s="29"/>
      <c r="B825" s="29"/>
      <c r="C825" s="29"/>
      <c r="D825" s="29"/>
      <c r="E825" s="29"/>
      <c r="F825" s="30"/>
      <c r="G825" s="66"/>
      <c r="H825" s="130"/>
      <c r="I825" s="84"/>
      <c r="J825" s="17"/>
      <c r="K825" s="133"/>
      <c r="L825" s="135"/>
      <c r="M825" s="19"/>
      <c r="N825" s="131"/>
      <c r="O825" s="30"/>
      <c r="P825" s="29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7.75" customHeight="1">
      <c r="A826" s="29"/>
      <c r="B826" s="29"/>
      <c r="C826" s="29"/>
      <c r="D826" s="29"/>
      <c r="E826" s="29"/>
      <c r="F826" s="30"/>
      <c r="G826" s="66"/>
      <c r="H826" s="130"/>
      <c r="I826" s="84"/>
      <c r="J826" s="17"/>
      <c r="K826" s="133"/>
      <c r="L826" s="135"/>
      <c r="M826" s="19"/>
      <c r="N826" s="131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7.75" customHeight="1">
      <c r="A827" s="29"/>
      <c r="B827" s="29"/>
      <c r="C827" s="29"/>
      <c r="D827" s="29"/>
      <c r="E827" s="29"/>
      <c r="F827" s="30"/>
      <c r="G827" s="66"/>
      <c r="H827" s="130"/>
      <c r="I827" s="84"/>
      <c r="J827" s="17"/>
      <c r="K827" s="133"/>
      <c r="L827" s="135"/>
      <c r="M827" s="19"/>
      <c r="N827" s="131"/>
      <c r="O827" s="30"/>
      <c r="P827" s="29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7.75" customHeight="1">
      <c r="A828" s="29"/>
      <c r="B828" s="29"/>
      <c r="C828" s="29"/>
      <c r="D828" s="29"/>
      <c r="E828" s="29"/>
      <c r="F828" s="30"/>
      <c r="G828" s="66"/>
      <c r="H828" s="130"/>
      <c r="I828" s="84"/>
      <c r="J828" s="17"/>
      <c r="K828" s="133"/>
      <c r="L828" s="135"/>
      <c r="M828" s="19"/>
      <c r="N828" s="131"/>
      <c r="O828" s="30"/>
      <c r="P828" s="29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7.75" customHeight="1">
      <c r="A829" s="29"/>
      <c r="B829" s="29"/>
      <c r="C829" s="29"/>
      <c r="D829" s="29"/>
      <c r="E829" s="29"/>
      <c r="F829" s="30"/>
      <c r="G829" s="66"/>
      <c r="H829" s="130"/>
      <c r="I829" s="84"/>
      <c r="J829" s="17"/>
      <c r="K829" s="133"/>
      <c r="L829" s="135"/>
      <c r="M829" s="19"/>
      <c r="N829" s="131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7.75" customHeight="1">
      <c r="A830" s="29"/>
      <c r="B830" s="29"/>
      <c r="C830" s="29"/>
      <c r="D830" s="29"/>
      <c r="E830" s="29"/>
      <c r="F830" s="30"/>
      <c r="G830" s="66"/>
      <c r="H830" s="130"/>
      <c r="I830" s="84"/>
      <c r="J830" s="17"/>
      <c r="K830" s="133"/>
      <c r="L830" s="135"/>
      <c r="M830" s="19"/>
      <c r="N830" s="131"/>
      <c r="O830" s="30"/>
      <c r="P830" s="29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7.75" customHeight="1">
      <c r="A831" s="29"/>
      <c r="B831" s="29"/>
      <c r="C831" s="29"/>
      <c r="D831" s="29"/>
      <c r="E831" s="29"/>
      <c r="F831" s="30"/>
      <c r="G831" s="66"/>
      <c r="H831" s="130"/>
      <c r="I831" s="84"/>
      <c r="J831" s="17"/>
      <c r="K831" s="133"/>
      <c r="L831" s="135"/>
      <c r="M831" s="19"/>
      <c r="N831" s="131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7.75" customHeight="1">
      <c r="A832" s="29"/>
      <c r="B832" s="29"/>
      <c r="C832" s="29"/>
      <c r="D832" s="29"/>
      <c r="E832" s="29"/>
      <c r="F832" s="30"/>
      <c r="G832" s="66"/>
      <c r="H832" s="130"/>
      <c r="I832" s="84"/>
      <c r="J832" s="17"/>
      <c r="K832" s="133"/>
      <c r="L832" s="135"/>
      <c r="M832" s="19"/>
      <c r="N832" s="131"/>
      <c r="O832" s="30"/>
      <c r="P832" s="29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7.75" customHeight="1">
      <c r="A833" s="29"/>
      <c r="B833" s="29"/>
      <c r="C833" s="29"/>
      <c r="D833" s="29"/>
      <c r="E833" s="29"/>
      <c r="F833" s="30"/>
      <c r="G833" s="66"/>
      <c r="H833" s="130"/>
      <c r="I833" s="84"/>
      <c r="J833" s="17"/>
      <c r="K833" s="133"/>
      <c r="L833" s="135"/>
      <c r="M833" s="19"/>
      <c r="N833" s="131"/>
      <c r="O833" s="30"/>
      <c r="P833" s="29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7.75" customHeight="1">
      <c r="A834" s="29"/>
      <c r="B834" s="29"/>
      <c r="C834" s="29"/>
      <c r="D834" s="29"/>
      <c r="E834" s="29"/>
      <c r="F834" s="30"/>
      <c r="G834" s="66"/>
      <c r="H834" s="130"/>
      <c r="I834" s="84"/>
      <c r="J834" s="17"/>
      <c r="K834" s="133"/>
      <c r="L834" s="135"/>
      <c r="M834" s="19"/>
      <c r="N834" s="131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7.75" customHeight="1">
      <c r="A835" s="29"/>
      <c r="B835" s="29"/>
      <c r="C835" s="29"/>
      <c r="D835" s="29"/>
      <c r="E835" s="29"/>
      <c r="F835" s="30"/>
      <c r="G835" s="66"/>
      <c r="H835" s="130"/>
      <c r="I835" s="84"/>
      <c r="J835" s="17"/>
      <c r="K835" s="133"/>
      <c r="L835" s="135"/>
      <c r="M835" s="19"/>
      <c r="N835" s="131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7.75" customHeight="1">
      <c r="A836" s="29"/>
      <c r="B836" s="29"/>
      <c r="C836" s="29"/>
      <c r="D836" s="29"/>
      <c r="E836" s="29"/>
      <c r="F836" s="30"/>
      <c r="G836" s="66"/>
      <c r="H836" s="130"/>
      <c r="I836" s="84"/>
      <c r="J836" s="17"/>
      <c r="K836" s="133"/>
      <c r="L836" s="135"/>
      <c r="M836" s="19"/>
      <c r="N836" s="131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7.75" customHeight="1">
      <c r="A837" s="29"/>
      <c r="B837" s="29"/>
      <c r="C837" s="29"/>
      <c r="D837" s="29"/>
      <c r="E837" s="29"/>
      <c r="F837" s="30"/>
      <c r="G837" s="66"/>
      <c r="H837" s="130"/>
      <c r="I837" s="84"/>
      <c r="J837" s="17"/>
      <c r="K837" s="133"/>
      <c r="L837" s="135"/>
      <c r="M837" s="19"/>
      <c r="N837" s="131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7.75" customHeight="1">
      <c r="A838" s="29"/>
      <c r="B838" s="29"/>
      <c r="C838" s="29"/>
      <c r="D838" s="29"/>
      <c r="E838" s="29"/>
      <c r="F838" s="30"/>
      <c r="G838" s="66"/>
      <c r="H838" s="130"/>
      <c r="I838" s="84"/>
      <c r="J838" s="17"/>
      <c r="K838" s="133"/>
      <c r="L838" s="135"/>
      <c r="M838" s="19"/>
      <c r="N838" s="131"/>
      <c r="O838" s="30"/>
      <c r="P838" s="29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7.75" customHeight="1">
      <c r="A839" s="29"/>
      <c r="B839" s="29"/>
      <c r="C839" s="29"/>
      <c r="D839" s="29"/>
      <c r="E839" s="29"/>
      <c r="F839" s="30"/>
      <c r="G839" s="66"/>
      <c r="H839" s="130"/>
      <c r="I839" s="84"/>
      <c r="J839" s="17"/>
      <c r="K839" s="133"/>
      <c r="L839" s="135"/>
      <c r="M839" s="19"/>
      <c r="N839" s="131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7.75" customHeight="1">
      <c r="A840" s="29"/>
      <c r="B840" s="29"/>
      <c r="C840" s="29"/>
      <c r="D840" s="29"/>
      <c r="E840" s="29"/>
      <c r="F840" s="30"/>
      <c r="G840" s="66"/>
      <c r="H840" s="130"/>
      <c r="I840" s="84"/>
      <c r="J840" s="17"/>
      <c r="K840" s="133"/>
      <c r="L840" s="135"/>
      <c r="M840" s="19"/>
      <c r="N840" s="131"/>
      <c r="O840" s="30"/>
      <c r="P840" s="29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7.75" customHeight="1">
      <c r="A841" s="29"/>
      <c r="B841" s="29"/>
      <c r="C841" s="29"/>
      <c r="D841" s="29"/>
      <c r="E841" s="29"/>
      <c r="F841" s="30"/>
      <c r="G841" s="66"/>
      <c r="H841" s="130"/>
      <c r="I841" s="84"/>
      <c r="J841" s="17"/>
      <c r="K841" s="133"/>
      <c r="L841" s="135"/>
      <c r="M841" s="19"/>
      <c r="N841" s="131"/>
      <c r="O841" s="30"/>
      <c r="P841" s="29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7.75" customHeight="1">
      <c r="A842" s="29"/>
      <c r="B842" s="29"/>
      <c r="C842" s="29"/>
      <c r="D842" s="29"/>
      <c r="E842" s="29"/>
      <c r="F842" s="30"/>
      <c r="G842" s="66"/>
      <c r="H842" s="130"/>
      <c r="I842" s="84"/>
      <c r="J842" s="17"/>
      <c r="K842" s="133"/>
      <c r="L842" s="135"/>
      <c r="M842" s="19"/>
      <c r="N842" s="131"/>
      <c r="O842" s="30"/>
      <c r="P842" s="29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7.75" customHeight="1">
      <c r="A843" s="29"/>
      <c r="B843" s="29"/>
      <c r="C843" s="29"/>
      <c r="D843" s="29"/>
      <c r="E843" s="29"/>
      <c r="F843" s="30"/>
      <c r="G843" s="66"/>
      <c r="H843" s="130"/>
      <c r="I843" s="84"/>
      <c r="J843" s="17"/>
      <c r="K843" s="133"/>
      <c r="L843" s="135"/>
      <c r="M843" s="19"/>
      <c r="N843" s="131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7.75" customHeight="1">
      <c r="A844" s="29"/>
      <c r="B844" s="29"/>
      <c r="C844" s="29"/>
      <c r="D844" s="29"/>
      <c r="E844" s="29"/>
      <c r="F844" s="30"/>
      <c r="G844" s="66"/>
      <c r="H844" s="130"/>
      <c r="I844" s="84"/>
      <c r="J844" s="17"/>
      <c r="K844" s="133"/>
      <c r="L844" s="135"/>
      <c r="M844" s="19"/>
      <c r="N844" s="131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7.75" customHeight="1">
      <c r="A845" s="29"/>
      <c r="B845" s="29"/>
      <c r="C845" s="29"/>
      <c r="D845" s="29"/>
      <c r="E845" s="29"/>
      <c r="F845" s="30"/>
      <c r="G845" s="66"/>
      <c r="H845" s="130"/>
      <c r="I845" s="84"/>
      <c r="J845" s="17"/>
      <c r="K845" s="133"/>
      <c r="L845" s="135"/>
      <c r="M845" s="19"/>
      <c r="N845" s="131"/>
      <c r="O845" s="30"/>
      <c r="P845" s="29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7.75" customHeight="1">
      <c r="A846" s="29"/>
      <c r="B846" s="29"/>
      <c r="C846" s="29"/>
      <c r="D846" s="29"/>
      <c r="E846" s="29"/>
      <c r="F846" s="30"/>
      <c r="G846" s="66"/>
      <c r="H846" s="130"/>
      <c r="I846" s="84"/>
      <c r="J846" s="17"/>
      <c r="K846" s="133"/>
      <c r="L846" s="135"/>
      <c r="M846" s="19"/>
      <c r="N846" s="131"/>
      <c r="O846" s="30"/>
      <c r="P846" s="29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7.75" customHeight="1">
      <c r="A847" s="29"/>
      <c r="B847" s="29"/>
      <c r="C847" s="29"/>
      <c r="D847" s="29"/>
      <c r="E847" s="29"/>
      <c r="F847" s="30"/>
      <c r="G847" s="66"/>
      <c r="H847" s="130"/>
      <c r="I847" s="84"/>
      <c r="J847" s="17"/>
      <c r="K847" s="133"/>
      <c r="L847" s="135"/>
      <c r="M847" s="19"/>
      <c r="N847" s="131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7.75" customHeight="1">
      <c r="A848" s="29"/>
      <c r="B848" s="29"/>
      <c r="C848" s="29"/>
      <c r="D848" s="29"/>
      <c r="E848" s="29"/>
      <c r="F848" s="30"/>
      <c r="G848" s="66"/>
      <c r="H848" s="130"/>
      <c r="I848" s="84"/>
      <c r="J848" s="17"/>
      <c r="K848" s="133"/>
      <c r="L848" s="135"/>
      <c r="M848" s="19"/>
      <c r="N848" s="131"/>
      <c r="O848" s="30"/>
      <c r="P848" s="29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7.75" customHeight="1">
      <c r="A849" s="29"/>
      <c r="B849" s="29"/>
      <c r="C849" s="29"/>
      <c r="D849" s="29"/>
      <c r="E849" s="29"/>
      <c r="F849" s="30"/>
      <c r="G849" s="66"/>
      <c r="H849" s="130"/>
      <c r="I849" s="84"/>
      <c r="J849" s="17"/>
      <c r="K849" s="133"/>
      <c r="L849" s="135"/>
      <c r="M849" s="19"/>
      <c r="N849" s="131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7.75" customHeight="1">
      <c r="A850" s="29"/>
      <c r="B850" s="29"/>
      <c r="C850" s="29"/>
      <c r="D850" s="29"/>
      <c r="E850" s="29"/>
      <c r="F850" s="30"/>
      <c r="G850" s="66"/>
      <c r="H850" s="130"/>
      <c r="I850" s="84"/>
      <c r="J850" s="17"/>
      <c r="K850" s="133"/>
      <c r="L850" s="135"/>
      <c r="M850" s="19"/>
      <c r="N850" s="131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7.75" customHeight="1">
      <c r="A851" s="29"/>
      <c r="B851" s="29"/>
      <c r="C851" s="29"/>
      <c r="D851" s="29"/>
      <c r="E851" s="29"/>
      <c r="F851" s="30"/>
      <c r="G851" s="66"/>
      <c r="H851" s="130"/>
      <c r="I851" s="84"/>
      <c r="J851" s="17"/>
      <c r="K851" s="133"/>
      <c r="L851" s="135"/>
      <c r="M851" s="19"/>
      <c r="N851" s="131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7.75" customHeight="1">
      <c r="A852" s="29"/>
      <c r="B852" s="29"/>
      <c r="C852" s="29"/>
      <c r="D852" s="29"/>
      <c r="E852" s="29"/>
      <c r="F852" s="30"/>
      <c r="G852" s="66"/>
      <c r="H852" s="130"/>
      <c r="I852" s="84"/>
      <c r="J852" s="17"/>
      <c r="K852" s="133"/>
      <c r="L852" s="135"/>
      <c r="M852" s="19"/>
      <c r="N852" s="131"/>
      <c r="O852" s="30"/>
      <c r="P852" s="29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7.75" customHeight="1">
      <c r="A853" s="29"/>
      <c r="B853" s="29"/>
      <c r="C853" s="29"/>
      <c r="D853" s="29"/>
      <c r="E853" s="29"/>
      <c r="F853" s="30"/>
      <c r="G853" s="66"/>
      <c r="H853" s="130"/>
      <c r="I853" s="84"/>
      <c r="J853" s="17"/>
      <c r="K853" s="133"/>
      <c r="L853" s="135"/>
      <c r="M853" s="19"/>
      <c r="N853" s="131"/>
      <c r="O853" s="30"/>
      <c r="P853" s="29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7.75" customHeight="1">
      <c r="A854" s="29"/>
      <c r="B854" s="29"/>
      <c r="C854" s="29"/>
      <c r="D854" s="29"/>
      <c r="E854" s="29"/>
      <c r="F854" s="30"/>
      <c r="G854" s="66"/>
      <c r="H854" s="130"/>
      <c r="I854" s="84"/>
      <c r="J854" s="17"/>
      <c r="K854" s="133"/>
      <c r="L854" s="135"/>
      <c r="M854" s="19"/>
      <c r="N854" s="131"/>
      <c r="O854" s="30"/>
      <c r="P854" s="29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7.75" customHeight="1">
      <c r="A855" s="29"/>
      <c r="B855" s="29"/>
      <c r="C855" s="29"/>
      <c r="D855" s="29"/>
      <c r="E855" s="29"/>
      <c r="F855" s="30"/>
      <c r="G855" s="66"/>
      <c r="H855" s="130"/>
      <c r="I855" s="84"/>
      <c r="J855" s="17"/>
      <c r="K855" s="133"/>
      <c r="L855" s="135"/>
      <c r="M855" s="19"/>
      <c r="N855" s="131"/>
      <c r="O855" s="30"/>
      <c r="P855" s="29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7.75" customHeight="1">
      <c r="A856" s="29"/>
      <c r="B856" s="29"/>
      <c r="C856" s="29"/>
      <c r="D856" s="29"/>
      <c r="E856" s="29"/>
      <c r="F856" s="30"/>
      <c r="G856" s="66"/>
      <c r="H856" s="130"/>
      <c r="I856" s="84"/>
      <c r="J856" s="17"/>
      <c r="K856" s="133"/>
      <c r="L856" s="135"/>
      <c r="M856" s="19"/>
      <c r="N856" s="131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7.75" customHeight="1">
      <c r="A857" s="29"/>
      <c r="B857" s="29"/>
      <c r="C857" s="29"/>
      <c r="D857" s="29"/>
      <c r="E857" s="29"/>
      <c r="F857" s="30"/>
      <c r="G857" s="66"/>
      <c r="H857" s="130"/>
      <c r="I857" s="84"/>
      <c r="J857" s="17"/>
      <c r="K857" s="133"/>
      <c r="L857" s="135"/>
      <c r="M857" s="19"/>
      <c r="N857" s="131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7.75" customHeight="1">
      <c r="A858" s="29"/>
      <c r="B858" s="29"/>
      <c r="C858" s="29"/>
      <c r="D858" s="29"/>
      <c r="E858" s="29"/>
      <c r="F858" s="30"/>
      <c r="G858" s="66"/>
      <c r="H858" s="130"/>
      <c r="I858" s="84"/>
      <c r="J858" s="17"/>
      <c r="K858" s="133"/>
      <c r="L858" s="135"/>
      <c r="M858" s="19"/>
      <c r="N858" s="131"/>
      <c r="O858" s="30"/>
      <c r="P858" s="29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7.75" customHeight="1">
      <c r="A859" s="29"/>
      <c r="B859" s="29"/>
      <c r="C859" s="29"/>
      <c r="D859" s="29"/>
      <c r="E859" s="29"/>
      <c r="F859" s="30"/>
      <c r="G859" s="66"/>
      <c r="H859" s="130"/>
      <c r="I859" s="84"/>
      <c r="J859" s="17"/>
      <c r="K859" s="133"/>
      <c r="L859" s="135"/>
      <c r="M859" s="19"/>
      <c r="N859" s="131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7.75" customHeight="1">
      <c r="A860" s="29"/>
      <c r="B860" s="29"/>
      <c r="C860" s="29"/>
      <c r="D860" s="29"/>
      <c r="E860" s="29"/>
      <c r="F860" s="30"/>
      <c r="G860" s="66"/>
      <c r="H860" s="130"/>
      <c r="I860" s="84"/>
      <c r="J860" s="17"/>
      <c r="K860" s="133"/>
      <c r="L860" s="135"/>
      <c r="M860" s="19"/>
      <c r="N860" s="131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7.75" customHeight="1">
      <c r="A861" s="29"/>
      <c r="B861" s="29"/>
      <c r="C861" s="29"/>
      <c r="D861" s="29"/>
      <c r="E861" s="29"/>
      <c r="F861" s="30"/>
      <c r="G861" s="66"/>
      <c r="H861" s="130"/>
      <c r="I861" s="84"/>
      <c r="J861" s="17"/>
      <c r="K861" s="133"/>
      <c r="L861" s="135"/>
      <c r="M861" s="19"/>
      <c r="N861" s="131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7.75" customHeight="1">
      <c r="A862" s="29"/>
      <c r="B862" s="29"/>
      <c r="C862" s="29"/>
      <c r="D862" s="29"/>
      <c r="E862" s="29"/>
      <c r="F862" s="30"/>
      <c r="G862" s="66"/>
      <c r="H862" s="130"/>
      <c r="I862" s="84"/>
      <c r="J862" s="17"/>
      <c r="K862" s="133"/>
      <c r="L862" s="135"/>
      <c r="M862" s="19"/>
      <c r="N862" s="131"/>
      <c r="O862" s="30"/>
      <c r="P862" s="29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7.75" customHeight="1">
      <c r="A863" s="29"/>
      <c r="B863" s="29"/>
      <c r="C863" s="29"/>
      <c r="D863" s="29"/>
      <c r="E863" s="29"/>
      <c r="F863" s="30"/>
      <c r="G863" s="66"/>
      <c r="H863" s="130"/>
      <c r="I863" s="84"/>
      <c r="J863" s="17"/>
      <c r="K863" s="133"/>
      <c r="L863" s="135"/>
      <c r="M863" s="19"/>
      <c r="N863" s="131"/>
      <c r="O863" s="30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7.75" customHeight="1">
      <c r="A864" s="29"/>
      <c r="B864" s="29"/>
      <c r="C864" s="29"/>
      <c r="D864" s="29"/>
      <c r="E864" s="29"/>
      <c r="F864" s="30"/>
      <c r="G864" s="66"/>
      <c r="H864" s="130"/>
      <c r="I864" s="84"/>
      <c r="J864" s="17"/>
      <c r="K864" s="133"/>
      <c r="L864" s="135"/>
      <c r="M864" s="19"/>
      <c r="N864" s="131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7.75" customHeight="1">
      <c r="A865" s="29"/>
      <c r="B865" s="29"/>
      <c r="C865" s="29"/>
      <c r="D865" s="29"/>
      <c r="E865" s="29"/>
      <c r="F865" s="30"/>
      <c r="G865" s="66"/>
      <c r="H865" s="130"/>
      <c r="I865" s="84"/>
      <c r="J865" s="17"/>
      <c r="K865" s="133"/>
      <c r="L865" s="135"/>
      <c r="M865" s="19"/>
      <c r="N865" s="131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7.75" customHeight="1">
      <c r="A866" s="29"/>
      <c r="B866" s="29"/>
      <c r="C866" s="29"/>
      <c r="D866" s="29"/>
      <c r="E866" s="29"/>
      <c r="F866" s="30"/>
      <c r="G866" s="66"/>
      <c r="H866" s="130"/>
      <c r="I866" s="84"/>
      <c r="J866" s="17"/>
      <c r="K866" s="133"/>
      <c r="L866" s="135"/>
      <c r="M866" s="19"/>
      <c r="N866" s="131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7.75" customHeight="1">
      <c r="A867" s="29"/>
      <c r="B867" s="29"/>
      <c r="C867" s="29"/>
      <c r="D867" s="29"/>
      <c r="E867" s="29"/>
      <c r="F867" s="30"/>
      <c r="G867" s="66"/>
      <c r="H867" s="130"/>
      <c r="I867" s="84"/>
      <c r="J867" s="17"/>
      <c r="K867" s="133"/>
      <c r="L867" s="135"/>
      <c r="M867" s="19"/>
      <c r="N867" s="131"/>
      <c r="O867" s="30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7.75" customHeight="1">
      <c r="A868" s="29"/>
      <c r="B868" s="29"/>
      <c r="C868" s="29"/>
      <c r="D868" s="29"/>
      <c r="E868" s="29"/>
      <c r="F868" s="30"/>
      <c r="G868" s="66"/>
      <c r="H868" s="130"/>
      <c r="I868" s="84"/>
      <c r="J868" s="17"/>
      <c r="K868" s="133"/>
      <c r="L868" s="135"/>
      <c r="M868" s="19"/>
      <c r="N868" s="131"/>
      <c r="O868" s="30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7.75" customHeight="1">
      <c r="A869" s="29"/>
      <c r="B869" s="29"/>
      <c r="C869" s="29"/>
      <c r="D869" s="29"/>
      <c r="E869" s="29"/>
      <c r="F869" s="30"/>
      <c r="G869" s="66"/>
      <c r="H869" s="130"/>
      <c r="I869" s="84"/>
      <c r="J869" s="17"/>
      <c r="K869" s="133"/>
      <c r="L869" s="135"/>
      <c r="M869" s="19"/>
      <c r="N869" s="131"/>
      <c r="O869" s="30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7.75" customHeight="1">
      <c r="A870" s="29"/>
      <c r="B870" s="29"/>
      <c r="C870" s="29"/>
      <c r="D870" s="29"/>
      <c r="E870" s="29"/>
      <c r="F870" s="30"/>
      <c r="G870" s="66"/>
      <c r="H870" s="130"/>
      <c r="I870" s="84"/>
      <c r="J870" s="17"/>
      <c r="K870" s="133"/>
      <c r="L870" s="135"/>
      <c r="M870" s="19"/>
      <c r="N870" s="131"/>
      <c r="O870" s="30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7.75" customHeight="1">
      <c r="A871" s="29"/>
      <c r="B871" s="29"/>
      <c r="C871" s="29"/>
      <c r="D871" s="29"/>
      <c r="E871" s="29"/>
      <c r="F871" s="30"/>
      <c r="G871" s="66"/>
      <c r="H871" s="130"/>
      <c r="I871" s="84"/>
      <c r="J871" s="17"/>
      <c r="K871" s="133"/>
      <c r="L871" s="135"/>
      <c r="M871" s="19"/>
      <c r="N871" s="131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7.75" customHeight="1">
      <c r="A872" s="29"/>
      <c r="B872" s="29"/>
      <c r="C872" s="29"/>
      <c r="D872" s="29"/>
      <c r="E872" s="29"/>
      <c r="F872" s="30"/>
      <c r="G872" s="66"/>
      <c r="H872" s="130"/>
      <c r="I872" s="84"/>
      <c r="J872" s="17"/>
      <c r="K872" s="133"/>
      <c r="L872" s="135"/>
      <c r="M872" s="19"/>
      <c r="N872" s="131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7.75" customHeight="1">
      <c r="A873" s="29"/>
      <c r="B873" s="29"/>
      <c r="C873" s="29"/>
      <c r="D873" s="29"/>
      <c r="E873" s="29"/>
      <c r="F873" s="30"/>
      <c r="G873" s="66"/>
      <c r="H873" s="130"/>
      <c r="I873" s="84"/>
      <c r="J873" s="17"/>
      <c r="K873" s="133"/>
      <c r="L873" s="135"/>
      <c r="M873" s="19"/>
      <c r="N873" s="131"/>
      <c r="O873" s="30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7.75" customHeight="1">
      <c r="A874" s="29"/>
      <c r="B874" s="29"/>
      <c r="C874" s="29"/>
      <c r="D874" s="29"/>
      <c r="E874" s="29"/>
      <c r="F874" s="30"/>
      <c r="G874" s="66"/>
      <c r="H874" s="130"/>
      <c r="I874" s="84"/>
      <c r="J874" s="17"/>
      <c r="K874" s="133"/>
      <c r="L874" s="135"/>
      <c r="M874" s="19"/>
      <c r="N874" s="131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7.75" customHeight="1">
      <c r="A875" s="29"/>
      <c r="B875" s="29"/>
      <c r="C875" s="29"/>
      <c r="D875" s="29"/>
      <c r="E875" s="29"/>
      <c r="F875" s="30"/>
      <c r="G875" s="66"/>
      <c r="H875" s="130"/>
      <c r="I875" s="84"/>
      <c r="J875" s="17"/>
      <c r="K875" s="133"/>
      <c r="L875" s="135"/>
      <c r="M875" s="19"/>
      <c r="N875" s="131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7.75" customHeight="1">
      <c r="A876" s="29"/>
      <c r="B876" s="29"/>
      <c r="C876" s="29"/>
      <c r="D876" s="29"/>
      <c r="E876" s="29"/>
      <c r="F876" s="30"/>
      <c r="G876" s="66"/>
      <c r="H876" s="130"/>
      <c r="I876" s="84"/>
      <c r="J876" s="17"/>
      <c r="K876" s="133"/>
      <c r="L876" s="135"/>
      <c r="M876" s="19"/>
      <c r="N876" s="131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7.75" customHeight="1">
      <c r="A877" s="29"/>
      <c r="B877" s="29"/>
      <c r="C877" s="29"/>
      <c r="D877" s="29"/>
      <c r="E877" s="29"/>
      <c r="F877" s="30"/>
      <c r="G877" s="66"/>
      <c r="H877" s="130"/>
      <c r="I877" s="84"/>
      <c r="J877" s="17"/>
      <c r="K877" s="133"/>
      <c r="L877" s="135"/>
      <c r="M877" s="19"/>
      <c r="N877" s="131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7.75" customHeight="1">
      <c r="A878" s="29"/>
      <c r="B878" s="29"/>
      <c r="C878" s="29"/>
      <c r="D878" s="29"/>
      <c r="E878" s="29"/>
      <c r="F878" s="30"/>
      <c r="G878" s="66"/>
      <c r="H878" s="130"/>
      <c r="I878" s="84"/>
      <c r="J878" s="17"/>
      <c r="K878" s="133"/>
      <c r="L878" s="135"/>
      <c r="M878" s="19"/>
      <c r="N878" s="131"/>
      <c r="O878" s="30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7.75" customHeight="1">
      <c r="A879" s="29"/>
      <c r="B879" s="29"/>
      <c r="C879" s="29"/>
      <c r="D879" s="29"/>
      <c r="E879" s="29"/>
      <c r="F879" s="30"/>
      <c r="G879" s="66"/>
      <c r="H879" s="130"/>
      <c r="I879" s="84"/>
      <c r="J879" s="17"/>
      <c r="K879" s="133"/>
      <c r="L879" s="135"/>
      <c r="M879" s="19"/>
      <c r="N879" s="131"/>
      <c r="O879" s="30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7.75" customHeight="1">
      <c r="A880" s="29"/>
      <c r="B880" s="29"/>
      <c r="C880" s="29"/>
      <c r="D880" s="29"/>
      <c r="E880" s="29"/>
      <c r="F880" s="30"/>
      <c r="G880" s="66"/>
      <c r="H880" s="130"/>
      <c r="I880" s="84"/>
      <c r="J880" s="17"/>
      <c r="K880" s="133"/>
      <c r="L880" s="135"/>
      <c r="M880" s="19"/>
      <c r="N880" s="131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7.75" customHeight="1">
      <c r="A881" s="29"/>
      <c r="B881" s="29"/>
      <c r="C881" s="29"/>
      <c r="D881" s="29"/>
      <c r="E881" s="29"/>
      <c r="F881" s="30"/>
      <c r="G881" s="66"/>
      <c r="H881" s="130"/>
      <c r="I881" s="84"/>
      <c r="J881" s="17"/>
      <c r="K881" s="133"/>
      <c r="L881" s="135"/>
      <c r="M881" s="19"/>
      <c r="N881" s="131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7.75" customHeight="1">
      <c r="A882" s="29"/>
      <c r="B882" s="29"/>
      <c r="C882" s="29"/>
      <c r="D882" s="29"/>
      <c r="E882" s="29"/>
      <c r="F882" s="30"/>
      <c r="G882" s="66"/>
      <c r="H882" s="130"/>
      <c r="I882" s="84"/>
      <c r="J882" s="17"/>
      <c r="K882" s="133"/>
      <c r="L882" s="135"/>
      <c r="M882" s="19"/>
      <c r="N882" s="131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7.75" customHeight="1">
      <c r="A883" s="29"/>
      <c r="B883" s="29"/>
      <c r="C883" s="29"/>
      <c r="D883" s="29"/>
      <c r="E883" s="29"/>
      <c r="F883" s="30"/>
      <c r="G883" s="66"/>
      <c r="H883" s="130"/>
      <c r="I883" s="84"/>
      <c r="J883" s="17"/>
      <c r="K883" s="133"/>
      <c r="L883" s="135"/>
      <c r="M883" s="19"/>
      <c r="N883" s="131"/>
      <c r="O883" s="30"/>
      <c r="P883" s="29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7.75" customHeight="1">
      <c r="A884" s="29"/>
      <c r="B884" s="29"/>
      <c r="C884" s="29"/>
      <c r="D884" s="29"/>
      <c r="E884" s="29"/>
      <c r="F884" s="30"/>
      <c r="G884" s="66"/>
      <c r="H884" s="130"/>
      <c r="I884" s="84"/>
      <c r="J884" s="17"/>
      <c r="K884" s="133"/>
      <c r="L884" s="135"/>
      <c r="M884" s="19"/>
      <c r="N884" s="131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7.75" customHeight="1">
      <c r="A885" s="29"/>
      <c r="B885" s="29"/>
      <c r="C885" s="29"/>
      <c r="D885" s="29"/>
      <c r="E885" s="29"/>
      <c r="F885" s="30"/>
      <c r="G885" s="66"/>
      <c r="H885" s="130"/>
      <c r="I885" s="84"/>
      <c r="J885" s="17"/>
      <c r="K885" s="133"/>
      <c r="L885" s="135"/>
      <c r="M885" s="19"/>
      <c r="N885" s="131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7.75" customHeight="1">
      <c r="A886" s="29"/>
      <c r="B886" s="29"/>
      <c r="C886" s="29"/>
      <c r="D886" s="29"/>
      <c r="E886" s="29"/>
      <c r="F886" s="30"/>
      <c r="G886" s="66"/>
      <c r="H886" s="130"/>
      <c r="I886" s="84"/>
      <c r="J886" s="17"/>
      <c r="K886" s="133"/>
      <c r="L886" s="135"/>
      <c r="M886" s="19"/>
      <c r="N886" s="131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7.75" customHeight="1">
      <c r="A887" s="29"/>
      <c r="B887" s="29"/>
      <c r="C887" s="29"/>
      <c r="D887" s="29"/>
      <c r="E887" s="29"/>
      <c r="F887" s="30"/>
      <c r="G887" s="66"/>
      <c r="H887" s="130"/>
      <c r="I887" s="84"/>
      <c r="J887" s="17"/>
      <c r="K887" s="133"/>
      <c r="L887" s="135"/>
      <c r="M887" s="19"/>
      <c r="N887" s="131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7.75" customHeight="1">
      <c r="A888" s="29"/>
      <c r="B888" s="29"/>
      <c r="C888" s="29"/>
      <c r="D888" s="29"/>
      <c r="E888" s="29"/>
      <c r="F888" s="30"/>
      <c r="G888" s="66"/>
      <c r="H888" s="130"/>
      <c r="I888" s="84"/>
      <c r="J888" s="17"/>
      <c r="K888" s="133"/>
      <c r="L888" s="135"/>
      <c r="M888" s="19"/>
      <c r="N888" s="131"/>
      <c r="O888" s="30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7.75" customHeight="1">
      <c r="A889" s="29"/>
      <c r="B889" s="29"/>
      <c r="C889" s="29"/>
      <c r="D889" s="29"/>
      <c r="E889" s="29"/>
      <c r="F889" s="30"/>
      <c r="G889" s="66"/>
      <c r="H889" s="130"/>
      <c r="I889" s="84"/>
      <c r="J889" s="17"/>
      <c r="K889" s="133"/>
      <c r="L889" s="135"/>
      <c r="M889" s="19"/>
      <c r="N889" s="131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7.75" customHeight="1">
      <c r="A890" s="29"/>
      <c r="B890" s="29"/>
      <c r="C890" s="29"/>
      <c r="D890" s="29"/>
      <c r="E890" s="29"/>
      <c r="F890" s="30"/>
      <c r="G890" s="66"/>
      <c r="H890" s="130"/>
      <c r="I890" s="84"/>
      <c r="J890" s="17"/>
      <c r="K890" s="133"/>
      <c r="L890" s="135"/>
      <c r="M890" s="19"/>
      <c r="N890" s="131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7.75" customHeight="1">
      <c r="A891" s="29"/>
      <c r="B891" s="29"/>
      <c r="C891" s="29"/>
      <c r="D891" s="29"/>
      <c r="E891" s="29"/>
      <c r="F891" s="30"/>
      <c r="G891" s="66"/>
      <c r="H891" s="130"/>
      <c r="I891" s="84"/>
      <c r="J891" s="17"/>
      <c r="K891" s="133"/>
      <c r="L891" s="135"/>
      <c r="M891" s="19"/>
      <c r="N891" s="131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7.75" customHeight="1">
      <c r="A892" s="29"/>
      <c r="B892" s="29"/>
      <c r="C892" s="29"/>
      <c r="D892" s="29"/>
      <c r="E892" s="29"/>
      <c r="F892" s="30"/>
      <c r="G892" s="66"/>
      <c r="H892" s="130"/>
      <c r="I892" s="84"/>
      <c r="J892" s="17"/>
      <c r="K892" s="133"/>
      <c r="L892" s="135"/>
      <c r="M892" s="19"/>
      <c r="N892" s="131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7.75" customHeight="1">
      <c r="A893" s="29"/>
      <c r="B893" s="29"/>
      <c r="C893" s="29"/>
      <c r="D893" s="29"/>
      <c r="E893" s="29"/>
      <c r="F893" s="30"/>
      <c r="G893" s="66"/>
      <c r="H893" s="130"/>
      <c r="I893" s="84"/>
      <c r="J893" s="17"/>
      <c r="K893" s="133"/>
      <c r="L893" s="135"/>
      <c r="M893" s="19"/>
      <c r="N893" s="131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7.75" customHeight="1">
      <c r="A894" s="29"/>
      <c r="B894" s="29"/>
      <c r="C894" s="29"/>
      <c r="D894" s="29"/>
      <c r="E894" s="29"/>
      <c r="F894" s="30"/>
      <c r="G894" s="66"/>
      <c r="H894" s="130"/>
      <c r="I894" s="84"/>
      <c r="J894" s="17"/>
      <c r="K894" s="133"/>
      <c r="L894" s="135"/>
      <c r="M894" s="19"/>
      <c r="N894" s="131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7.75" customHeight="1">
      <c r="A895" s="29"/>
      <c r="B895" s="29"/>
      <c r="C895" s="29"/>
      <c r="D895" s="29"/>
      <c r="E895" s="29"/>
      <c r="F895" s="30"/>
      <c r="G895" s="66"/>
      <c r="H895" s="130"/>
      <c r="I895" s="84"/>
      <c r="J895" s="17"/>
      <c r="K895" s="133"/>
      <c r="L895" s="135"/>
      <c r="M895" s="19"/>
      <c r="N895" s="131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7.75" customHeight="1">
      <c r="A896" s="29"/>
      <c r="B896" s="29"/>
      <c r="C896" s="29"/>
      <c r="D896" s="29"/>
      <c r="E896" s="29"/>
      <c r="F896" s="30"/>
      <c r="G896" s="66"/>
      <c r="H896" s="130"/>
      <c r="I896" s="84"/>
      <c r="J896" s="17"/>
      <c r="K896" s="133"/>
      <c r="L896" s="135"/>
      <c r="M896" s="19"/>
      <c r="N896" s="131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7.75" customHeight="1">
      <c r="A897" s="29"/>
      <c r="B897" s="29"/>
      <c r="C897" s="29"/>
      <c r="D897" s="29"/>
      <c r="E897" s="29"/>
      <c r="F897" s="30"/>
      <c r="G897" s="66"/>
      <c r="H897" s="130"/>
      <c r="I897" s="84"/>
      <c r="J897" s="17"/>
      <c r="K897" s="133"/>
      <c r="L897" s="135"/>
      <c r="M897" s="19"/>
      <c r="N897" s="131"/>
      <c r="O897" s="30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7.75" customHeight="1">
      <c r="A898" s="29"/>
      <c r="B898" s="29"/>
      <c r="C898" s="29"/>
      <c r="D898" s="29"/>
      <c r="E898" s="29"/>
      <c r="F898" s="30"/>
      <c r="G898" s="66"/>
      <c r="H898" s="130"/>
      <c r="I898" s="84"/>
      <c r="J898" s="17"/>
      <c r="K898" s="133"/>
      <c r="L898" s="135"/>
      <c r="M898" s="19"/>
      <c r="N898" s="131"/>
      <c r="O898" s="30"/>
      <c r="P898" s="29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7.75" customHeight="1">
      <c r="A899" s="29"/>
      <c r="B899" s="29"/>
      <c r="C899" s="29"/>
      <c r="D899" s="29"/>
      <c r="E899" s="29"/>
      <c r="F899" s="30"/>
      <c r="G899" s="66"/>
      <c r="H899" s="130"/>
      <c r="I899" s="84"/>
      <c r="J899" s="17"/>
      <c r="K899" s="133"/>
      <c r="L899" s="135"/>
      <c r="M899" s="19"/>
      <c r="N899" s="131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7.75" customHeight="1">
      <c r="A900" s="29"/>
      <c r="B900" s="29"/>
      <c r="C900" s="29"/>
      <c r="D900" s="29"/>
      <c r="E900" s="29"/>
      <c r="F900" s="30"/>
      <c r="G900" s="66"/>
      <c r="H900" s="130"/>
      <c r="I900" s="84"/>
      <c r="J900" s="17"/>
      <c r="K900" s="133"/>
      <c r="L900" s="135"/>
      <c r="M900" s="19"/>
      <c r="N900" s="131"/>
      <c r="O900" s="30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7.75" customHeight="1">
      <c r="A901" s="29"/>
      <c r="B901" s="29"/>
      <c r="C901" s="29"/>
      <c r="D901" s="29"/>
      <c r="E901" s="29"/>
      <c r="F901" s="30"/>
      <c r="G901" s="66"/>
      <c r="H901" s="130"/>
      <c r="I901" s="84"/>
      <c r="J901" s="17"/>
      <c r="K901" s="133"/>
      <c r="L901" s="135"/>
      <c r="M901" s="19"/>
      <c r="N901" s="131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7.75" customHeight="1">
      <c r="A902" s="29"/>
      <c r="B902" s="29"/>
      <c r="C902" s="29"/>
      <c r="D902" s="29"/>
      <c r="E902" s="29"/>
      <c r="F902" s="30"/>
      <c r="G902" s="66"/>
      <c r="H902" s="130"/>
      <c r="I902" s="84"/>
      <c r="J902" s="17"/>
      <c r="K902" s="133"/>
      <c r="L902" s="135"/>
      <c r="M902" s="19"/>
      <c r="N902" s="131"/>
      <c r="O902" s="30"/>
      <c r="P902" s="29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7.75" customHeight="1">
      <c r="A903" s="29"/>
      <c r="B903" s="29"/>
      <c r="C903" s="29"/>
      <c r="D903" s="29"/>
      <c r="E903" s="29"/>
      <c r="F903" s="30"/>
      <c r="G903" s="66"/>
      <c r="H903" s="130"/>
      <c r="I903" s="84"/>
      <c r="J903" s="17"/>
      <c r="K903" s="133"/>
      <c r="L903" s="135"/>
      <c r="M903" s="19"/>
      <c r="N903" s="131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7.75" customHeight="1">
      <c r="A904" s="29"/>
      <c r="B904" s="29"/>
      <c r="C904" s="29"/>
      <c r="D904" s="29"/>
      <c r="E904" s="29"/>
      <c r="F904" s="30"/>
      <c r="G904" s="66"/>
      <c r="H904" s="130"/>
      <c r="I904" s="84"/>
      <c r="J904" s="17"/>
      <c r="K904" s="133"/>
      <c r="L904" s="135"/>
      <c r="M904" s="19"/>
      <c r="N904" s="131"/>
      <c r="O904" s="30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7.75" customHeight="1">
      <c r="A905" s="29"/>
      <c r="B905" s="29"/>
      <c r="C905" s="29"/>
      <c r="D905" s="29"/>
      <c r="E905" s="29"/>
      <c r="F905" s="30"/>
      <c r="G905" s="66"/>
      <c r="H905" s="130"/>
      <c r="I905" s="84"/>
      <c r="J905" s="17"/>
      <c r="K905" s="133"/>
      <c r="L905" s="135"/>
      <c r="M905" s="19"/>
      <c r="N905" s="131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7.75" customHeight="1">
      <c r="A906" s="29"/>
      <c r="B906" s="29"/>
      <c r="C906" s="29"/>
      <c r="D906" s="29"/>
      <c r="E906" s="29"/>
      <c r="F906" s="30"/>
      <c r="G906" s="66"/>
      <c r="H906" s="130"/>
      <c r="I906" s="84"/>
      <c r="J906" s="17"/>
      <c r="K906" s="133"/>
      <c r="L906" s="135"/>
      <c r="M906" s="19"/>
      <c r="N906" s="131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7.75" customHeight="1">
      <c r="A907" s="29"/>
      <c r="B907" s="29"/>
      <c r="C907" s="29"/>
      <c r="D907" s="29"/>
      <c r="E907" s="29"/>
      <c r="F907" s="30"/>
      <c r="G907" s="66"/>
      <c r="H907" s="130"/>
      <c r="I907" s="84"/>
      <c r="J907" s="17"/>
      <c r="K907" s="133"/>
      <c r="L907" s="135"/>
      <c r="M907" s="19"/>
      <c r="N907" s="131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7.75" customHeight="1">
      <c r="A908" s="29"/>
      <c r="B908" s="29"/>
      <c r="C908" s="29"/>
      <c r="D908" s="29"/>
      <c r="E908" s="29"/>
      <c r="F908" s="30"/>
      <c r="G908" s="66"/>
      <c r="H908" s="130"/>
      <c r="I908" s="84"/>
      <c r="J908" s="17"/>
      <c r="K908" s="133"/>
      <c r="L908" s="135"/>
      <c r="M908" s="19"/>
      <c r="N908" s="131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7.75" customHeight="1">
      <c r="A909" s="29"/>
      <c r="B909" s="29"/>
      <c r="C909" s="29"/>
      <c r="D909" s="29"/>
      <c r="E909" s="29"/>
      <c r="F909" s="30"/>
      <c r="G909" s="66"/>
      <c r="H909" s="130"/>
      <c r="I909" s="84"/>
      <c r="J909" s="17"/>
      <c r="K909" s="133"/>
      <c r="L909" s="135"/>
      <c r="M909" s="19"/>
      <c r="N909" s="131"/>
      <c r="O909" s="30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7.75" customHeight="1">
      <c r="A910" s="29"/>
      <c r="B910" s="29"/>
      <c r="C910" s="29"/>
      <c r="D910" s="29"/>
      <c r="E910" s="29"/>
      <c r="F910" s="30"/>
      <c r="G910" s="66"/>
      <c r="H910" s="130"/>
      <c r="I910" s="84"/>
      <c r="J910" s="17"/>
      <c r="K910" s="133"/>
      <c r="L910" s="135"/>
      <c r="M910" s="19"/>
      <c r="N910" s="131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7.75" customHeight="1">
      <c r="A911" s="29"/>
      <c r="B911" s="29"/>
      <c r="C911" s="29"/>
      <c r="D911" s="29"/>
      <c r="E911" s="29"/>
      <c r="F911" s="30"/>
      <c r="G911" s="66"/>
      <c r="H911" s="130"/>
      <c r="I911" s="84"/>
      <c r="J911" s="17"/>
      <c r="K911" s="133"/>
      <c r="L911" s="135"/>
      <c r="M911" s="19"/>
      <c r="N911" s="131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7.75" customHeight="1">
      <c r="A912" s="29"/>
      <c r="B912" s="29"/>
      <c r="C912" s="29"/>
      <c r="D912" s="29"/>
      <c r="E912" s="29"/>
      <c r="F912" s="30"/>
      <c r="G912" s="66"/>
      <c r="H912" s="130"/>
      <c r="I912" s="84"/>
      <c r="J912" s="17"/>
      <c r="K912" s="133"/>
      <c r="L912" s="135"/>
      <c r="M912" s="19"/>
      <c r="N912" s="131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7.75" customHeight="1">
      <c r="A913" s="29"/>
      <c r="B913" s="29"/>
      <c r="C913" s="29"/>
      <c r="D913" s="29"/>
      <c r="E913" s="29"/>
      <c r="F913" s="30"/>
      <c r="G913" s="66"/>
      <c r="H913" s="130"/>
      <c r="I913" s="84"/>
      <c r="J913" s="17"/>
      <c r="K913" s="133"/>
      <c r="L913" s="135"/>
      <c r="M913" s="19"/>
      <c r="N913" s="131"/>
      <c r="O913" s="30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7.75" customHeight="1">
      <c r="A914" s="29"/>
      <c r="B914" s="29"/>
      <c r="C914" s="29"/>
      <c r="D914" s="29"/>
      <c r="E914" s="29"/>
      <c r="F914" s="30"/>
      <c r="G914" s="66"/>
      <c r="H914" s="130"/>
      <c r="I914" s="84"/>
      <c r="J914" s="17"/>
      <c r="K914" s="133"/>
      <c r="L914" s="135"/>
      <c r="M914" s="19"/>
      <c r="N914" s="131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7.75" customHeight="1">
      <c r="A915" s="29"/>
      <c r="B915" s="29"/>
      <c r="C915" s="29"/>
      <c r="D915" s="29"/>
      <c r="E915" s="29"/>
      <c r="F915" s="30"/>
      <c r="G915" s="66"/>
      <c r="H915" s="130"/>
      <c r="I915" s="84"/>
      <c r="J915" s="17"/>
      <c r="K915" s="133"/>
      <c r="L915" s="135"/>
      <c r="M915" s="19"/>
      <c r="N915" s="131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7.75" customHeight="1">
      <c r="A916" s="29"/>
      <c r="B916" s="29"/>
      <c r="C916" s="29"/>
      <c r="D916" s="29"/>
      <c r="E916" s="29"/>
      <c r="F916" s="30"/>
      <c r="G916" s="66"/>
      <c r="H916" s="130"/>
      <c r="I916" s="84"/>
      <c r="J916" s="17"/>
      <c r="K916" s="133"/>
      <c r="L916" s="135"/>
      <c r="M916" s="19"/>
      <c r="N916" s="131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7.75" customHeight="1">
      <c r="A917" s="29"/>
      <c r="B917" s="29"/>
      <c r="C917" s="29"/>
      <c r="D917" s="29"/>
      <c r="E917" s="29"/>
      <c r="F917" s="30"/>
      <c r="G917" s="66"/>
      <c r="H917" s="130"/>
      <c r="I917" s="84"/>
      <c r="J917" s="17"/>
      <c r="K917" s="133"/>
      <c r="L917" s="135"/>
      <c r="M917" s="19"/>
      <c r="N917" s="131"/>
      <c r="O917" s="30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7.75" customHeight="1">
      <c r="A918" s="29"/>
      <c r="B918" s="29"/>
      <c r="C918" s="29"/>
      <c r="D918" s="29"/>
      <c r="E918" s="29"/>
      <c r="F918" s="30"/>
      <c r="G918" s="66"/>
      <c r="H918" s="130"/>
      <c r="I918" s="84"/>
      <c r="J918" s="17"/>
      <c r="K918" s="133"/>
      <c r="L918" s="135"/>
      <c r="M918" s="19"/>
      <c r="N918" s="131"/>
      <c r="O918" s="30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7.75" customHeight="1">
      <c r="A919" s="29"/>
      <c r="B919" s="29"/>
      <c r="C919" s="29"/>
      <c r="D919" s="29"/>
      <c r="E919" s="29"/>
      <c r="F919" s="30"/>
      <c r="G919" s="66"/>
      <c r="H919" s="130"/>
      <c r="I919" s="84"/>
      <c r="J919" s="17"/>
      <c r="K919" s="133"/>
      <c r="L919" s="135"/>
      <c r="M919" s="19"/>
      <c r="N919" s="131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7.75" customHeight="1">
      <c r="A920" s="29"/>
      <c r="B920" s="29"/>
      <c r="C920" s="29"/>
      <c r="D920" s="29"/>
      <c r="E920" s="29"/>
      <c r="F920" s="30"/>
      <c r="G920" s="66"/>
      <c r="H920" s="130"/>
      <c r="I920" s="84"/>
      <c r="J920" s="17"/>
      <c r="K920" s="133"/>
      <c r="L920" s="135"/>
      <c r="M920" s="19"/>
      <c r="N920" s="131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7.75" customHeight="1">
      <c r="A921" s="29"/>
      <c r="B921" s="29"/>
      <c r="C921" s="29"/>
      <c r="D921" s="29"/>
      <c r="E921" s="29"/>
      <c r="F921" s="30"/>
      <c r="G921" s="66"/>
      <c r="H921" s="130"/>
      <c r="I921" s="84"/>
      <c r="J921" s="17"/>
      <c r="K921" s="133"/>
      <c r="L921" s="135"/>
      <c r="M921" s="19"/>
      <c r="N921" s="131"/>
      <c r="O921" s="30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7.75" customHeight="1">
      <c r="A922" s="29"/>
      <c r="B922" s="29"/>
      <c r="C922" s="29"/>
      <c r="D922" s="29"/>
      <c r="E922" s="29"/>
      <c r="F922" s="30"/>
      <c r="G922" s="66"/>
      <c r="H922" s="130"/>
      <c r="I922" s="84"/>
      <c r="J922" s="17"/>
      <c r="K922" s="133"/>
      <c r="L922" s="135"/>
      <c r="M922" s="19"/>
      <c r="N922" s="131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7.75" customHeight="1">
      <c r="A923" s="29"/>
      <c r="B923" s="29"/>
      <c r="C923" s="29"/>
      <c r="D923" s="29"/>
      <c r="E923" s="29"/>
      <c r="F923" s="30"/>
      <c r="G923" s="66"/>
      <c r="H923" s="130"/>
      <c r="I923" s="84"/>
      <c r="J923" s="17"/>
      <c r="K923" s="133"/>
      <c r="L923" s="135"/>
      <c r="M923" s="19"/>
      <c r="N923" s="131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7.75" customHeight="1">
      <c r="A924" s="29"/>
      <c r="B924" s="29"/>
      <c r="C924" s="29"/>
      <c r="D924" s="29"/>
      <c r="E924" s="29"/>
      <c r="F924" s="30"/>
      <c r="G924" s="66"/>
      <c r="H924" s="130"/>
      <c r="I924" s="84"/>
      <c r="J924" s="17"/>
      <c r="K924" s="133"/>
      <c r="L924" s="135"/>
      <c r="M924" s="19"/>
      <c r="N924" s="131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7.75" customHeight="1">
      <c r="A925" s="29"/>
      <c r="B925" s="29"/>
      <c r="C925" s="29"/>
      <c r="D925" s="29"/>
      <c r="E925" s="29"/>
      <c r="F925" s="30"/>
      <c r="G925" s="66"/>
      <c r="H925" s="130"/>
      <c r="I925" s="84"/>
      <c r="J925" s="17"/>
      <c r="K925" s="133"/>
      <c r="L925" s="135"/>
      <c r="M925" s="19"/>
      <c r="N925" s="131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7.75" customHeight="1">
      <c r="A926" s="29"/>
      <c r="B926" s="29"/>
      <c r="C926" s="29"/>
      <c r="D926" s="29"/>
      <c r="E926" s="29"/>
      <c r="F926" s="30"/>
      <c r="G926" s="66"/>
      <c r="H926" s="130"/>
      <c r="I926" s="84"/>
      <c r="J926" s="17"/>
      <c r="K926" s="133"/>
      <c r="L926" s="135"/>
      <c r="M926" s="19"/>
      <c r="N926" s="131"/>
      <c r="O926" s="30"/>
      <c r="P926" s="29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7.75" customHeight="1">
      <c r="A927" s="29"/>
      <c r="B927" s="29"/>
      <c r="C927" s="29"/>
      <c r="D927" s="29"/>
      <c r="E927" s="29"/>
      <c r="F927" s="30"/>
      <c r="G927" s="66"/>
      <c r="H927" s="130"/>
      <c r="I927" s="84"/>
      <c r="J927" s="17"/>
      <c r="K927" s="133"/>
      <c r="L927" s="135"/>
      <c r="M927" s="19"/>
      <c r="N927" s="131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7.75" customHeight="1">
      <c r="A928" s="29"/>
      <c r="B928" s="29"/>
      <c r="C928" s="29"/>
      <c r="D928" s="29"/>
      <c r="E928" s="29"/>
      <c r="F928" s="30"/>
      <c r="G928" s="66"/>
      <c r="H928" s="130"/>
      <c r="I928" s="84"/>
      <c r="J928" s="17"/>
      <c r="K928" s="133"/>
      <c r="L928" s="135"/>
      <c r="M928" s="19"/>
      <c r="N928" s="131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7.75" customHeight="1">
      <c r="A929" s="29"/>
      <c r="B929" s="29"/>
      <c r="C929" s="29"/>
      <c r="D929" s="29"/>
      <c r="E929" s="29"/>
      <c r="F929" s="30"/>
      <c r="G929" s="66"/>
      <c r="H929" s="130"/>
      <c r="I929" s="84"/>
      <c r="J929" s="17"/>
      <c r="K929" s="133"/>
      <c r="L929" s="135"/>
      <c r="M929" s="19"/>
      <c r="N929" s="131"/>
      <c r="O929" s="30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7.75" customHeight="1">
      <c r="A930" s="29"/>
      <c r="B930" s="29"/>
      <c r="C930" s="29"/>
      <c r="D930" s="29"/>
      <c r="E930" s="29"/>
      <c r="F930" s="30"/>
      <c r="G930" s="66"/>
      <c r="H930" s="130"/>
      <c r="I930" s="84"/>
      <c r="J930" s="17"/>
      <c r="K930" s="133"/>
      <c r="L930" s="135"/>
      <c r="M930" s="19"/>
      <c r="N930" s="131"/>
      <c r="O930" s="30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7.75" customHeight="1">
      <c r="A931" s="29"/>
      <c r="B931" s="29"/>
      <c r="C931" s="29"/>
      <c r="D931" s="29"/>
      <c r="E931" s="29"/>
      <c r="F931" s="30"/>
      <c r="G931" s="66"/>
      <c r="H931" s="130"/>
      <c r="I931" s="84"/>
      <c r="J931" s="17"/>
      <c r="K931" s="133"/>
      <c r="L931" s="135"/>
      <c r="M931" s="19"/>
      <c r="N931" s="131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7.75" customHeight="1">
      <c r="A932" s="29"/>
      <c r="B932" s="29"/>
      <c r="C932" s="29"/>
      <c r="D932" s="29"/>
      <c r="E932" s="29"/>
      <c r="F932" s="30"/>
      <c r="G932" s="66"/>
      <c r="H932" s="130"/>
      <c r="I932" s="84"/>
      <c r="J932" s="17"/>
      <c r="K932" s="133"/>
      <c r="L932" s="135"/>
      <c r="M932" s="19"/>
      <c r="N932" s="131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7.75" customHeight="1">
      <c r="A933" s="29"/>
      <c r="B933" s="29"/>
      <c r="C933" s="29"/>
      <c r="D933" s="29"/>
      <c r="E933" s="29"/>
      <c r="F933" s="30"/>
      <c r="G933" s="66"/>
      <c r="H933" s="130"/>
      <c r="I933" s="84"/>
      <c r="J933" s="17"/>
      <c r="K933" s="133"/>
      <c r="L933" s="135"/>
      <c r="M933" s="19"/>
      <c r="N933" s="131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7.75" customHeight="1">
      <c r="A934" s="29"/>
      <c r="B934" s="29"/>
      <c r="C934" s="29"/>
      <c r="D934" s="29"/>
      <c r="E934" s="29"/>
      <c r="F934" s="30"/>
      <c r="G934" s="66"/>
      <c r="H934" s="130"/>
      <c r="I934" s="84"/>
      <c r="J934" s="17"/>
      <c r="K934" s="133"/>
      <c r="L934" s="135"/>
      <c r="M934" s="19"/>
      <c r="N934" s="131"/>
      <c r="O934" s="30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7.75" customHeight="1">
      <c r="A935" s="29"/>
      <c r="B935" s="29"/>
      <c r="C935" s="29"/>
      <c r="D935" s="29"/>
      <c r="E935" s="29"/>
      <c r="F935" s="30"/>
      <c r="G935" s="66"/>
      <c r="H935" s="130"/>
      <c r="I935" s="84"/>
      <c r="J935" s="17"/>
      <c r="K935" s="133"/>
      <c r="L935" s="135"/>
      <c r="M935" s="19"/>
      <c r="N935" s="131"/>
      <c r="O935" s="30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7.75" customHeight="1">
      <c r="A936" s="29"/>
      <c r="B936" s="29"/>
      <c r="C936" s="29"/>
      <c r="D936" s="29"/>
      <c r="E936" s="29"/>
      <c r="F936" s="30"/>
      <c r="G936" s="66"/>
      <c r="H936" s="130"/>
      <c r="I936" s="84"/>
      <c r="J936" s="17"/>
      <c r="K936" s="133"/>
      <c r="L936" s="135"/>
      <c r="M936" s="19"/>
      <c r="N936" s="131"/>
      <c r="O936" s="30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7.75" customHeight="1">
      <c r="A937" s="29"/>
      <c r="B937" s="29"/>
      <c r="C937" s="29"/>
      <c r="D937" s="29"/>
      <c r="E937" s="29"/>
      <c r="F937" s="30"/>
      <c r="G937" s="66"/>
      <c r="H937" s="130"/>
      <c r="I937" s="84"/>
      <c r="J937" s="17"/>
      <c r="K937" s="133"/>
      <c r="L937" s="135"/>
      <c r="M937" s="19"/>
      <c r="N937" s="131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7.75" customHeight="1">
      <c r="A938" s="29"/>
      <c r="B938" s="29"/>
      <c r="C938" s="29"/>
      <c r="D938" s="29"/>
      <c r="E938" s="29"/>
      <c r="F938" s="30"/>
      <c r="G938" s="66"/>
      <c r="H938" s="130"/>
      <c r="I938" s="84"/>
      <c r="J938" s="17"/>
      <c r="K938" s="133"/>
      <c r="L938" s="135"/>
      <c r="M938" s="19"/>
      <c r="N938" s="131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7.75" customHeight="1">
      <c r="A939" s="29"/>
      <c r="B939" s="29"/>
      <c r="C939" s="29"/>
      <c r="D939" s="29"/>
      <c r="E939" s="29"/>
      <c r="F939" s="30"/>
      <c r="G939" s="66"/>
      <c r="H939" s="130"/>
      <c r="I939" s="84"/>
      <c r="J939" s="17"/>
      <c r="K939" s="133"/>
      <c r="L939" s="135"/>
      <c r="M939" s="19"/>
      <c r="N939" s="131"/>
      <c r="O939" s="30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7.75" customHeight="1">
      <c r="A940" s="29"/>
      <c r="B940" s="29"/>
      <c r="C940" s="29"/>
      <c r="D940" s="29"/>
      <c r="E940" s="29"/>
      <c r="F940" s="30"/>
      <c r="G940" s="66"/>
      <c r="H940" s="130"/>
      <c r="I940" s="84"/>
      <c r="J940" s="17"/>
      <c r="K940" s="133"/>
      <c r="L940" s="135"/>
      <c r="M940" s="19"/>
      <c r="N940" s="131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7.75" customHeight="1">
      <c r="A941" s="29"/>
      <c r="B941" s="29"/>
      <c r="C941" s="29"/>
      <c r="D941" s="29"/>
      <c r="E941" s="29"/>
      <c r="F941" s="30"/>
      <c r="G941" s="66"/>
      <c r="H941" s="130"/>
      <c r="I941" s="84"/>
      <c r="J941" s="17"/>
      <c r="K941" s="133"/>
      <c r="L941" s="135"/>
      <c r="M941" s="19"/>
      <c r="N941" s="131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7.75" customHeight="1">
      <c r="A942" s="29"/>
      <c r="B942" s="29"/>
      <c r="C942" s="29"/>
      <c r="D942" s="29"/>
      <c r="E942" s="29"/>
      <c r="F942" s="30"/>
      <c r="G942" s="66"/>
      <c r="H942" s="130"/>
      <c r="I942" s="84"/>
      <c r="J942" s="17"/>
      <c r="K942" s="133"/>
      <c r="L942" s="135"/>
      <c r="M942" s="19"/>
      <c r="N942" s="131"/>
      <c r="O942" s="30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7.75" customHeight="1">
      <c r="A943" s="29"/>
      <c r="B943" s="29"/>
      <c r="C943" s="29"/>
      <c r="D943" s="29"/>
      <c r="E943" s="29"/>
      <c r="F943" s="30"/>
      <c r="G943" s="66"/>
      <c r="H943" s="130"/>
      <c r="I943" s="84"/>
      <c r="J943" s="17"/>
      <c r="K943" s="133"/>
      <c r="L943" s="135"/>
      <c r="M943" s="19"/>
      <c r="N943" s="131"/>
      <c r="O943" s="30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7.75" customHeight="1">
      <c r="A944" s="29"/>
      <c r="B944" s="29"/>
      <c r="C944" s="29"/>
      <c r="D944" s="29"/>
      <c r="E944" s="29"/>
      <c r="F944" s="30"/>
      <c r="G944" s="66"/>
      <c r="H944" s="130"/>
      <c r="I944" s="84"/>
      <c r="J944" s="17"/>
      <c r="K944" s="133"/>
      <c r="L944" s="135"/>
      <c r="M944" s="19"/>
      <c r="N944" s="131"/>
      <c r="O944" s="30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7.75" customHeight="1">
      <c r="A945" s="29"/>
      <c r="B945" s="29"/>
      <c r="C945" s="29"/>
      <c r="D945" s="29"/>
      <c r="E945" s="29"/>
      <c r="F945" s="30"/>
      <c r="G945" s="66"/>
      <c r="H945" s="130"/>
      <c r="I945" s="84"/>
      <c r="J945" s="17"/>
      <c r="K945" s="133"/>
      <c r="L945" s="135"/>
      <c r="M945" s="19"/>
      <c r="N945" s="131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7.75" customHeight="1">
      <c r="A946" s="29"/>
      <c r="B946" s="29"/>
      <c r="C946" s="29"/>
      <c r="D946" s="29"/>
      <c r="E946" s="29"/>
      <c r="F946" s="30"/>
      <c r="G946" s="66"/>
      <c r="H946" s="130"/>
      <c r="I946" s="84"/>
      <c r="J946" s="17"/>
      <c r="K946" s="133"/>
      <c r="L946" s="135"/>
      <c r="M946" s="19"/>
      <c r="N946" s="131"/>
      <c r="O946" s="30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7.75" customHeight="1">
      <c r="A947" s="29"/>
      <c r="B947" s="29"/>
      <c r="C947" s="29"/>
      <c r="D947" s="29"/>
      <c r="E947" s="29"/>
      <c r="F947" s="30"/>
      <c r="G947" s="66"/>
      <c r="H947" s="130"/>
      <c r="I947" s="84"/>
      <c r="J947" s="17"/>
      <c r="K947" s="133"/>
      <c r="L947" s="135"/>
      <c r="M947" s="19"/>
      <c r="N947" s="131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7.75" customHeight="1">
      <c r="A948" s="29"/>
      <c r="B948" s="29"/>
      <c r="C948" s="29"/>
      <c r="D948" s="29"/>
      <c r="E948" s="29"/>
      <c r="F948" s="30"/>
      <c r="G948" s="66"/>
      <c r="H948" s="130"/>
      <c r="I948" s="84"/>
      <c r="J948" s="17"/>
      <c r="K948" s="133"/>
      <c r="L948" s="135"/>
      <c r="M948" s="19"/>
      <c r="N948" s="131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7.75" customHeight="1">
      <c r="A949" s="29"/>
      <c r="B949" s="29"/>
      <c r="C949" s="29"/>
      <c r="D949" s="29"/>
      <c r="E949" s="29"/>
      <c r="F949" s="30"/>
      <c r="G949" s="66"/>
      <c r="H949" s="130"/>
      <c r="I949" s="84"/>
      <c r="J949" s="17"/>
      <c r="K949" s="133"/>
      <c r="L949" s="135"/>
      <c r="M949" s="19"/>
      <c r="N949" s="131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7.75" customHeight="1">
      <c r="A950" s="29"/>
      <c r="B950" s="29"/>
      <c r="C950" s="29"/>
      <c r="D950" s="29"/>
      <c r="E950" s="29"/>
      <c r="F950" s="30"/>
      <c r="G950" s="66"/>
      <c r="H950" s="130"/>
      <c r="I950" s="84"/>
      <c r="J950" s="17"/>
      <c r="K950" s="133"/>
      <c r="L950" s="135"/>
      <c r="M950" s="19"/>
      <c r="N950" s="131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7.75" customHeight="1">
      <c r="A951" s="29"/>
      <c r="B951" s="29"/>
      <c r="C951" s="29"/>
      <c r="D951" s="29"/>
      <c r="E951" s="29"/>
      <c r="F951" s="30"/>
      <c r="G951" s="66"/>
      <c r="H951" s="130"/>
      <c r="I951" s="84"/>
      <c r="J951" s="17"/>
      <c r="K951" s="133"/>
      <c r="L951" s="135"/>
      <c r="M951" s="19"/>
      <c r="N951" s="131"/>
      <c r="O951" s="30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7.75" customHeight="1">
      <c r="A952" s="29"/>
      <c r="B952" s="29"/>
      <c r="C952" s="29"/>
      <c r="D952" s="29"/>
      <c r="E952" s="29"/>
      <c r="F952" s="30"/>
      <c r="G952" s="66"/>
      <c r="H952" s="130"/>
      <c r="I952" s="84"/>
      <c r="J952" s="17"/>
      <c r="K952" s="133"/>
      <c r="L952" s="135"/>
      <c r="M952" s="19"/>
      <c r="N952" s="131"/>
      <c r="O952" s="30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7.75" customHeight="1">
      <c r="A953" s="29"/>
      <c r="B953" s="29"/>
      <c r="C953" s="29"/>
      <c r="D953" s="29"/>
      <c r="E953" s="29"/>
      <c r="F953" s="30"/>
      <c r="G953" s="66"/>
      <c r="H953" s="130"/>
      <c r="I953" s="84"/>
      <c r="J953" s="17"/>
      <c r="K953" s="133"/>
      <c r="L953" s="135"/>
      <c r="M953" s="19"/>
      <c r="N953" s="131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7.75" customHeight="1">
      <c r="A954" s="29"/>
      <c r="B954" s="29"/>
      <c r="C954" s="29"/>
      <c r="D954" s="29"/>
      <c r="E954" s="29"/>
      <c r="F954" s="30"/>
      <c r="G954" s="66"/>
      <c r="H954" s="130"/>
      <c r="I954" s="84"/>
      <c r="J954" s="17"/>
      <c r="K954" s="133"/>
      <c r="L954" s="135"/>
      <c r="M954" s="19"/>
      <c r="N954" s="131"/>
      <c r="O954" s="30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7.75" customHeight="1">
      <c r="A955" s="29"/>
      <c r="B955" s="29"/>
      <c r="C955" s="29"/>
      <c r="D955" s="29"/>
      <c r="E955" s="29"/>
      <c r="F955" s="30"/>
      <c r="G955" s="66"/>
      <c r="H955" s="130"/>
      <c r="I955" s="84"/>
      <c r="J955" s="17"/>
      <c r="K955" s="133"/>
      <c r="L955" s="135"/>
      <c r="M955" s="19"/>
      <c r="N955" s="131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7.75" customHeight="1">
      <c r="A956" s="29"/>
      <c r="B956" s="29"/>
      <c r="C956" s="29"/>
      <c r="D956" s="29"/>
      <c r="E956" s="29"/>
      <c r="F956" s="30"/>
      <c r="G956" s="66"/>
      <c r="H956" s="130"/>
      <c r="I956" s="84"/>
      <c r="J956" s="17"/>
      <c r="K956" s="133"/>
      <c r="L956" s="135"/>
      <c r="M956" s="19"/>
      <c r="N956" s="131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7.75" customHeight="1">
      <c r="A957" s="29"/>
      <c r="B957" s="29"/>
      <c r="C957" s="29"/>
      <c r="D957" s="29"/>
      <c r="E957" s="29"/>
      <c r="F957" s="30"/>
      <c r="G957" s="66"/>
      <c r="H957" s="130"/>
      <c r="I957" s="84"/>
      <c r="J957" s="17"/>
      <c r="K957" s="133"/>
      <c r="L957" s="135"/>
      <c r="M957" s="19"/>
      <c r="N957" s="131"/>
      <c r="O957" s="30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7.75" customHeight="1">
      <c r="A958" s="29"/>
      <c r="B958" s="29"/>
      <c r="C958" s="29"/>
      <c r="D958" s="29"/>
      <c r="E958" s="29"/>
      <c r="F958" s="30"/>
      <c r="G958" s="66"/>
      <c r="H958" s="130"/>
      <c r="I958" s="84"/>
      <c r="J958" s="17"/>
      <c r="K958" s="133"/>
      <c r="L958" s="135"/>
      <c r="M958" s="19"/>
      <c r="N958" s="131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7.75" customHeight="1">
      <c r="A959" s="29"/>
      <c r="B959" s="29"/>
      <c r="C959" s="29"/>
      <c r="D959" s="29"/>
      <c r="E959" s="29"/>
      <c r="F959" s="30"/>
      <c r="G959" s="66"/>
      <c r="H959" s="130"/>
      <c r="I959" s="84"/>
      <c r="J959" s="17"/>
      <c r="K959" s="133"/>
      <c r="L959" s="135"/>
      <c r="M959" s="19"/>
      <c r="N959" s="131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7.75" customHeight="1">
      <c r="A960" s="29"/>
      <c r="B960" s="29"/>
      <c r="C960" s="29"/>
      <c r="D960" s="29"/>
      <c r="E960" s="29"/>
      <c r="F960" s="30"/>
      <c r="G960" s="66"/>
      <c r="H960" s="130"/>
      <c r="I960" s="84"/>
      <c r="J960" s="17"/>
      <c r="K960" s="133"/>
      <c r="L960" s="135"/>
      <c r="M960" s="19"/>
      <c r="N960" s="131"/>
      <c r="O960" s="30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7.75" customHeight="1">
      <c r="A961" s="29"/>
      <c r="B961" s="29"/>
      <c r="C961" s="29"/>
      <c r="D961" s="29"/>
      <c r="E961" s="29"/>
      <c r="F961" s="30"/>
      <c r="G961" s="66"/>
      <c r="H961" s="130"/>
      <c r="I961" s="84"/>
      <c r="J961" s="17"/>
      <c r="K961" s="133"/>
      <c r="L961" s="135"/>
      <c r="M961" s="19"/>
      <c r="N961" s="131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7.75" customHeight="1">
      <c r="A962" s="29"/>
      <c r="B962" s="29"/>
      <c r="C962" s="29"/>
      <c r="D962" s="29"/>
      <c r="E962" s="29"/>
      <c r="F962" s="30"/>
      <c r="G962" s="66"/>
      <c r="H962" s="130"/>
      <c r="I962" s="84"/>
      <c r="J962" s="17"/>
      <c r="K962" s="133"/>
      <c r="L962" s="135"/>
      <c r="M962" s="19"/>
      <c r="N962" s="131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7.75" customHeight="1">
      <c r="A963" s="29"/>
      <c r="B963" s="29"/>
      <c r="C963" s="29"/>
      <c r="D963" s="29"/>
      <c r="E963" s="29"/>
      <c r="F963" s="30"/>
      <c r="G963" s="66"/>
      <c r="H963" s="130"/>
      <c r="I963" s="84"/>
      <c r="J963" s="17"/>
      <c r="K963" s="133"/>
      <c r="L963" s="135"/>
      <c r="M963" s="19"/>
      <c r="N963" s="131"/>
      <c r="O963" s="30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7.75" customHeight="1">
      <c r="A964" s="29"/>
      <c r="B964" s="29"/>
      <c r="C964" s="29"/>
      <c r="D964" s="29"/>
      <c r="E964" s="29"/>
      <c r="F964" s="30"/>
      <c r="G964" s="66"/>
      <c r="H964" s="130"/>
      <c r="I964" s="84"/>
      <c r="J964" s="17"/>
      <c r="K964" s="133"/>
      <c r="L964" s="135"/>
      <c r="M964" s="19"/>
      <c r="N964" s="131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7.75" customHeight="1">
      <c r="A965" s="29"/>
      <c r="B965" s="29"/>
      <c r="C965" s="29"/>
      <c r="D965" s="29"/>
      <c r="E965" s="29"/>
      <c r="F965" s="30"/>
      <c r="G965" s="66"/>
      <c r="H965" s="130"/>
      <c r="I965" s="84"/>
      <c r="J965" s="17"/>
      <c r="K965" s="133"/>
      <c r="L965" s="135"/>
      <c r="M965" s="19"/>
      <c r="N965" s="131"/>
      <c r="O965" s="30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7.75" customHeight="1">
      <c r="A966" s="29"/>
      <c r="B966" s="29"/>
      <c r="C966" s="29"/>
      <c r="D966" s="29"/>
      <c r="E966" s="29"/>
      <c r="F966" s="30"/>
      <c r="G966" s="66"/>
      <c r="H966" s="130"/>
      <c r="I966" s="84"/>
      <c r="J966" s="17"/>
      <c r="K966" s="133"/>
      <c r="L966" s="135"/>
      <c r="M966" s="19"/>
      <c r="N966" s="131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7.75" customHeight="1">
      <c r="A967" s="29"/>
      <c r="B967" s="29"/>
      <c r="C967" s="29"/>
      <c r="D967" s="29"/>
      <c r="E967" s="29"/>
      <c r="F967" s="30"/>
      <c r="G967" s="66"/>
      <c r="H967" s="130"/>
      <c r="I967" s="84"/>
      <c r="J967" s="17"/>
      <c r="K967" s="133"/>
      <c r="L967" s="135"/>
      <c r="M967" s="19"/>
      <c r="N967" s="131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27.75" customHeight="1">
      <c r="A968" s="29"/>
      <c r="B968" s="29"/>
      <c r="C968" s="29"/>
      <c r="D968" s="29"/>
      <c r="E968" s="29"/>
      <c r="F968" s="30"/>
      <c r="G968" s="66"/>
      <c r="H968" s="130"/>
      <c r="I968" s="84"/>
      <c r="J968" s="17"/>
      <c r="K968" s="133"/>
      <c r="L968" s="135"/>
      <c r="M968" s="19"/>
      <c r="N968" s="131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27.75" customHeight="1">
      <c r="A969" s="29"/>
      <c r="B969" s="29"/>
      <c r="C969" s="29"/>
      <c r="D969" s="29"/>
      <c r="E969" s="29"/>
      <c r="F969" s="30"/>
      <c r="G969" s="66"/>
      <c r="H969" s="130"/>
      <c r="I969" s="84"/>
      <c r="J969" s="17"/>
      <c r="K969" s="133"/>
      <c r="L969" s="135"/>
      <c r="M969" s="19"/>
      <c r="N969" s="131"/>
      <c r="O969" s="30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27.75" customHeight="1">
      <c r="A970" s="29"/>
      <c r="B970" s="29"/>
      <c r="C970" s="29"/>
      <c r="D970" s="29"/>
      <c r="E970" s="29"/>
      <c r="F970" s="30"/>
      <c r="G970" s="66"/>
      <c r="H970" s="130"/>
      <c r="I970" s="84"/>
      <c r="J970" s="17"/>
      <c r="K970" s="133"/>
      <c r="L970" s="135"/>
      <c r="M970" s="19"/>
      <c r="N970" s="131"/>
      <c r="O970" s="30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27.75" customHeight="1">
      <c r="A971" s="29"/>
      <c r="B971" s="29"/>
      <c r="C971" s="29"/>
      <c r="D971" s="29"/>
      <c r="E971" s="29"/>
      <c r="F971" s="30"/>
      <c r="G971" s="66"/>
      <c r="H971" s="130"/>
      <c r="I971" s="84"/>
      <c r="J971" s="17"/>
      <c r="K971" s="133"/>
      <c r="L971" s="135"/>
      <c r="M971" s="19"/>
      <c r="N971" s="131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27.75" customHeight="1">
      <c r="A972" s="29"/>
      <c r="B972" s="29"/>
      <c r="C972" s="29"/>
      <c r="D972" s="29"/>
      <c r="E972" s="29"/>
      <c r="F972" s="30"/>
      <c r="G972" s="66"/>
      <c r="H972" s="130"/>
      <c r="I972" s="84"/>
      <c r="J972" s="17"/>
      <c r="K972" s="133"/>
      <c r="L972" s="135"/>
      <c r="M972" s="19"/>
      <c r="N972" s="131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27.75" customHeight="1">
      <c r="A973" s="29"/>
      <c r="B973" s="29"/>
      <c r="C973" s="29"/>
      <c r="D973" s="29"/>
      <c r="E973" s="29"/>
      <c r="F973" s="30"/>
      <c r="G973" s="66"/>
      <c r="H973" s="130"/>
      <c r="I973" s="84"/>
      <c r="J973" s="17"/>
      <c r="K973" s="133"/>
      <c r="L973" s="135"/>
      <c r="M973" s="19"/>
      <c r="N973" s="131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27.75" customHeight="1">
      <c r="A974" s="29"/>
      <c r="B974" s="29"/>
      <c r="C974" s="29"/>
      <c r="D974" s="29"/>
      <c r="E974" s="29"/>
      <c r="F974" s="30"/>
      <c r="G974" s="66"/>
      <c r="H974" s="130"/>
      <c r="I974" s="84"/>
      <c r="J974" s="17"/>
      <c r="K974" s="133"/>
      <c r="L974" s="135"/>
      <c r="M974" s="19"/>
      <c r="N974" s="131"/>
      <c r="O974" s="30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27.75" customHeight="1">
      <c r="A975" s="29"/>
      <c r="B975" s="29"/>
      <c r="C975" s="29"/>
      <c r="D975" s="29"/>
      <c r="E975" s="29"/>
      <c r="F975" s="30"/>
      <c r="G975" s="66"/>
      <c r="H975" s="130"/>
      <c r="I975" s="84"/>
      <c r="J975" s="17"/>
      <c r="K975" s="133"/>
      <c r="L975" s="135"/>
      <c r="M975" s="19"/>
      <c r="N975" s="131"/>
      <c r="O975" s="30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27.75" customHeight="1">
      <c r="A976" s="29"/>
      <c r="B976" s="29"/>
      <c r="C976" s="29"/>
      <c r="D976" s="29"/>
      <c r="E976" s="29"/>
      <c r="F976" s="30"/>
      <c r="G976" s="66"/>
      <c r="H976" s="130"/>
      <c r="I976" s="84"/>
      <c r="J976" s="17"/>
      <c r="K976" s="133"/>
      <c r="L976" s="135"/>
      <c r="M976" s="19"/>
      <c r="N976" s="131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27.75" customHeight="1">
      <c r="A977" s="29"/>
      <c r="B977" s="29"/>
      <c r="C977" s="29"/>
      <c r="D977" s="29"/>
      <c r="E977" s="29"/>
      <c r="F977" s="30"/>
      <c r="G977" s="66"/>
      <c r="H977" s="130"/>
      <c r="I977" s="84"/>
      <c r="J977" s="17"/>
      <c r="K977" s="133"/>
      <c r="L977" s="135"/>
      <c r="M977" s="19"/>
      <c r="N977" s="131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27.75" customHeight="1">
      <c r="A978" s="29"/>
      <c r="B978" s="29"/>
      <c r="C978" s="29"/>
      <c r="D978" s="29"/>
      <c r="E978" s="29"/>
      <c r="F978" s="30"/>
      <c r="G978" s="66"/>
      <c r="H978" s="130"/>
      <c r="I978" s="84"/>
      <c r="J978" s="17"/>
      <c r="K978" s="133"/>
      <c r="L978" s="135"/>
      <c r="M978" s="19"/>
      <c r="N978" s="131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27.75" customHeight="1">
      <c r="A979" s="29"/>
      <c r="B979" s="29"/>
      <c r="C979" s="29"/>
      <c r="D979" s="29"/>
      <c r="E979" s="29"/>
      <c r="F979" s="30"/>
      <c r="G979" s="66"/>
      <c r="H979" s="130"/>
      <c r="I979" s="84"/>
      <c r="J979" s="17"/>
      <c r="K979" s="133"/>
      <c r="L979" s="135"/>
      <c r="M979" s="19"/>
      <c r="N979" s="131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27.75" customHeight="1">
      <c r="A980" s="29"/>
      <c r="B980" s="29"/>
      <c r="C980" s="29"/>
      <c r="D980" s="29"/>
      <c r="E980" s="29"/>
      <c r="F980" s="30"/>
      <c r="G980" s="66"/>
      <c r="H980" s="130"/>
      <c r="I980" s="84"/>
      <c r="J980" s="17"/>
      <c r="K980" s="133"/>
      <c r="L980" s="135"/>
      <c r="M980" s="19"/>
      <c r="N980" s="131"/>
      <c r="O980" s="30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27.75" customHeight="1">
      <c r="A981" s="29"/>
      <c r="B981" s="29"/>
      <c r="C981" s="29"/>
      <c r="D981" s="29"/>
      <c r="E981" s="29"/>
      <c r="F981" s="30"/>
      <c r="G981" s="66"/>
      <c r="H981" s="130"/>
      <c r="I981" s="84"/>
      <c r="J981" s="17"/>
      <c r="K981" s="133"/>
      <c r="L981" s="135"/>
      <c r="M981" s="19"/>
      <c r="N981" s="131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27.75" customHeight="1">
      <c r="A982" s="29"/>
      <c r="B982" s="29"/>
      <c r="C982" s="29"/>
      <c r="D982" s="29"/>
      <c r="E982" s="29"/>
      <c r="F982" s="30"/>
      <c r="G982" s="66"/>
      <c r="H982" s="130"/>
      <c r="I982" s="84"/>
      <c r="J982" s="17"/>
      <c r="K982" s="133"/>
      <c r="L982" s="135"/>
      <c r="M982" s="19"/>
      <c r="N982" s="131"/>
      <c r="O982" s="30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27.75" customHeight="1">
      <c r="A983" s="29"/>
      <c r="B983" s="29"/>
      <c r="C983" s="29"/>
      <c r="D983" s="29"/>
      <c r="E983" s="29"/>
      <c r="F983" s="30"/>
      <c r="G983" s="66"/>
      <c r="H983" s="130"/>
      <c r="I983" s="84"/>
      <c r="J983" s="17"/>
      <c r="K983" s="133"/>
      <c r="L983" s="135"/>
      <c r="M983" s="19"/>
      <c r="N983" s="131"/>
      <c r="O983" s="30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27.75" customHeight="1">
      <c r="A984" s="29"/>
      <c r="B984" s="29"/>
      <c r="C984" s="29"/>
      <c r="D984" s="29"/>
      <c r="E984" s="29"/>
      <c r="F984" s="30"/>
      <c r="G984" s="66"/>
      <c r="H984" s="130"/>
      <c r="I984" s="84"/>
      <c r="J984" s="17"/>
      <c r="K984" s="133"/>
      <c r="L984" s="135"/>
      <c r="M984" s="19"/>
      <c r="N984" s="131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27.75" customHeight="1">
      <c r="A985" s="29"/>
      <c r="B985" s="29"/>
      <c r="C985" s="29"/>
      <c r="D985" s="29"/>
      <c r="E985" s="29"/>
      <c r="F985" s="30"/>
      <c r="G985" s="66"/>
      <c r="H985" s="130"/>
      <c r="I985" s="84"/>
      <c r="J985" s="17"/>
      <c r="K985" s="133"/>
      <c r="L985" s="135"/>
      <c r="M985" s="19"/>
      <c r="N985" s="131"/>
      <c r="O985" s="30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27.75" customHeight="1">
      <c r="A986" s="29"/>
      <c r="B986" s="29"/>
      <c r="C986" s="29"/>
      <c r="D986" s="29"/>
      <c r="E986" s="29"/>
      <c r="F986" s="30"/>
      <c r="G986" s="66"/>
      <c r="H986" s="130"/>
      <c r="I986" s="84"/>
      <c r="J986" s="17"/>
      <c r="K986" s="133"/>
      <c r="L986" s="135"/>
      <c r="M986" s="19"/>
      <c r="N986" s="131"/>
      <c r="O986" s="30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27.75" customHeight="1">
      <c r="A987" s="29"/>
      <c r="B987" s="29"/>
      <c r="C987" s="29"/>
      <c r="D987" s="29"/>
      <c r="E987" s="29"/>
      <c r="F987" s="30"/>
      <c r="G987" s="66"/>
      <c r="H987" s="130"/>
      <c r="I987" s="84"/>
      <c r="J987" s="17"/>
      <c r="K987" s="133"/>
      <c r="L987" s="135"/>
      <c r="M987" s="19"/>
      <c r="N987" s="131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27.75" customHeight="1">
      <c r="A988" s="29"/>
      <c r="B988" s="29"/>
      <c r="C988" s="29"/>
      <c r="D988" s="29"/>
      <c r="E988" s="29"/>
      <c r="F988" s="30"/>
      <c r="G988" s="66"/>
      <c r="H988" s="130"/>
      <c r="I988" s="84"/>
      <c r="J988" s="17"/>
      <c r="K988" s="133"/>
      <c r="L988" s="135"/>
      <c r="M988" s="19"/>
      <c r="N988" s="131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27.75" customHeight="1">
      <c r="A989" s="29"/>
      <c r="B989" s="29"/>
      <c r="C989" s="29"/>
      <c r="D989" s="29"/>
      <c r="E989" s="29"/>
      <c r="F989" s="30"/>
      <c r="G989" s="66"/>
      <c r="H989" s="130"/>
      <c r="I989" s="84"/>
      <c r="J989" s="17"/>
      <c r="K989" s="133"/>
      <c r="L989" s="135"/>
      <c r="M989" s="19"/>
      <c r="N989" s="131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27.75" customHeight="1">
      <c r="A990" s="29"/>
      <c r="B990" s="29"/>
      <c r="C990" s="29"/>
      <c r="D990" s="29"/>
      <c r="E990" s="29"/>
      <c r="F990" s="30"/>
      <c r="G990" s="66"/>
      <c r="H990" s="130"/>
      <c r="I990" s="84"/>
      <c r="J990" s="17"/>
      <c r="K990" s="133"/>
      <c r="L990" s="135"/>
      <c r="M990" s="19"/>
      <c r="N990" s="131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27.75" customHeight="1">
      <c r="A991" s="29"/>
      <c r="B991" s="29"/>
      <c r="C991" s="29"/>
      <c r="D991" s="29"/>
      <c r="E991" s="29"/>
      <c r="F991" s="30"/>
      <c r="G991" s="66"/>
      <c r="H991" s="130"/>
      <c r="I991" s="84"/>
      <c r="J991" s="17"/>
      <c r="K991" s="133"/>
      <c r="L991" s="135"/>
      <c r="M991" s="19"/>
      <c r="N991" s="131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27.75" customHeight="1">
      <c r="A992" s="29"/>
      <c r="B992" s="29"/>
      <c r="C992" s="29"/>
      <c r="D992" s="29"/>
      <c r="E992" s="29"/>
      <c r="F992" s="30"/>
      <c r="G992" s="66"/>
      <c r="H992" s="130"/>
      <c r="I992" s="84"/>
      <c r="J992" s="17"/>
      <c r="K992" s="133"/>
      <c r="L992" s="135"/>
      <c r="M992" s="19"/>
      <c r="N992" s="131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27.75" customHeight="1">
      <c r="A993" s="29"/>
      <c r="B993" s="29"/>
      <c r="C993" s="29"/>
      <c r="D993" s="29"/>
      <c r="E993" s="29"/>
      <c r="F993" s="30"/>
      <c r="G993" s="66"/>
      <c r="H993" s="130"/>
      <c r="I993" s="84"/>
      <c r="J993" s="17"/>
      <c r="K993" s="133"/>
      <c r="L993" s="135"/>
      <c r="M993" s="19"/>
      <c r="N993" s="131"/>
      <c r="O993" s="30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27.75" customHeight="1">
      <c r="A994" s="29"/>
      <c r="B994" s="29"/>
      <c r="C994" s="29"/>
      <c r="D994" s="29"/>
      <c r="E994" s="29"/>
      <c r="F994" s="30"/>
      <c r="G994" s="66"/>
      <c r="H994" s="130"/>
      <c r="I994" s="84"/>
      <c r="J994" s="17"/>
      <c r="K994" s="133"/>
      <c r="L994" s="135"/>
      <c r="M994" s="19"/>
      <c r="N994" s="131"/>
      <c r="O994" s="30"/>
      <c r="P994" s="29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27.75" customHeight="1">
      <c r="A995" s="29"/>
      <c r="B995" s="29"/>
      <c r="C995" s="29"/>
      <c r="D995" s="29"/>
      <c r="E995" s="29"/>
      <c r="F995" s="30"/>
      <c r="G995" s="66"/>
      <c r="H995" s="130"/>
      <c r="I995" s="84"/>
      <c r="J995" s="17"/>
      <c r="K995" s="133"/>
      <c r="L995" s="135"/>
      <c r="M995" s="19"/>
      <c r="N995" s="131"/>
      <c r="O995" s="30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27.75" customHeight="1">
      <c r="A996" s="29"/>
      <c r="B996" s="29"/>
      <c r="C996" s="29"/>
      <c r="D996" s="29"/>
      <c r="E996" s="29"/>
      <c r="F996" s="30"/>
      <c r="G996" s="66"/>
      <c r="H996" s="130"/>
      <c r="I996" s="84"/>
      <c r="J996" s="17"/>
      <c r="K996" s="133"/>
      <c r="L996" s="135"/>
      <c r="M996" s="19"/>
      <c r="N996" s="131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27.75" customHeight="1">
      <c r="A997" s="29"/>
      <c r="B997" s="29"/>
      <c r="C997" s="29"/>
      <c r="D997" s="29"/>
      <c r="E997" s="29"/>
      <c r="F997" s="30"/>
      <c r="G997" s="66"/>
      <c r="H997" s="130"/>
      <c r="I997" s="84"/>
      <c r="J997" s="17"/>
      <c r="K997" s="133"/>
      <c r="L997" s="135"/>
      <c r="M997" s="19"/>
      <c r="N997" s="131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27.75" customHeight="1">
      <c r="A998" s="29"/>
      <c r="B998" s="29"/>
      <c r="C998" s="29"/>
      <c r="D998" s="29"/>
      <c r="E998" s="29"/>
      <c r="F998" s="30"/>
      <c r="G998" s="66"/>
      <c r="H998" s="130"/>
      <c r="I998" s="84"/>
      <c r="J998" s="17"/>
      <c r="K998" s="133"/>
      <c r="L998" s="135"/>
      <c r="M998" s="19"/>
      <c r="N998" s="131"/>
      <c r="O998" s="30"/>
      <c r="P998" s="29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27.75" customHeight="1">
      <c r="A999" s="29"/>
      <c r="B999" s="29"/>
      <c r="C999" s="29"/>
      <c r="D999" s="29"/>
      <c r="E999" s="29"/>
      <c r="F999" s="30"/>
      <c r="G999" s="66"/>
      <c r="H999" s="130"/>
      <c r="I999" s="84"/>
      <c r="J999" s="17"/>
      <c r="K999" s="133"/>
      <c r="L999" s="135"/>
      <c r="M999" s="19"/>
      <c r="N999" s="131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27.75" customHeight="1">
      <c r="A1000" s="29"/>
      <c r="B1000" s="29"/>
      <c r="C1000" s="29"/>
      <c r="D1000" s="29"/>
      <c r="E1000" s="29"/>
      <c r="F1000" s="30"/>
      <c r="G1000" s="66"/>
      <c r="H1000" s="130"/>
      <c r="I1000" s="84"/>
      <c r="J1000" s="17"/>
      <c r="K1000" s="133"/>
      <c r="L1000" s="135"/>
      <c r="M1000" s="19"/>
      <c r="N1000" s="131"/>
      <c r="O1000" s="30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6">
    <mergeCell ref="C1:O1"/>
    <mergeCell ref="G4:N4"/>
    <mergeCell ref="G5:G6"/>
    <mergeCell ref="H5:H6"/>
    <mergeCell ref="I5:K5"/>
    <mergeCell ref="L5:N5"/>
  </mergeCells>
  <conditionalFormatting sqref="G1:N1000">
    <cfRule type="expression" dxfId="3" priority="1">
      <formula>AND(ISODD(ROW()),ROW()&gt;ROW($G$6))</formula>
    </cfRule>
  </conditionalFormatting>
  <dataValidations>
    <dataValidation type="list" allowBlank="1" showErrorMessage="1" sqref="C7">
      <formula1>"1,2月,3,4,5,6,7,8,9,10,11,12"</formula1>
    </dataValidation>
  </dataValidations>
  <printOptions/>
  <pageMargins bottom="1.0" footer="0.0" header="0.0" left="0.75" right="0.75" top="1.0"/>
  <pageSetup orientation="landscape"/>
  <drawing r:id="rId1"/>
</worksheet>
</file>