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0" activeTab="3"/>
  </bookViews>
  <sheets>
    <sheet name="July-19 " sheetId="9" r:id="rId1"/>
    <sheet name="August-19 " sheetId="10" r:id="rId2"/>
    <sheet name="September-19 " sheetId="11" r:id="rId3"/>
    <sheet name="Oct-19 " sheetId="12" r:id="rId4"/>
    <sheet name="Nov-19  " sheetId="13" r:id="rId5"/>
    <sheet name="Dec-19  " sheetId="14" r:id="rId6"/>
    <sheet name="Jan-20 " sheetId="15" r:id="rId7"/>
    <sheet name="Feb-20  " sheetId="16" r:id="rId8"/>
    <sheet name="Mar-20 " sheetId="17" r:id="rId9"/>
    <sheet name="Apr-20 " sheetId="18" r:id="rId10"/>
    <sheet name="May-20 " sheetId="19" r:id="rId11"/>
    <sheet name="June-20 " sheetId="20" r:id="rId12"/>
    <sheet name="YTD Summary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1">'August-19 '!$T$2:$V$23</definedName>
  </definedNames>
  <calcPr calcId="152511"/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D18" i="12"/>
  <c r="I18" i="12"/>
  <c r="I17" i="12" l="1"/>
  <c r="I16" i="12" l="1"/>
  <c r="I15" i="12" l="1"/>
  <c r="I14" i="12" l="1"/>
  <c r="I13" i="12" l="1"/>
  <c r="I12" i="12" l="1"/>
  <c r="D11" i="12" l="1"/>
  <c r="I10" i="12" l="1"/>
  <c r="I9" i="12" l="1"/>
  <c r="I8" i="12" l="1"/>
  <c r="I7" i="12" l="1"/>
  <c r="I6" i="12" l="1"/>
  <c r="I4" i="12" l="1"/>
  <c r="H5" i="12" l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4" i="12"/>
  <c r="D9" i="12"/>
  <c r="D12" i="12"/>
  <c r="D16" i="12"/>
  <c r="D17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4" i="12"/>
  <c r="F16" i="12" l="1"/>
  <c r="M35" i="20"/>
  <c r="M35" i="19"/>
  <c r="M35" i="18"/>
  <c r="M35" i="17"/>
  <c r="M35" i="16"/>
  <c r="M35" i="15"/>
  <c r="M35" i="14"/>
  <c r="M35" i="13"/>
  <c r="D33" i="11" l="1"/>
  <c r="I32" i="11" l="1"/>
  <c r="D31" i="11" l="1"/>
  <c r="I31" i="11" l="1"/>
  <c r="D27" i="11" l="1"/>
  <c r="I25" i="11" l="1"/>
  <c r="I24" i="11" l="1"/>
  <c r="I23" i="11" l="1"/>
  <c r="D23" i="11" l="1"/>
  <c r="D21" i="11" l="1"/>
  <c r="I18" i="11" l="1"/>
  <c r="I17" i="11" l="1"/>
  <c r="D16" i="11" l="1"/>
  <c r="C16" i="11" s="1"/>
  <c r="I16" i="11"/>
  <c r="I10" i="11" l="1"/>
  <c r="I9" i="11" l="1"/>
  <c r="D9" i="11"/>
  <c r="I7" i="11" l="1"/>
  <c r="I6" i="11" l="1"/>
  <c r="I5" i="11" l="1"/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4" i="11"/>
  <c r="D5" i="11"/>
  <c r="D6" i="11"/>
  <c r="D7" i="11"/>
  <c r="D10" i="11"/>
  <c r="D19" i="11"/>
  <c r="D20" i="11"/>
  <c r="D25" i="11"/>
  <c r="D4" i="11"/>
  <c r="M4" i="11" s="1"/>
  <c r="H34" i="11" l="1"/>
  <c r="D34" i="11"/>
  <c r="Q35" i="11" l="1"/>
  <c r="B35" i="11"/>
  <c r="R34" i="11"/>
  <c r="O34" i="11"/>
  <c r="N34" i="11" s="1"/>
  <c r="M34" i="11"/>
  <c r="K34" i="11"/>
  <c r="J34" i="11"/>
  <c r="L34" i="11"/>
  <c r="C34" i="11"/>
  <c r="M33" i="11"/>
  <c r="R33" i="11"/>
  <c r="K33" i="11"/>
  <c r="R32" i="11"/>
  <c r="K32" i="11"/>
  <c r="R31" i="11"/>
  <c r="K31" i="11"/>
  <c r="J31" i="11"/>
  <c r="R30" i="11"/>
  <c r="K30" i="11"/>
  <c r="R29" i="11"/>
  <c r="K29" i="11"/>
  <c r="R28" i="11"/>
  <c r="K28" i="11"/>
  <c r="R27" i="11"/>
  <c r="M27" i="11"/>
  <c r="L27" i="11"/>
  <c r="K27" i="11"/>
  <c r="C27" i="11"/>
  <c r="K26" i="11"/>
  <c r="R26" i="11"/>
  <c r="R25" i="11"/>
  <c r="M25" i="11"/>
  <c r="K25" i="11"/>
  <c r="R24" i="11"/>
  <c r="K24" i="11"/>
  <c r="O23" i="11"/>
  <c r="N23" i="11" s="1"/>
  <c r="M23" i="11"/>
  <c r="R23" i="11"/>
  <c r="L23" i="11"/>
  <c r="C23" i="11"/>
  <c r="R22" i="11"/>
  <c r="K22" i="11"/>
  <c r="R21" i="11"/>
  <c r="K21" i="11"/>
  <c r="K20" i="11"/>
  <c r="R20" i="11"/>
  <c r="O19" i="11"/>
  <c r="K19" i="11"/>
  <c r="J19" i="11"/>
  <c r="R19" i="11"/>
  <c r="L19" i="11"/>
  <c r="M19" i="11"/>
  <c r="C19" i="11"/>
  <c r="K18" i="11"/>
  <c r="R18" i="11"/>
  <c r="R17" i="11"/>
  <c r="K17" i="11"/>
  <c r="R16" i="11"/>
  <c r="K16" i="11"/>
  <c r="R15" i="11"/>
  <c r="K15" i="11"/>
  <c r="R14" i="11"/>
  <c r="K14" i="11"/>
  <c r="R13" i="11"/>
  <c r="K13" i="11"/>
  <c r="R12" i="11"/>
  <c r="K12" i="11"/>
  <c r="R11" i="11"/>
  <c r="K11" i="11"/>
  <c r="M10" i="11"/>
  <c r="R10" i="11"/>
  <c r="K10" i="11"/>
  <c r="C10" i="11"/>
  <c r="K9" i="11"/>
  <c r="R9" i="11"/>
  <c r="K8" i="11"/>
  <c r="R8" i="11"/>
  <c r="O7" i="11"/>
  <c r="N7" i="11" s="1"/>
  <c r="R7" i="11"/>
  <c r="K7" i="11"/>
  <c r="C7" i="11"/>
  <c r="U6" i="11"/>
  <c r="E31" i="11" s="1"/>
  <c r="O6" i="11"/>
  <c r="N6" i="11" s="1"/>
  <c r="L6" i="11"/>
  <c r="R6" i="11"/>
  <c r="C6" i="11"/>
  <c r="O5" i="11"/>
  <c r="N5" i="11" s="1"/>
  <c r="K5" i="11"/>
  <c r="J5" i="11"/>
  <c r="R5" i="11"/>
  <c r="M5" i="11"/>
  <c r="C5" i="11"/>
  <c r="O4" i="11"/>
  <c r="P4" i="11" s="1"/>
  <c r="C4" i="11"/>
  <c r="E17" i="11" l="1"/>
  <c r="E34" i="11"/>
  <c r="F34" i="11" s="1"/>
  <c r="E22" i="11"/>
  <c r="E7" i="11"/>
  <c r="F7" i="11" s="1"/>
  <c r="G7" i="11" s="1"/>
  <c r="E4" i="11"/>
  <c r="F4" i="11" s="1"/>
  <c r="G4" i="11" s="1"/>
  <c r="E13" i="11"/>
  <c r="E23" i="11"/>
  <c r="F23" i="11" s="1"/>
  <c r="G23" i="11" s="1"/>
  <c r="G34" i="11"/>
  <c r="N4" i="11"/>
  <c r="P5" i="11"/>
  <c r="P6" i="11" s="1"/>
  <c r="P7" i="11" s="1"/>
  <c r="E12" i="11"/>
  <c r="E28" i="11"/>
  <c r="E10" i="11"/>
  <c r="F10" i="11" s="1"/>
  <c r="E14" i="11"/>
  <c r="E16" i="11"/>
  <c r="E25" i="11"/>
  <c r="F25" i="11" s="1"/>
  <c r="E29" i="11"/>
  <c r="E33" i="11"/>
  <c r="F33" i="11" s="1"/>
  <c r="E6" i="11"/>
  <c r="F6" i="11" s="1"/>
  <c r="G6" i="11" s="1"/>
  <c r="E5" i="11"/>
  <c r="F5" i="11" s="1"/>
  <c r="G5" i="11" s="1"/>
  <c r="E11" i="11"/>
  <c r="E15" i="11"/>
  <c r="I35" i="11"/>
  <c r="R35" i="11" s="1"/>
  <c r="K4" i="11"/>
  <c r="M20" i="11"/>
  <c r="L20" i="11"/>
  <c r="C20" i="11"/>
  <c r="O20" i="11"/>
  <c r="J20" i="11"/>
  <c r="J4" i="11"/>
  <c r="R4" i="11"/>
  <c r="H35" i="11"/>
  <c r="J7" i="11"/>
  <c r="M7" i="11"/>
  <c r="L31" i="11"/>
  <c r="C31" i="11"/>
  <c r="M31" i="11"/>
  <c r="F31" i="11"/>
  <c r="J6" i="11"/>
  <c r="M6" i="11"/>
  <c r="O31" i="11"/>
  <c r="K6" i="11"/>
  <c r="L7" i="11"/>
  <c r="N19" i="11"/>
  <c r="J10" i="11"/>
  <c r="O10" i="11"/>
  <c r="O33" i="11"/>
  <c r="C33" i="11"/>
  <c r="L5" i="11"/>
  <c r="J23" i="11"/>
  <c r="J27" i="11"/>
  <c r="O27" i="11"/>
  <c r="J33" i="11"/>
  <c r="L4" i="11"/>
  <c r="E32" i="11"/>
  <c r="E30" i="11"/>
  <c r="E26" i="11"/>
  <c r="E24" i="11"/>
  <c r="E21" i="11"/>
  <c r="E20" i="11"/>
  <c r="F20" i="11" s="1"/>
  <c r="E19" i="11"/>
  <c r="F19" i="11" s="1"/>
  <c r="G19" i="11" s="1"/>
  <c r="E18" i="11"/>
  <c r="E8" i="11"/>
  <c r="E9" i="11"/>
  <c r="L10" i="11"/>
  <c r="K23" i="11"/>
  <c r="L25" i="11"/>
  <c r="C25" i="11"/>
  <c r="J25" i="11"/>
  <c r="O25" i="11"/>
  <c r="E27" i="11"/>
  <c r="F27" i="11" s="1"/>
  <c r="L33" i="11"/>
  <c r="I34" i="10"/>
  <c r="G33" i="11" l="1"/>
  <c r="N33" i="11"/>
  <c r="E35" i="11"/>
  <c r="N10" i="11"/>
  <c r="G10" i="11"/>
  <c r="U9" i="11"/>
  <c r="K35" i="11"/>
  <c r="H6" i="3" s="1"/>
  <c r="U16" i="11"/>
  <c r="G31" i="11"/>
  <c r="N31" i="11"/>
  <c r="N27" i="11"/>
  <c r="G27" i="11"/>
  <c r="G25" i="11"/>
  <c r="N25" i="11"/>
  <c r="G20" i="11"/>
  <c r="N20" i="11"/>
  <c r="I33" i="10"/>
  <c r="D30" i="10" l="1"/>
  <c r="I29" i="10" l="1"/>
  <c r="D29" i="10"/>
  <c r="I28" i="10" l="1"/>
  <c r="I27" i="10" l="1"/>
  <c r="I26" i="10" l="1"/>
  <c r="I23" i="10" l="1"/>
  <c r="D22" i="10" l="1"/>
  <c r="I21" i="10" l="1"/>
  <c r="I20" i="10" l="1"/>
  <c r="I19" i="10" l="1"/>
  <c r="D18" i="10" l="1"/>
  <c r="I18" i="10"/>
  <c r="I14" i="10" l="1"/>
  <c r="D14" i="10" l="1"/>
  <c r="D13" i="10" l="1"/>
  <c r="I13" i="10"/>
  <c r="D12" i="10" l="1"/>
  <c r="I12" i="10" l="1"/>
  <c r="I11" i="10" l="1"/>
  <c r="I10" i="10" l="1"/>
  <c r="I9" i="10" l="1"/>
  <c r="I8" i="10" l="1"/>
  <c r="I7" i="10" l="1"/>
  <c r="I6" i="10" l="1"/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4" i="10"/>
  <c r="D5" i="10"/>
  <c r="D9" i="10"/>
  <c r="D16" i="10"/>
  <c r="D17" i="10"/>
  <c r="D23" i="10"/>
  <c r="D24" i="10"/>
  <c r="D4" i="10"/>
  <c r="I4" i="10" l="1"/>
  <c r="I5" i="10" l="1"/>
  <c r="I34" i="9" l="1"/>
  <c r="U19" i="20" l="1"/>
  <c r="U19" i="19"/>
  <c r="U19" i="18"/>
  <c r="U19" i="17"/>
  <c r="U19" i="16"/>
  <c r="U19" i="15"/>
  <c r="U19" i="14"/>
  <c r="U19" i="13"/>
  <c r="I31" i="9"/>
  <c r="H31" i="9" l="1"/>
  <c r="F15" i="3" l="1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H10" i="3" s="1"/>
  <c r="D10" i="3"/>
  <c r="G10" i="3" s="1"/>
  <c r="F9" i="3"/>
  <c r="E9" i="3"/>
  <c r="D9" i="3"/>
  <c r="F8" i="3"/>
  <c r="E8" i="3"/>
  <c r="D8" i="3"/>
  <c r="C6" i="3"/>
  <c r="D36" i="20" l="1"/>
  <c r="D37" i="20" s="1"/>
  <c r="D38" i="20" s="1"/>
  <c r="R35" i="20"/>
  <c r="Q35" i="20"/>
  <c r="K35" i="20"/>
  <c r="J35" i="20"/>
  <c r="I35" i="20"/>
  <c r="U16" i="20" s="1"/>
  <c r="H35" i="20"/>
  <c r="D35" i="20"/>
  <c r="B35" i="20"/>
  <c r="R34" i="20"/>
  <c r="O34" i="20"/>
  <c r="N34" i="20"/>
  <c r="M34" i="20"/>
  <c r="L34" i="20"/>
  <c r="K34" i="20"/>
  <c r="J34" i="20"/>
  <c r="G34" i="20"/>
  <c r="C34" i="20"/>
  <c r="R33" i="20"/>
  <c r="O33" i="20"/>
  <c r="N33" i="20"/>
  <c r="M33" i="20"/>
  <c r="L33" i="20"/>
  <c r="K33" i="20"/>
  <c r="J33" i="20"/>
  <c r="G33" i="20"/>
  <c r="C33" i="20"/>
  <c r="R32" i="20"/>
  <c r="O32" i="20"/>
  <c r="N32" i="20"/>
  <c r="M32" i="20"/>
  <c r="L32" i="20"/>
  <c r="K32" i="20"/>
  <c r="J32" i="20"/>
  <c r="G32" i="20"/>
  <c r="C32" i="20"/>
  <c r="R31" i="20"/>
  <c r="O31" i="20"/>
  <c r="N31" i="20"/>
  <c r="M31" i="20"/>
  <c r="L31" i="20"/>
  <c r="K31" i="20"/>
  <c r="J31" i="20"/>
  <c r="G31" i="20"/>
  <c r="C31" i="20"/>
  <c r="R30" i="20"/>
  <c r="O30" i="20"/>
  <c r="N30" i="20"/>
  <c r="M30" i="20"/>
  <c r="L30" i="20"/>
  <c r="K30" i="20"/>
  <c r="J30" i="20"/>
  <c r="G30" i="20"/>
  <c r="C30" i="20"/>
  <c r="R29" i="20"/>
  <c r="O29" i="20"/>
  <c r="N29" i="20"/>
  <c r="M29" i="20"/>
  <c r="L29" i="20"/>
  <c r="K29" i="20"/>
  <c r="J29" i="20"/>
  <c r="G29" i="20"/>
  <c r="C29" i="20"/>
  <c r="R28" i="20"/>
  <c r="O28" i="20"/>
  <c r="N28" i="20"/>
  <c r="M28" i="20"/>
  <c r="L28" i="20"/>
  <c r="K28" i="20"/>
  <c r="J28" i="20"/>
  <c r="G28" i="20"/>
  <c r="C28" i="20"/>
  <c r="R27" i="20"/>
  <c r="O27" i="20"/>
  <c r="N27" i="20"/>
  <c r="M27" i="20"/>
  <c r="L27" i="20"/>
  <c r="K27" i="20"/>
  <c r="J27" i="20"/>
  <c r="G27" i="20"/>
  <c r="C27" i="20"/>
  <c r="R26" i="20"/>
  <c r="O26" i="20"/>
  <c r="N26" i="20"/>
  <c r="M26" i="20"/>
  <c r="L26" i="20"/>
  <c r="K26" i="20"/>
  <c r="J26" i="20"/>
  <c r="G26" i="20"/>
  <c r="C26" i="20"/>
  <c r="R25" i="20"/>
  <c r="O25" i="20"/>
  <c r="N25" i="20"/>
  <c r="M25" i="20"/>
  <c r="L25" i="20"/>
  <c r="K25" i="20"/>
  <c r="J25" i="20"/>
  <c r="G25" i="20"/>
  <c r="C25" i="20"/>
  <c r="R24" i="20"/>
  <c r="O24" i="20"/>
  <c r="N24" i="20"/>
  <c r="M24" i="20"/>
  <c r="L24" i="20"/>
  <c r="K24" i="20"/>
  <c r="J24" i="20"/>
  <c r="G24" i="20"/>
  <c r="C24" i="20"/>
  <c r="R23" i="20"/>
  <c r="O23" i="20"/>
  <c r="N23" i="20"/>
  <c r="M23" i="20"/>
  <c r="L23" i="20"/>
  <c r="K23" i="20"/>
  <c r="J23" i="20"/>
  <c r="G23" i="20"/>
  <c r="C23" i="20"/>
  <c r="R22" i="20"/>
  <c r="O22" i="20"/>
  <c r="N22" i="20"/>
  <c r="M22" i="20"/>
  <c r="L22" i="20"/>
  <c r="K22" i="20"/>
  <c r="J22" i="20"/>
  <c r="G22" i="20"/>
  <c r="C22" i="20"/>
  <c r="R21" i="20"/>
  <c r="O21" i="20"/>
  <c r="N21" i="20"/>
  <c r="M21" i="20"/>
  <c r="L21" i="20"/>
  <c r="K21" i="20"/>
  <c r="J21" i="20"/>
  <c r="G21" i="20"/>
  <c r="C21" i="20"/>
  <c r="R20" i="20"/>
  <c r="O20" i="20"/>
  <c r="N20" i="20"/>
  <c r="M20" i="20"/>
  <c r="L20" i="20"/>
  <c r="K20" i="20"/>
  <c r="J20" i="20"/>
  <c r="G20" i="20"/>
  <c r="C20" i="20"/>
  <c r="R19" i="20"/>
  <c r="O19" i="20"/>
  <c r="N19" i="20"/>
  <c r="M19" i="20"/>
  <c r="L19" i="20"/>
  <c r="K19" i="20"/>
  <c r="J19" i="20"/>
  <c r="G19" i="20"/>
  <c r="C19" i="20"/>
  <c r="R18" i="20"/>
  <c r="O18" i="20"/>
  <c r="G18" i="20" s="1"/>
  <c r="N18" i="20"/>
  <c r="M18" i="20"/>
  <c r="L18" i="20"/>
  <c r="K18" i="20"/>
  <c r="J18" i="20"/>
  <c r="C18" i="20"/>
  <c r="R17" i="20"/>
  <c r="O17" i="20"/>
  <c r="N17" i="20" s="1"/>
  <c r="M17" i="20"/>
  <c r="L17" i="20"/>
  <c r="K17" i="20"/>
  <c r="J17" i="20"/>
  <c r="C17" i="20"/>
  <c r="R16" i="20"/>
  <c r="O16" i="20"/>
  <c r="N16" i="20" s="1"/>
  <c r="M16" i="20"/>
  <c r="L16" i="20"/>
  <c r="K16" i="20"/>
  <c r="J16" i="20"/>
  <c r="G16" i="20"/>
  <c r="C16" i="20"/>
  <c r="U15" i="20"/>
  <c r="R15" i="20"/>
  <c r="O15" i="20"/>
  <c r="N15" i="20"/>
  <c r="M15" i="20"/>
  <c r="L15" i="20"/>
  <c r="K15" i="20"/>
  <c r="J15" i="20"/>
  <c r="G15" i="20"/>
  <c r="C15" i="20"/>
  <c r="R14" i="20"/>
  <c r="O14" i="20"/>
  <c r="G14" i="20" s="1"/>
  <c r="N14" i="20"/>
  <c r="M14" i="20"/>
  <c r="L14" i="20"/>
  <c r="K14" i="20"/>
  <c r="J14" i="20"/>
  <c r="C14" i="20"/>
  <c r="U13" i="20"/>
  <c r="R13" i="20"/>
  <c r="O13" i="20"/>
  <c r="N13" i="20" s="1"/>
  <c r="M13" i="20"/>
  <c r="L13" i="20"/>
  <c r="K13" i="20"/>
  <c r="J13" i="20"/>
  <c r="C13" i="20"/>
  <c r="R12" i="20"/>
  <c r="O12" i="20"/>
  <c r="N12" i="20" s="1"/>
  <c r="M12" i="20"/>
  <c r="L12" i="20"/>
  <c r="K12" i="20"/>
  <c r="J12" i="20"/>
  <c r="G12" i="20"/>
  <c r="C12" i="20"/>
  <c r="U11" i="20"/>
  <c r="R11" i="20"/>
  <c r="O11" i="20"/>
  <c r="N11" i="20"/>
  <c r="M11" i="20"/>
  <c r="L11" i="20"/>
  <c r="K11" i="20"/>
  <c r="J11" i="20"/>
  <c r="G11" i="20"/>
  <c r="C11" i="20"/>
  <c r="R10" i="20"/>
  <c r="O10" i="20"/>
  <c r="G10" i="20" s="1"/>
  <c r="N10" i="20"/>
  <c r="M10" i="20"/>
  <c r="L10" i="20"/>
  <c r="K10" i="20"/>
  <c r="J10" i="20"/>
  <c r="C10" i="20"/>
  <c r="U9" i="20"/>
  <c r="R9" i="20"/>
  <c r="O9" i="20"/>
  <c r="N9" i="20" s="1"/>
  <c r="M9" i="20"/>
  <c r="L9" i="20"/>
  <c r="K9" i="20"/>
  <c r="J9" i="20"/>
  <c r="C9" i="20"/>
  <c r="R8" i="20"/>
  <c r="O8" i="20"/>
  <c r="N8" i="20" s="1"/>
  <c r="M8" i="20"/>
  <c r="L8" i="20"/>
  <c r="K8" i="20"/>
  <c r="J8" i="20"/>
  <c r="G8" i="20"/>
  <c r="C8" i="20"/>
  <c r="V7" i="20"/>
  <c r="U7" i="20"/>
  <c r="R7" i="20"/>
  <c r="O7" i="20"/>
  <c r="G7" i="20" s="1"/>
  <c r="N7" i="20"/>
  <c r="M7" i="20"/>
  <c r="L7" i="20"/>
  <c r="K7" i="20"/>
  <c r="J7" i="20"/>
  <c r="C7" i="20"/>
  <c r="U6" i="20"/>
  <c r="E14" i="20" s="1"/>
  <c r="F14" i="20" s="1"/>
  <c r="R6" i="20"/>
  <c r="O6" i="20"/>
  <c r="N6" i="20" s="1"/>
  <c r="M6" i="20"/>
  <c r="L6" i="20"/>
  <c r="K6" i="20"/>
  <c r="J6" i="20"/>
  <c r="C6" i="20"/>
  <c r="R5" i="20"/>
  <c r="O5" i="20"/>
  <c r="N5" i="20" s="1"/>
  <c r="M5" i="20"/>
  <c r="L5" i="20"/>
  <c r="K5" i="20"/>
  <c r="J5" i="20"/>
  <c r="C5" i="20"/>
  <c r="R4" i="20"/>
  <c r="O4" i="20"/>
  <c r="N4" i="20" s="1"/>
  <c r="M4" i="20"/>
  <c r="L4" i="20"/>
  <c r="K4" i="20"/>
  <c r="J4" i="20"/>
  <c r="C4" i="20"/>
  <c r="C35" i="20" s="1"/>
  <c r="D36" i="19"/>
  <c r="D37" i="19" s="1"/>
  <c r="D38" i="19" s="1"/>
  <c r="R35" i="19"/>
  <c r="Q35" i="19"/>
  <c r="K35" i="19"/>
  <c r="J35" i="19"/>
  <c r="I35" i="19"/>
  <c r="H35" i="19"/>
  <c r="D35" i="19"/>
  <c r="B35" i="19"/>
  <c r="R34" i="19"/>
  <c r="O34" i="19"/>
  <c r="N34" i="19"/>
  <c r="M34" i="19"/>
  <c r="L34" i="19"/>
  <c r="K34" i="19"/>
  <c r="J34" i="19"/>
  <c r="G34" i="19"/>
  <c r="C34" i="19"/>
  <c r="R33" i="19"/>
  <c r="O33" i="19"/>
  <c r="N33" i="19"/>
  <c r="M33" i="19"/>
  <c r="L33" i="19"/>
  <c r="K33" i="19"/>
  <c r="J33" i="19"/>
  <c r="G33" i="19"/>
  <c r="C33" i="19"/>
  <c r="R32" i="19"/>
  <c r="O32" i="19"/>
  <c r="N32" i="19"/>
  <c r="M32" i="19"/>
  <c r="L32" i="19"/>
  <c r="K32" i="19"/>
  <c r="J32" i="19"/>
  <c r="G32" i="19"/>
  <c r="C32" i="19"/>
  <c r="R31" i="19"/>
  <c r="O31" i="19"/>
  <c r="N31" i="19"/>
  <c r="M31" i="19"/>
  <c r="L31" i="19"/>
  <c r="K31" i="19"/>
  <c r="J31" i="19"/>
  <c r="G31" i="19"/>
  <c r="C31" i="19"/>
  <c r="R30" i="19"/>
  <c r="O30" i="19"/>
  <c r="N30" i="19"/>
  <c r="M30" i="19"/>
  <c r="L30" i="19"/>
  <c r="K30" i="19"/>
  <c r="J30" i="19"/>
  <c r="G30" i="19"/>
  <c r="C30" i="19"/>
  <c r="R29" i="19"/>
  <c r="O29" i="19"/>
  <c r="N29" i="19"/>
  <c r="M29" i="19"/>
  <c r="L29" i="19"/>
  <c r="K29" i="19"/>
  <c r="J29" i="19"/>
  <c r="G29" i="19"/>
  <c r="C29" i="19"/>
  <c r="R28" i="19"/>
  <c r="O28" i="19"/>
  <c r="N28" i="19"/>
  <c r="M28" i="19"/>
  <c r="L28" i="19"/>
  <c r="K28" i="19"/>
  <c r="J28" i="19"/>
  <c r="G28" i="19"/>
  <c r="C28" i="19"/>
  <c r="R27" i="19"/>
  <c r="O27" i="19"/>
  <c r="N27" i="19"/>
  <c r="M27" i="19"/>
  <c r="L27" i="19"/>
  <c r="K27" i="19"/>
  <c r="J27" i="19"/>
  <c r="G27" i="19"/>
  <c r="C27" i="19"/>
  <c r="R26" i="19"/>
  <c r="O26" i="19"/>
  <c r="N26" i="19"/>
  <c r="M26" i="19"/>
  <c r="L26" i="19"/>
  <c r="K26" i="19"/>
  <c r="J26" i="19"/>
  <c r="G26" i="19"/>
  <c r="C26" i="19"/>
  <c r="R25" i="19"/>
  <c r="O25" i="19"/>
  <c r="N25" i="19"/>
  <c r="M25" i="19"/>
  <c r="L25" i="19"/>
  <c r="K25" i="19"/>
  <c r="J25" i="19"/>
  <c r="G25" i="19"/>
  <c r="C25" i="19"/>
  <c r="R24" i="19"/>
  <c r="O24" i="19"/>
  <c r="N24" i="19"/>
  <c r="M24" i="19"/>
  <c r="L24" i="19"/>
  <c r="K24" i="19"/>
  <c r="J24" i="19"/>
  <c r="G24" i="19"/>
  <c r="C24" i="19"/>
  <c r="R23" i="19"/>
  <c r="O23" i="19"/>
  <c r="N23" i="19"/>
  <c r="M23" i="19"/>
  <c r="L23" i="19"/>
  <c r="K23" i="19"/>
  <c r="J23" i="19"/>
  <c r="G23" i="19"/>
  <c r="C23" i="19"/>
  <c r="R22" i="19"/>
  <c r="O22" i="19"/>
  <c r="N22" i="19"/>
  <c r="M22" i="19"/>
  <c r="L22" i="19"/>
  <c r="K22" i="19"/>
  <c r="J22" i="19"/>
  <c r="G22" i="19"/>
  <c r="C22" i="19"/>
  <c r="R21" i="19"/>
  <c r="O21" i="19"/>
  <c r="N21" i="19"/>
  <c r="M21" i="19"/>
  <c r="L21" i="19"/>
  <c r="K21" i="19"/>
  <c r="J21" i="19"/>
  <c r="G21" i="19"/>
  <c r="C21" i="19"/>
  <c r="R20" i="19"/>
  <c r="O20" i="19"/>
  <c r="N20" i="19"/>
  <c r="M20" i="19"/>
  <c r="L20" i="19"/>
  <c r="K20" i="19"/>
  <c r="J20" i="19"/>
  <c r="G20" i="19"/>
  <c r="C20" i="19"/>
  <c r="R19" i="19"/>
  <c r="O19" i="19"/>
  <c r="N19" i="19"/>
  <c r="M19" i="19"/>
  <c r="L19" i="19"/>
  <c r="K19" i="19"/>
  <c r="J19" i="19"/>
  <c r="G19" i="19"/>
  <c r="C19" i="19"/>
  <c r="R18" i="19"/>
  <c r="O18" i="19"/>
  <c r="G18" i="19" s="1"/>
  <c r="N18" i="19"/>
  <c r="M18" i="19"/>
  <c r="L18" i="19"/>
  <c r="K18" i="19"/>
  <c r="J18" i="19"/>
  <c r="C18" i="19"/>
  <c r="R17" i="19"/>
  <c r="O17" i="19"/>
  <c r="N17" i="19" s="1"/>
  <c r="M17" i="19"/>
  <c r="L17" i="19"/>
  <c r="K17" i="19"/>
  <c r="J17" i="19"/>
  <c r="C17" i="19"/>
  <c r="U16" i="19"/>
  <c r="R16" i="19"/>
  <c r="O16" i="19"/>
  <c r="N16" i="19" s="1"/>
  <c r="M16" i="19"/>
  <c r="L16" i="19"/>
  <c r="K16" i="19"/>
  <c r="J16" i="19"/>
  <c r="G16" i="19"/>
  <c r="C16" i="19"/>
  <c r="U15" i="19"/>
  <c r="R15" i="19"/>
  <c r="O15" i="19"/>
  <c r="N15" i="19"/>
  <c r="M15" i="19"/>
  <c r="L15" i="19"/>
  <c r="K15" i="19"/>
  <c r="J15" i="19"/>
  <c r="G15" i="19"/>
  <c r="C15" i="19"/>
  <c r="R14" i="19"/>
  <c r="O14" i="19"/>
  <c r="G14" i="19" s="1"/>
  <c r="N14" i="19"/>
  <c r="M14" i="19"/>
  <c r="L14" i="19"/>
  <c r="K14" i="19"/>
  <c r="J14" i="19"/>
  <c r="C14" i="19"/>
  <c r="U13" i="19"/>
  <c r="R13" i="19"/>
  <c r="O13" i="19"/>
  <c r="N13" i="19" s="1"/>
  <c r="M13" i="19"/>
  <c r="L13" i="19"/>
  <c r="K13" i="19"/>
  <c r="J13" i="19"/>
  <c r="C13" i="19"/>
  <c r="R12" i="19"/>
  <c r="O12" i="19"/>
  <c r="N12" i="19" s="1"/>
  <c r="M12" i="19"/>
  <c r="L12" i="19"/>
  <c r="K12" i="19"/>
  <c r="J12" i="19"/>
  <c r="G12" i="19"/>
  <c r="C12" i="19"/>
  <c r="U11" i="19"/>
  <c r="R11" i="19"/>
  <c r="O11" i="19"/>
  <c r="N11" i="19"/>
  <c r="M11" i="19"/>
  <c r="L11" i="19"/>
  <c r="K11" i="19"/>
  <c r="J11" i="19"/>
  <c r="G11" i="19"/>
  <c r="C11" i="19"/>
  <c r="R10" i="19"/>
  <c r="O10" i="19"/>
  <c r="G10" i="19" s="1"/>
  <c r="N10" i="19"/>
  <c r="M10" i="19"/>
  <c r="L10" i="19"/>
  <c r="K10" i="19"/>
  <c r="J10" i="19"/>
  <c r="C10" i="19"/>
  <c r="U9" i="19"/>
  <c r="R9" i="19"/>
  <c r="O9" i="19"/>
  <c r="N9" i="19" s="1"/>
  <c r="M9" i="19"/>
  <c r="L9" i="19"/>
  <c r="K9" i="19"/>
  <c r="J9" i="19"/>
  <c r="C9" i="19"/>
  <c r="R8" i="19"/>
  <c r="O8" i="19"/>
  <c r="N8" i="19" s="1"/>
  <c r="M8" i="19"/>
  <c r="L8" i="19"/>
  <c r="K8" i="19"/>
  <c r="J8" i="19"/>
  <c r="G8" i="19"/>
  <c r="C8" i="19"/>
  <c r="V7" i="19"/>
  <c r="U7" i="19"/>
  <c r="R7" i="19"/>
  <c r="O7" i="19"/>
  <c r="G7" i="19" s="1"/>
  <c r="N7" i="19"/>
  <c r="M7" i="19"/>
  <c r="L7" i="19"/>
  <c r="K7" i="19"/>
  <c r="J7" i="19"/>
  <c r="C7" i="19"/>
  <c r="U6" i="19"/>
  <c r="R6" i="19"/>
  <c r="O6" i="19"/>
  <c r="N6" i="19" s="1"/>
  <c r="M6" i="19"/>
  <c r="L6" i="19"/>
  <c r="K6" i="19"/>
  <c r="J6" i="19"/>
  <c r="C6" i="19"/>
  <c r="R5" i="19"/>
  <c r="O5" i="19"/>
  <c r="N5" i="19" s="1"/>
  <c r="M5" i="19"/>
  <c r="L5" i="19"/>
  <c r="K5" i="19"/>
  <c r="J5" i="19"/>
  <c r="C5" i="19"/>
  <c r="R4" i="19"/>
  <c r="O4" i="19"/>
  <c r="N4" i="19" s="1"/>
  <c r="M4" i="19"/>
  <c r="L4" i="19"/>
  <c r="K4" i="19"/>
  <c r="J4" i="19"/>
  <c r="C4" i="19"/>
  <c r="C35" i="19" s="1"/>
  <c r="D36" i="18"/>
  <c r="D37" i="18" s="1"/>
  <c r="D38" i="18" s="1"/>
  <c r="R35" i="18"/>
  <c r="Q35" i="18"/>
  <c r="K35" i="18"/>
  <c r="J35" i="18"/>
  <c r="I35" i="18"/>
  <c r="U16" i="18" s="1"/>
  <c r="H35" i="18"/>
  <c r="D35" i="18"/>
  <c r="B35" i="18"/>
  <c r="R34" i="18"/>
  <c r="O34" i="18"/>
  <c r="N34" i="18"/>
  <c r="M34" i="18"/>
  <c r="L34" i="18"/>
  <c r="K34" i="18"/>
  <c r="J34" i="18"/>
  <c r="G34" i="18"/>
  <c r="C34" i="18"/>
  <c r="R33" i="18"/>
  <c r="O33" i="18"/>
  <c r="N33" i="18"/>
  <c r="M33" i="18"/>
  <c r="L33" i="18"/>
  <c r="K33" i="18"/>
  <c r="J33" i="18"/>
  <c r="G33" i="18"/>
  <c r="C33" i="18"/>
  <c r="R32" i="18"/>
  <c r="O32" i="18"/>
  <c r="N32" i="18"/>
  <c r="M32" i="18"/>
  <c r="L32" i="18"/>
  <c r="K32" i="18"/>
  <c r="J32" i="18"/>
  <c r="G32" i="18"/>
  <c r="C32" i="18"/>
  <c r="R31" i="18"/>
  <c r="O31" i="18"/>
  <c r="N31" i="18"/>
  <c r="M31" i="18"/>
  <c r="L31" i="18"/>
  <c r="K31" i="18"/>
  <c r="J31" i="18"/>
  <c r="G31" i="18"/>
  <c r="C31" i="18"/>
  <c r="R30" i="18"/>
  <c r="O30" i="18"/>
  <c r="N30" i="18"/>
  <c r="M30" i="18"/>
  <c r="L30" i="18"/>
  <c r="K30" i="18"/>
  <c r="J30" i="18"/>
  <c r="G30" i="18"/>
  <c r="C30" i="18"/>
  <c r="R29" i="18"/>
  <c r="O29" i="18"/>
  <c r="N29" i="18"/>
  <c r="M29" i="18"/>
  <c r="L29" i="18"/>
  <c r="K29" i="18"/>
  <c r="J29" i="18"/>
  <c r="G29" i="18"/>
  <c r="C29" i="18"/>
  <c r="R28" i="18"/>
  <c r="O28" i="18"/>
  <c r="N28" i="18"/>
  <c r="M28" i="18"/>
  <c r="L28" i="18"/>
  <c r="K28" i="18"/>
  <c r="J28" i="18"/>
  <c r="G28" i="18"/>
  <c r="C28" i="18"/>
  <c r="R27" i="18"/>
  <c r="O27" i="18"/>
  <c r="N27" i="18"/>
  <c r="M27" i="18"/>
  <c r="L27" i="18"/>
  <c r="K27" i="18"/>
  <c r="J27" i="18"/>
  <c r="G27" i="18"/>
  <c r="C27" i="18"/>
  <c r="R26" i="18"/>
  <c r="O26" i="18"/>
  <c r="N26" i="18"/>
  <c r="M26" i="18"/>
  <c r="L26" i="18"/>
  <c r="K26" i="18"/>
  <c r="J26" i="18"/>
  <c r="G26" i="18"/>
  <c r="C26" i="18"/>
  <c r="R25" i="18"/>
  <c r="O25" i="18"/>
  <c r="N25" i="18"/>
  <c r="M25" i="18"/>
  <c r="L25" i="18"/>
  <c r="K25" i="18"/>
  <c r="J25" i="18"/>
  <c r="G25" i="18"/>
  <c r="C25" i="18"/>
  <c r="R24" i="18"/>
  <c r="O24" i="18"/>
  <c r="N24" i="18"/>
  <c r="M24" i="18"/>
  <c r="L24" i="18"/>
  <c r="K24" i="18"/>
  <c r="J24" i="18"/>
  <c r="G24" i="18"/>
  <c r="C24" i="18"/>
  <c r="R23" i="18"/>
  <c r="O23" i="18"/>
  <c r="N23" i="18"/>
  <c r="M23" i="18"/>
  <c r="L23" i="18"/>
  <c r="K23" i="18"/>
  <c r="J23" i="18"/>
  <c r="G23" i="18"/>
  <c r="C23" i="18"/>
  <c r="R22" i="18"/>
  <c r="O22" i="18"/>
  <c r="N22" i="18"/>
  <c r="M22" i="18"/>
  <c r="L22" i="18"/>
  <c r="K22" i="18"/>
  <c r="J22" i="18"/>
  <c r="G22" i="18"/>
  <c r="C22" i="18"/>
  <c r="R21" i="18"/>
  <c r="O21" i="18"/>
  <c r="N21" i="18"/>
  <c r="M21" i="18"/>
  <c r="L21" i="18"/>
  <c r="K21" i="18"/>
  <c r="J21" i="18"/>
  <c r="G21" i="18"/>
  <c r="C21" i="18"/>
  <c r="R20" i="18"/>
  <c r="O20" i="18"/>
  <c r="N20" i="18"/>
  <c r="M20" i="18"/>
  <c r="L20" i="18"/>
  <c r="K20" i="18"/>
  <c r="J20" i="18"/>
  <c r="G20" i="18"/>
  <c r="C20" i="18"/>
  <c r="R19" i="18"/>
  <c r="O19" i="18"/>
  <c r="N19" i="18"/>
  <c r="M19" i="18"/>
  <c r="L19" i="18"/>
  <c r="K19" i="18"/>
  <c r="J19" i="18"/>
  <c r="G19" i="18"/>
  <c r="C19" i="18"/>
  <c r="R18" i="18"/>
  <c r="O18" i="18"/>
  <c r="G18" i="18" s="1"/>
  <c r="N18" i="18"/>
  <c r="M18" i="18"/>
  <c r="L18" i="18"/>
  <c r="K18" i="18"/>
  <c r="J18" i="18"/>
  <c r="E18" i="18"/>
  <c r="F18" i="18" s="1"/>
  <c r="C18" i="18"/>
  <c r="R17" i="18"/>
  <c r="O17" i="18"/>
  <c r="N17" i="18" s="1"/>
  <c r="M17" i="18"/>
  <c r="L17" i="18"/>
  <c r="K17" i="18"/>
  <c r="J17" i="18"/>
  <c r="E17" i="18"/>
  <c r="F17" i="18" s="1"/>
  <c r="C17" i="18"/>
  <c r="R16" i="18"/>
  <c r="O16" i="18"/>
  <c r="N16" i="18" s="1"/>
  <c r="M16" i="18"/>
  <c r="L16" i="18"/>
  <c r="K16" i="18"/>
  <c r="J16" i="18"/>
  <c r="G16" i="18"/>
  <c r="C16" i="18"/>
  <c r="U15" i="18"/>
  <c r="R15" i="18"/>
  <c r="O15" i="18"/>
  <c r="N15" i="18"/>
  <c r="M15" i="18"/>
  <c r="L15" i="18"/>
  <c r="K15" i="18"/>
  <c r="J15" i="18"/>
  <c r="G15" i="18"/>
  <c r="C15" i="18"/>
  <c r="R14" i="18"/>
  <c r="O14" i="18"/>
  <c r="G14" i="18" s="1"/>
  <c r="N14" i="18"/>
  <c r="M14" i="18"/>
  <c r="L14" i="18"/>
  <c r="K14" i="18"/>
  <c r="J14" i="18"/>
  <c r="E14" i="18"/>
  <c r="F14" i="18" s="1"/>
  <c r="C14" i="18"/>
  <c r="U13" i="18"/>
  <c r="R13" i="18"/>
  <c r="O13" i="18"/>
  <c r="N13" i="18" s="1"/>
  <c r="M13" i="18"/>
  <c r="L13" i="18"/>
  <c r="K13" i="18"/>
  <c r="J13" i="18"/>
  <c r="E13" i="18"/>
  <c r="F13" i="18" s="1"/>
  <c r="C13" i="18"/>
  <c r="R12" i="18"/>
  <c r="O12" i="18"/>
  <c r="N12" i="18" s="1"/>
  <c r="M12" i="18"/>
  <c r="L12" i="18"/>
  <c r="K12" i="18"/>
  <c r="J12" i="18"/>
  <c r="G12" i="18"/>
  <c r="C12" i="18"/>
  <c r="U11" i="18"/>
  <c r="R11" i="18"/>
  <c r="O11" i="18"/>
  <c r="N11" i="18"/>
  <c r="M11" i="18"/>
  <c r="L11" i="18"/>
  <c r="K11" i="18"/>
  <c r="J11" i="18"/>
  <c r="G11" i="18"/>
  <c r="C11" i="18"/>
  <c r="R10" i="18"/>
  <c r="O10" i="18"/>
  <c r="G10" i="18" s="1"/>
  <c r="N10" i="18"/>
  <c r="M10" i="18"/>
  <c r="L10" i="18"/>
  <c r="K10" i="18"/>
  <c r="J10" i="18"/>
  <c r="E10" i="18"/>
  <c r="F10" i="18" s="1"/>
  <c r="C10" i="18"/>
  <c r="U9" i="18"/>
  <c r="R9" i="18"/>
  <c r="O9" i="18"/>
  <c r="N9" i="18" s="1"/>
  <c r="M9" i="18"/>
  <c r="L9" i="18"/>
  <c r="K9" i="18"/>
  <c r="J9" i="18"/>
  <c r="E9" i="18"/>
  <c r="F9" i="18" s="1"/>
  <c r="C9" i="18"/>
  <c r="R8" i="18"/>
  <c r="O8" i="18"/>
  <c r="N8" i="18" s="1"/>
  <c r="M8" i="18"/>
  <c r="L8" i="18"/>
  <c r="K8" i="18"/>
  <c r="J8" i="18"/>
  <c r="G8" i="18"/>
  <c r="C8" i="18"/>
  <c r="V7" i="18"/>
  <c r="U7" i="18"/>
  <c r="R7" i="18"/>
  <c r="O7" i="18"/>
  <c r="G7" i="18" s="1"/>
  <c r="N7" i="18"/>
  <c r="M7" i="18"/>
  <c r="L7" i="18"/>
  <c r="K7" i="18"/>
  <c r="J7" i="18"/>
  <c r="E7" i="18"/>
  <c r="F7" i="18" s="1"/>
  <c r="C7" i="18"/>
  <c r="U6" i="18"/>
  <c r="R6" i="18"/>
  <c r="O6" i="18"/>
  <c r="N6" i="18" s="1"/>
  <c r="M6" i="18"/>
  <c r="L6" i="18"/>
  <c r="K6" i="18"/>
  <c r="J6" i="18"/>
  <c r="E6" i="18"/>
  <c r="F6" i="18" s="1"/>
  <c r="C6" i="18"/>
  <c r="R5" i="18"/>
  <c r="O5" i="18"/>
  <c r="N5" i="18" s="1"/>
  <c r="M5" i="18"/>
  <c r="L5" i="18"/>
  <c r="K5" i="18"/>
  <c r="J5" i="18"/>
  <c r="E5" i="18"/>
  <c r="F5" i="18" s="1"/>
  <c r="C5" i="18"/>
  <c r="R4" i="18"/>
  <c r="O4" i="18"/>
  <c r="N4" i="18" s="1"/>
  <c r="M4" i="18"/>
  <c r="L4" i="18"/>
  <c r="K4" i="18"/>
  <c r="J4" i="18"/>
  <c r="E4" i="18"/>
  <c r="F4" i="18" s="1"/>
  <c r="C4" i="18"/>
  <c r="C35" i="18" s="1"/>
  <c r="Q35" i="17"/>
  <c r="I35" i="17"/>
  <c r="R35" i="17" s="1"/>
  <c r="H35" i="17"/>
  <c r="U9" i="17" s="1"/>
  <c r="D35" i="17"/>
  <c r="B35" i="17"/>
  <c r="R34" i="17"/>
  <c r="O34" i="17"/>
  <c r="N34" i="17" s="1"/>
  <c r="M34" i="17"/>
  <c r="L34" i="17"/>
  <c r="K34" i="17"/>
  <c r="J34" i="17"/>
  <c r="C34" i="17"/>
  <c r="R33" i="17"/>
  <c r="O33" i="17"/>
  <c r="N33" i="17" s="1"/>
  <c r="M33" i="17"/>
  <c r="L33" i="17"/>
  <c r="K33" i="17"/>
  <c r="J33" i="17"/>
  <c r="C33" i="17"/>
  <c r="R32" i="17"/>
  <c r="O32" i="17"/>
  <c r="N32" i="17" s="1"/>
  <c r="M32" i="17"/>
  <c r="L32" i="17"/>
  <c r="K32" i="17"/>
  <c r="J32" i="17"/>
  <c r="C32" i="17"/>
  <c r="R31" i="17"/>
  <c r="O31" i="17"/>
  <c r="N31" i="17" s="1"/>
  <c r="M31" i="17"/>
  <c r="L31" i="17"/>
  <c r="K31" i="17"/>
  <c r="J31" i="17"/>
  <c r="C31" i="17"/>
  <c r="R30" i="17"/>
  <c r="O30" i="17"/>
  <c r="N30" i="17" s="1"/>
  <c r="M30" i="17"/>
  <c r="L30" i="17"/>
  <c r="K30" i="17"/>
  <c r="J30" i="17"/>
  <c r="C30" i="17"/>
  <c r="R29" i="17"/>
  <c r="O29" i="17"/>
  <c r="N29" i="17" s="1"/>
  <c r="M29" i="17"/>
  <c r="L29" i="17"/>
  <c r="K29" i="17"/>
  <c r="J29" i="17"/>
  <c r="C29" i="17"/>
  <c r="R28" i="17"/>
  <c r="O28" i="17"/>
  <c r="N28" i="17" s="1"/>
  <c r="M28" i="17"/>
  <c r="L28" i="17"/>
  <c r="K28" i="17"/>
  <c r="J28" i="17"/>
  <c r="C28" i="17"/>
  <c r="R27" i="17"/>
  <c r="O27" i="17"/>
  <c r="N27" i="17" s="1"/>
  <c r="M27" i="17"/>
  <c r="L27" i="17"/>
  <c r="K27" i="17"/>
  <c r="J27" i="17"/>
  <c r="C27" i="17"/>
  <c r="R26" i="17"/>
  <c r="O26" i="17"/>
  <c r="N26" i="17" s="1"/>
  <c r="M26" i="17"/>
  <c r="L26" i="17"/>
  <c r="K26" i="17"/>
  <c r="J26" i="17"/>
  <c r="C26" i="17"/>
  <c r="R25" i="17"/>
  <c r="O25" i="17"/>
  <c r="N25" i="17" s="1"/>
  <c r="M25" i="17"/>
  <c r="L25" i="17"/>
  <c r="K25" i="17"/>
  <c r="J25" i="17"/>
  <c r="C25" i="17"/>
  <c r="R24" i="17"/>
  <c r="O24" i="17"/>
  <c r="N24" i="17" s="1"/>
  <c r="M24" i="17"/>
  <c r="L24" i="17"/>
  <c r="K24" i="17"/>
  <c r="J24" i="17"/>
  <c r="C24" i="17"/>
  <c r="R23" i="17"/>
  <c r="O23" i="17"/>
  <c r="N23" i="17" s="1"/>
  <c r="M23" i="17"/>
  <c r="L23" i="17"/>
  <c r="K23" i="17"/>
  <c r="J23" i="17"/>
  <c r="C23" i="17"/>
  <c r="R22" i="17"/>
  <c r="O22" i="17"/>
  <c r="N22" i="17" s="1"/>
  <c r="M22" i="17"/>
  <c r="L22" i="17"/>
  <c r="K22" i="17"/>
  <c r="J22" i="17"/>
  <c r="C22" i="17"/>
  <c r="R21" i="17"/>
  <c r="O21" i="17"/>
  <c r="N21" i="17" s="1"/>
  <c r="M21" i="17"/>
  <c r="L21" i="17"/>
  <c r="K21" i="17"/>
  <c r="J21" i="17"/>
  <c r="C21" i="17"/>
  <c r="R20" i="17"/>
  <c r="O20" i="17"/>
  <c r="N20" i="17" s="1"/>
  <c r="M20" i="17"/>
  <c r="L20" i="17"/>
  <c r="K20" i="17"/>
  <c r="J20" i="17"/>
  <c r="C20" i="17"/>
  <c r="R19" i="17"/>
  <c r="O19" i="17"/>
  <c r="N19" i="17" s="1"/>
  <c r="M19" i="17"/>
  <c r="L19" i="17"/>
  <c r="K19" i="17"/>
  <c r="J19" i="17"/>
  <c r="C19" i="17"/>
  <c r="R18" i="17"/>
  <c r="O18" i="17"/>
  <c r="N18" i="17"/>
  <c r="M18" i="17"/>
  <c r="L18" i="17"/>
  <c r="K18" i="17"/>
  <c r="J18" i="17"/>
  <c r="G18" i="17"/>
  <c r="C18" i="17"/>
  <c r="R17" i="17"/>
  <c r="O17" i="17"/>
  <c r="N17" i="17"/>
  <c r="M17" i="17"/>
  <c r="L17" i="17"/>
  <c r="K17" i="17"/>
  <c r="J17" i="17"/>
  <c r="G17" i="17"/>
  <c r="C17" i="17"/>
  <c r="U16" i="17"/>
  <c r="R16" i="17"/>
  <c r="O16" i="17"/>
  <c r="G16" i="17" s="1"/>
  <c r="N16" i="17"/>
  <c r="M16" i="17"/>
  <c r="L16" i="17"/>
  <c r="K16" i="17"/>
  <c r="J16" i="17"/>
  <c r="C16" i="17"/>
  <c r="U15" i="17"/>
  <c r="R15" i="17"/>
  <c r="O15" i="17"/>
  <c r="N15" i="17" s="1"/>
  <c r="M15" i="17"/>
  <c r="L15" i="17"/>
  <c r="K15" i="17"/>
  <c r="J15" i="17"/>
  <c r="C15" i="17"/>
  <c r="R14" i="17"/>
  <c r="O14" i="17"/>
  <c r="N14" i="17"/>
  <c r="M14" i="17"/>
  <c r="L14" i="17"/>
  <c r="K14" i="17"/>
  <c r="J14" i="17"/>
  <c r="G14" i="17"/>
  <c r="C14" i="17"/>
  <c r="U13" i="17"/>
  <c r="R13" i="17"/>
  <c r="O13" i="17"/>
  <c r="N13" i="17"/>
  <c r="M13" i="17"/>
  <c r="L13" i="17"/>
  <c r="K13" i="17"/>
  <c r="J13" i="17"/>
  <c r="G13" i="17"/>
  <c r="C13" i="17"/>
  <c r="R12" i="17"/>
  <c r="O12" i="17"/>
  <c r="G12" i="17" s="1"/>
  <c r="N12" i="17"/>
  <c r="M12" i="17"/>
  <c r="L12" i="17"/>
  <c r="K12" i="17"/>
  <c r="J12" i="17"/>
  <c r="C12" i="17"/>
  <c r="U11" i="17"/>
  <c r="R11" i="17"/>
  <c r="O11" i="17"/>
  <c r="N11" i="17" s="1"/>
  <c r="M11" i="17"/>
  <c r="L11" i="17"/>
  <c r="K11" i="17"/>
  <c r="J11" i="17"/>
  <c r="C11" i="17"/>
  <c r="R10" i="17"/>
  <c r="O10" i="17"/>
  <c r="N10" i="17"/>
  <c r="M10" i="17"/>
  <c r="L10" i="17"/>
  <c r="K10" i="17"/>
  <c r="J10" i="17"/>
  <c r="G10" i="17"/>
  <c r="C10" i="17"/>
  <c r="R9" i="17"/>
  <c r="O9" i="17"/>
  <c r="N9" i="17"/>
  <c r="M9" i="17"/>
  <c r="L9" i="17"/>
  <c r="K9" i="17"/>
  <c r="J9" i="17"/>
  <c r="G9" i="17"/>
  <c r="C9" i="17"/>
  <c r="R8" i="17"/>
  <c r="O8" i="17"/>
  <c r="G8" i="17" s="1"/>
  <c r="N8" i="17"/>
  <c r="M8" i="17"/>
  <c r="L8" i="17"/>
  <c r="K8" i="17"/>
  <c r="J8" i="17"/>
  <c r="C8" i="17"/>
  <c r="C35" i="17" s="1"/>
  <c r="V7" i="17"/>
  <c r="U7" i="17"/>
  <c r="R7" i="17"/>
  <c r="O7" i="17"/>
  <c r="N7" i="17"/>
  <c r="M7" i="17"/>
  <c r="L7" i="17"/>
  <c r="K7" i="17"/>
  <c r="J7" i="17"/>
  <c r="G7" i="17"/>
  <c r="C7" i="17"/>
  <c r="U6" i="17"/>
  <c r="E34" i="17" s="1"/>
  <c r="F34" i="17" s="1"/>
  <c r="R6" i="17"/>
  <c r="O6" i="17"/>
  <c r="N6" i="17"/>
  <c r="M6" i="17"/>
  <c r="L6" i="17"/>
  <c r="K6" i="17"/>
  <c r="J6" i="17"/>
  <c r="G6" i="17"/>
  <c r="C6" i="17"/>
  <c r="R5" i="17"/>
  <c r="O5" i="17"/>
  <c r="N5" i="17"/>
  <c r="M5" i="17"/>
  <c r="L5" i="17"/>
  <c r="K5" i="17"/>
  <c r="J5" i="17"/>
  <c r="G5" i="17"/>
  <c r="C5" i="17"/>
  <c r="R4" i="17"/>
  <c r="O4" i="17"/>
  <c r="O35" i="17" s="1"/>
  <c r="N4" i="17"/>
  <c r="N35" i="17" s="1"/>
  <c r="M4" i="17"/>
  <c r="L4" i="17"/>
  <c r="K4" i="17"/>
  <c r="J4" i="17"/>
  <c r="G4" i="17"/>
  <c r="C4" i="17"/>
  <c r="R35" i="16"/>
  <c r="Q35" i="16"/>
  <c r="J35" i="16"/>
  <c r="I35" i="16"/>
  <c r="H35" i="16"/>
  <c r="U9" i="16" s="1"/>
  <c r="D35" i="16"/>
  <c r="B35" i="16"/>
  <c r="R34" i="16"/>
  <c r="O34" i="16"/>
  <c r="N34" i="16" s="1"/>
  <c r="M34" i="16"/>
  <c r="L34" i="16"/>
  <c r="K34" i="16"/>
  <c r="J34" i="16"/>
  <c r="C34" i="16"/>
  <c r="R33" i="16"/>
  <c r="O33" i="16"/>
  <c r="N33" i="16" s="1"/>
  <c r="M33" i="16"/>
  <c r="L33" i="16"/>
  <c r="K33" i="16"/>
  <c r="J33" i="16"/>
  <c r="C33" i="16"/>
  <c r="R32" i="16"/>
  <c r="O32" i="16"/>
  <c r="N32" i="16" s="1"/>
  <c r="M32" i="16"/>
  <c r="L32" i="16"/>
  <c r="K32" i="16"/>
  <c r="J32" i="16"/>
  <c r="C32" i="16"/>
  <c r="R31" i="16"/>
  <c r="O31" i="16"/>
  <c r="N31" i="16" s="1"/>
  <c r="M31" i="16"/>
  <c r="L31" i="16"/>
  <c r="K31" i="16"/>
  <c r="J31" i="16"/>
  <c r="C31" i="16"/>
  <c r="R30" i="16"/>
  <c r="O30" i="16"/>
  <c r="N30" i="16" s="1"/>
  <c r="M30" i="16"/>
  <c r="L30" i="16"/>
  <c r="K30" i="16"/>
  <c r="J30" i="16"/>
  <c r="C30" i="16"/>
  <c r="R29" i="16"/>
  <c r="O29" i="16"/>
  <c r="N29" i="16" s="1"/>
  <c r="M29" i="16"/>
  <c r="L29" i="16"/>
  <c r="K29" i="16"/>
  <c r="J29" i="16"/>
  <c r="C29" i="16"/>
  <c r="R28" i="16"/>
  <c r="O28" i="16"/>
  <c r="N28" i="16" s="1"/>
  <c r="M28" i="16"/>
  <c r="L28" i="16"/>
  <c r="K28" i="16"/>
  <c r="J28" i="16"/>
  <c r="C28" i="16"/>
  <c r="R27" i="16"/>
  <c r="O27" i="16"/>
  <c r="N27" i="16" s="1"/>
  <c r="M27" i="16"/>
  <c r="L27" i="16"/>
  <c r="K27" i="16"/>
  <c r="J27" i="16"/>
  <c r="C27" i="16"/>
  <c r="R26" i="16"/>
  <c r="O26" i="16"/>
  <c r="N26" i="16" s="1"/>
  <c r="M26" i="16"/>
  <c r="L26" i="16"/>
  <c r="K26" i="16"/>
  <c r="J26" i="16"/>
  <c r="C26" i="16"/>
  <c r="R25" i="16"/>
  <c r="O25" i="16"/>
  <c r="N25" i="16" s="1"/>
  <c r="M25" i="16"/>
  <c r="L25" i="16"/>
  <c r="K25" i="16"/>
  <c r="J25" i="16"/>
  <c r="C25" i="16"/>
  <c r="R24" i="16"/>
  <c r="O24" i="16"/>
  <c r="N24" i="16" s="1"/>
  <c r="M24" i="16"/>
  <c r="L24" i="16"/>
  <c r="K24" i="16"/>
  <c r="J24" i="16"/>
  <c r="C24" i="16"/>
  <c r="R23" i="16"/>
  <c r="O23" i="16"/>
  <c r="N23" i="16" s="1"/>
  <c r="M23" i="16"/>
  <c r="L23" i="16"/>
  <c r="K23" i="16"/>
  <c r="J23" i="16"/>
  <c r="C23" i="16"/>
  <c r="R22" i="16"/>
  <c r="O22" i="16"/>
  <c r="N22" i="16" s="1"/>
  <c r="M22" i="16"/>
  <c r="L22" i="16"/>
  <c r="K22" i="16"/>
  <c r="J22" i="16"/>
  <c r="C22" i="16"/>
  <c r="R21" i="16"/>
  <c r="O21" i="16"/>
  <c r="N21" i="16" s="1"/>
  <c r="M21" i="16"/>
  <c r="L21" i="16"/>
  <c r="K21" i="16"/>
  <c r="J21" i="16"/>
  <c r="C21" i="16"/>
  <c r="R20" i="16"/>
  <c r="O20" i="16"/>
  <c r="N20" i="16" s="1"/>
  <c r="M20" i="16"/>
  <c r="L20" i="16"/>
  <c r="K20" i="16"/>
  <c r="J20" i="16"/>
  <c r="C20" i="16"/>
  <c r="R19" i="16"/>
  <c r="O19" i="16"/>
  <c r="N19" i="16" s="1"/>
  <c r="M19" i="16"/>
  <c r="L19" i="16"/>
  <c r="K19" i="16"/>
  <c r="J19" i="16"/>
  <c r="C19" i="16"/>
  <c r="R18" i="16"/>
  <c r="O18" i="16"/>
  <c r="N18" i="16"/>
  <c r="M18" i="16"/>
  <c r="L18" i="16"/>
  <c r="K18" i="16"/>
  <c r="J18" i="16"/>
  <c r="G18" i="16"/>
  <c r="C18" i="16"/>
  <c r="R17" i="16"/>
  <c r="O17" i="16"/>
  <c r="N17" i="16" s="1"/>
  <c r="M17" i="16"/>
  <c r="L17" i="16"/>
  <c r="K17" i="16"/>
  <c r="J17" i="16"/>
  <c r="G17" i="16"/>
  <c r="C17" i="16"/>
  <c r="U16" i="16"/>
  <c r="R16" i="16"/>
  <c r="O16" i="16"/>
  <c r="G16" i="16" s="1"/>
  <c r="N16" i="16"/>
  <c r="M16" i="16"/>
  <c r="L16" i="16"/>
  <c r="K16" i="16"/>
  <c r="J16" i="16"/>
  <c r="C16" i="16"/>
  <c r="R15" i="16"/>
  <c r="O15" i="16"/>
  <c r="N15" i="16" s="1"/>
  <c r="M15" i="16"/>
  <c r="L15" i="16"/>
  <c r="K15" i="16"/>
  <c r="J15" i="16"/>
  <c r="C15" i="16"/>
  <c r="R14" i="16"/>
  <c r="O14" i="16"/>
  <c r="N14" i="16"/>
  <c r="M14" i="16"/>
  <c r="L14" i="16"/>
  <c r="K14" i="16"/>
  <c r="J14" i="16"/>
  <c r="G14" i="16"/>
  <c r="C14" i="16"/>
  <c r="U13" i="16"/>
  <c r="R13" i="16"/>
  <c r="O13" i="16"/>
  <c r="N13" i="16" s="1"/>
  <c r="M13" i="16"/>
  <c r="L13" i="16"/>
  <c r="K13" i="16"/>
  <c r="J13" i="16"/>
  <c r="G13" i="16"/>
  <c r="C13" i="16"/>
  <c r="R12" i="16"/>
  <c r="O12" i="16"/>
  <c r="G12" i="16" s="1"/>
  <c r="N12" i="16"/>
  <c r="M12" i="16"/>
  <c r="L12" i="16"/>
  <c r="K12" i="16"/>
  <c r="J12" i="16"/>
  <c r="C12" i="16"/>
  <c r="U11" i="16"/>
  <c r="R11" i="16"/>
  <c r="O11" i="16"/>
  <c r="N11" i="16" s="1"/>
  <c r="M11" i="16"/>
  <c r="L11" i="16"/>
  <c r="K11" i="16"/>
  <c r="J11" i="16"/>
  <c r="C11" i="16"/>
  <c r="R10" i="16"/>
  <c r="O10" i="16"/>
  <c r="N10" i="16"/>
  <c r="M10" i="16"/>
  <c r="L10" i="16"/>
  <c r="K10" i="16"/>
  <c r="J10" i="16"/>
  <c r="G10" i="16"/>
  <c r="C10" i="16"/>
  <c r="R9" i="16"/>
  <c r="O9" i="16"/>
  <c r="N9" i="16" s="1"/>
  <c r="M9" i="16"/>
  <c r="L9" i="16"/>
  <c r="K9" i="16"/>
  <c r="J9" i="16"/>
  <c r="G9" i="16"/>
  <c r="C9" i="16"/>
  <c r="R8" i="16"/>
  <c r="O8" i="16"/>
  <c r="G8" i="16" s="1"/>
  <c r="N8" i="16"/>
  <c r="M8" i="16"/>
  <c r="L8" i="16"/>
  <c r="K8" i="16"/>
  <c r="J8" i="16"/>
  <c r="C8" i="16"/>
  <c r="V7" i="16"/>
  <c r="U7" i="16"/>
  <c r="R7" i="16"/>
  <c r="O7" i="16"/>
  <c r="N7" i="16"/>
  <c r="M7" i="16"/>
  <c r="L7" i="16"/>
  <c r="K7" i="16"/>
  <c r="J7" i="16"/>
  <c r="G7" i="16"/>
  <c r="C7" i="16"/>
  <c r="C35" i="16" s="1"/>
  <c r="U6" i="16"/>
  <c r="E13" i="16" s="1"/>
  <c r="F13" i="16" s="1"/>
  <c r="R6" i="16"/>
  <c r="O6" i="16"/>
  <c r="N6" i="16" s="1"/>
  <c r="M6" i="16"/>
  <c r="L6" i="16"/>
  <c r="K6" i="16"/>
  <c r="J6" i="16"/>
  <c r="G6" i="16"/>
  <c r="C6" i="16"/>
  <c r="R5" i="16"/>
  <c r="O5" i="16"/>
  <c r="N5" i="16" s="1"/>
  <c r="M5" i="16"/>
  <c r="L5" i="16"/>
  <c r="K5" i="16"/>
  <c r="J5" i="16"/>
  <c r="G5" i="16"/>
  <c r="C5" i="16"/>
  <c r="R4" i="16"/>
  <c r="O4" i="16"/>
  <c r="N4" i="16" s="1"/>
  <c r="M4" i="16"/>
  <c r="L4" i="16"/>
  <c r="K4" i="16"/>
  <c r="J4" i="16"/>
  <c r="G4" i="16"/>
  <c r="C4" i="16"/>
  <c r="Q35" i="15"/>
  <c r="L35" i="15"/>
  <c r="U17" i="15" s="1"/>
  <c r="U18" i="15" s="1"/>
  <c r="I35" i="15"/>
  <c r="R35" i="15" s="1"/>
  <c r="H35" i="15"/>
  <c r="U9" i="15" s="1"/>
  <c r="D35" i="15"/>
  <c r="B35" i="15"/>
  <c r="R34" i="15"/>
  <c r="O34" i="15"/>
  <c r="N34" i="15" s="1"/>
  <c r="M34" i="15"/>
  <c r="L34" i="15"/>
  <c r="K34" i="15"/>
  <c r="J34" i="15"/>
  <c r="C34" i="15"/>
  <c r="R33" i="15"/>
  <c r="O33" i="15"/>
  <c r="N33" i="15" s="1"/>
  <c r="M33" i="15"/>
  <c r="L33" i="15"/>
  <c r="K33" i="15"/>
  <c r="J33" i="15"/>
  <c r="C33" i="15"/>
  <c r="R32" i="15"/>
  <c r="O32" i="15"/>
  <c r="N32" i="15" s="1"/>
  <c r="M32" i="15"/>
  <c r="L32" i="15"/>
  <c r="K32" i="15"/>
  <c r="J32" i="15"/>
  <c r="C32" i="15"/>
  <c r="R31" i="15"/>
  <c r="O31" i="15"/>
  <c r="N31" i="15" s="1"/>
  <c r="M31" i="15"/>
  <c r="L31" i="15"/>
  <c r="K31" i="15"/>
  <c r="J31" i="15"/>
  <c r="C31" i="15"/>
  <c r="R30" i="15"/>
  <c r="O30" i="15"/>
  <c r="N30" i="15" s="1"/>
  <c r="M30" i="15"/>
  <c r="L30" i="15"/>
  <c r="K30" i="15"/>
  <c r="J30" i="15"/>
  <c r="C30" i="15"/>
  <c r="R29" i="15"/>
  <c r="O29" i="15"/>
  <c r="N29" i="15" s="1"/>
  <c r="M29" i="15"/>
  <c r="L29" i="15"/>
  <c r="K29" i="15"/>
  <c r="J29" i="15"/>
  <c r="C29" i="15"/>
  <c r="R28" i="15"/>
  <c r="O28" i="15"/>
  <c r="N28" i="15" s="1"/>
  <c r="M28" i="15"/>
  <c r="L28" i="15"/>
  <c r="K28" i="15"/>
  <c r="J28" i="15"/>
  <c r="C28" i="15"/>
  <c r="R27" i="15"/>
  <c r="O27" i="15"/>
  <c r="N27" i="15" s="1"/>
  <c r="M27" i="15"/>
  <c r="L27" i="15"/>
  <c r="K27" i="15"/>
  <c r="J27" i="15"/>
  <c r="C27" i="15"/>
  <c r="R26" i="15"/>
  <c r="O26" i="15"/>
  <c r="N26" i="15" s="1"/>
  <c r="M26" i="15"/>
  <c r="L26" i="15"/>
  <c r="K26" i="15"/>
  <c r="J26" i="15"/>
  <c r="C26" i="15"/>
  <c r="R25" i="15"/>
  <c r="O25" i="15"/>
  <c r="N25" i="15" s="1"/>
  <c r="M25" i="15"/>
  <c r="L25" i="15"/>
  <c r="K25" i="15"/>
  <c r="J25" i="15"/>
  <c r="C25" i="15"/>
  <c r="R24" i="15"/>
  <c r="O24" i="15"/>
  <c r="N24" i="15" s="1"/>
  <c r="M24" i="15"/>
  <c r="L24" i="15"/>
  <c r="K24" i="15"/>
  <c r="J24" i="15"/>
  <c r="C24" i="15"/>
  <c r="R23" i="15"/>
  <c r="O23" i="15"/>
  <c r="N23" i="15" s="1"/>
  <c r="M23" i="15"/>
  <c r="L23" i="15"/>
  <c r="K23" i="15"/>
  <c r="J23" i="15"/>
  <c r="C23" i="15"/>
  <c r="R22" i="15"/>
  <c r="O22" i="15"/>
  <c r="N22" i="15" s="1"/>
  <c r="M22" i="15"/>
  <c r="L22" i="15"/>
  <c r="K22" i="15"/>
  <c r="J22" i="15"/>
  <c r="C22" i="15"/>
  <c r="R21" i="15"/>
  <c r="O21" i="15"/>
  <c r="N21" i="15" s="1"/>
  <c r="M21" i="15"/>
  <c r="L21" i="15"/>
  <c r="K21" i="15"/>
  <c r="J21" i="15"/>
  <c r="C21" i="15"/>
  <c r="R20" i="15"/>
  <c r="O20" i="15"/>
  <c r="N20" i="15" s="1"/>
  <c r="M20" i="15"/>
  <c r="L20" i="15"/>
  <c r="K20" i="15"/>
  <c r="J20" i="15"/>
  <c r="C20" i="15"/>
  <c r="R19" i="15"/>
  <c r="O19" i="15"/>
  <c r="N19" i="15" s="1"/>
  <c r="M19" i="15"/>
  <c r="L19" i="15"/>
  <c r="K19" i="15"/>
  <c r="J19" i="15"/>
  <c r="C19" i="15"/>
  <c r="R18" i="15"/>
  <c r="O18" i="15"/>
  <c r="N18" i="15"/>
  <c r="M18" i="15"/>
  <c r="L18" i="15"/>
  <c r="K18" i="15"/>
  <c r="J18" i="15"/>
  <c r="G18" i="15"/>
  <c r="C18" i="15"/>
  <c r="R17" i="15"/>
  <c r="O17" i="15"/>
  <c r="N17" i="15"/>
  <c r="M17" i="15"/>
  <c r="L17" i="15"/>
  <c r="K17" i="15"/>
  <c r="J17" i="15"/>
  <c r="G17" i="15"/>
  <c r="C17" i="15"/>
  <c r="U16" i="15"/>
  <c r="R16" i="15"/>
  <c r="O16" i="15"/>
  <c r="G16" i="15" s="1"/>
  <c r="N16" i="15"/>
  <c r="M16" i="15"/>
  <c r="L16" i="15"/>
  <c r="K16" i="15"/>
  <c r="J16" i="15"/>
  <c r="C16" i="15"/>
  <c r="R15" i="15"/>
  <c r="O15" i="15"/>
  <c r="N15" i="15" s="1"/>
  <c r="M15" i="15"/>
  <c r="L15" i="15"/>
  <c r="K15" i="15"/>
  <c r="J15" i="15"/>
  <c r="C15" i="15"/>
  <c r="R14" i="15"/>
  <c r="O14" i="15"/>
  <c r="N14" i="15"/>
  <c r="M14" i="15"/>
  <c r="L14" i="15"/>
  <c r="K14" i="15"/>
  <c r="J14" i="15"/>
  <c r="G14" i="15"/>
  <c r="C14" i="15"/>
  <c r="U13" i="15"/>
  <c r="R13" i="15"/>
  <c r="O13" i="15"/>
  <c r="N13" i="15"/>
  <c r="M13" i="15"/>
  <c r="L13" i="15"/>
  <c r="K13" i="15"/>
  <c r="J13" i="15"/>
  <c r="G13" i="15"/>
  <c r="C13" i="15"/>
  <c r="R12" i="15"/>
  <c r="O12" i="15"/>
  <c r="G12" i="15" s="1"/>
  <c r="N12" i="15"/>
  <c r="M12" i="15"/>
  <c r="L12" i="15"/>
  <c r="K12" i="15"/>
  <c r="J12" i="15"/>
  <c r="C12" i="15"/>
  <c r="U11" i="15"/>
  <c r="R11" i="15"/>
  <c r="O11" i="15"/>
  <c r="N11" i="15" s="1"/>
  <c r="M11" i="15"/>
  <c r="L11" i="15"/>
  <c r="K11" i="15"/>
  <c r="J11" i="15"/>
  <c r="C11" i="15"/>
  <c r="R10" i="15"/>
  <c r="O10" i="15"/>
  <c r="N10" i="15"/>
  <c r="M10" i="15"/>
  <c r="L10" i="15"/>
  <c r="K10" i="15"/>
  <c r="J10" i="15"/>
  <c r="G10" i="15"/>
  <c r="C10" i="15"/>
  <c r="R9" i="15"/>
  <c r="O9" i="15"/>
  <c r="N9" i="15"/>
  <c r="M9" i="15"/>
  <c r="L9" i="15"/>
  <c r="K9" i="15"/>
  <c r="J9" i="15"/>
  <c r="G9" i="15"/>
  <c r="C9" i="15"/>
  <c r="R8" i="15"/>
  <c r="O8" i="15"/>
  <c r="G8" i="15" s="1"/>
  <c r="N8" i="15"/>
  <c r="M8" i="15"/>
  <c r="L8" i="15"/>
  <c r="K8" i="15"/>
  <c r="J8" i="15"/>
  <c r="C8" i="15"/>
  <c r="C35" i="15" s="1"/>
  <c r="V7" i="15"/>
  <c r="U7" i="15"/>
  <c r="R7" i="15"/>
  <c r="O7" i="15"/>
  <c r="N7" i="15"/>
  <c r="M7" i="15"/>
  <c r="L7" i="15"/>
  <c r="K7" i="15"/>
  <c r="J7" i="15"/>
  <c r="G7" i="15"/>
  <c r="C7" i="15"/>
  <c r="U6" i="15"/>
  <c r="E15" i="15" s="1"/>
  <c r="F15" i="15" s="1"/>
  <c r="R6" i="15"/>
  <c r="O6" i="15"/>
  <c r="N6" i="15"/>
  <c r="M6" i="15"/>
  <c r="L6" i="15"/>
  <c r="K6" i="15"/>
  <c r="J6" i="15"/>
  <c r="G6" i="15"/>
  <c r="C6" i="15"/>
  <c r="R5" i="15"/>
  <c r="O5" i="15"/>
  <c r="N5" i="15"/>
  <c r="M5" i="15"/>
  <c r="L5" i="15"/>
  <c r="K5" i="15"/>
  <c r="J5" i="15"/>
  <c r="G5" i="15"/>
  <c r="C5" i="15"/>
  <c r="R4" i="15"/>
  <c r="O4" i="15"/>
  <c r="O35" i="15" s="1"/>
  <c r="N4" i="15"/>
  <c r="M4" i="15"/>
  <c r="L4" i="15"/>
  <c r="K4" i="15"/>
  <c r="J4" i="15"/>
  <c r="G4" i="15"/>
  <c r="C4" i="15"/>
  <c r="Q35" i="14"/>
  <c r="L35" i="14"/>
  <c r="U17" i="14" s="1"/>
  <c r="U18" i="14" s="1"/>
  <c r="I35" i="14"/>
  <c r="R35" i="14" s="1"/>
  <c r="H35" i="14"/>
  <c r="U9" i="14" s="1"/>
  <c r="D35" i="14"/>
  <c r="B35" i="14"/>
  <c r="R34" i="14"/>
  <c r="O34" i="14"/>
  <c r="N34" i="14" s="1"/>
  <c r="M34" i="14"/>
  <c r="L34" i="14"/>
  <c r="K34" i="14"/>
  <c r="J34" i="14"/>
  <c r="C34" i="14"/>
  <c r="R33" i="14"/>
  <c r="O33" i="14"/>
  <c r="N33" i="14" s="1"/>
  <c r="M33" i="14"/>
  <c r="L33" i="14"/>
  <c r="K33" i="14"/>
  <c r="J33" i="14"/>
  <c r="C33" i="14"/>
  <c r="R32" i="14"/>
  <c r="O32" i="14"/>
  <c r="N32" i="14" s="1"/>
  <c r="M32" i="14"/>
  <c r="L32" i="14"/>
  <c r="K32" i="14"/>
  <c r="J32" i="14"/>
  <c r="C32" i="14"/>
  <c r="R31" i="14"/>
  <c r="O31" i="14"/>
  <c r="N31" i="14" s="1"/>
  <c r="M31" i="14"/>
  <c r="L31" i="14"/>
  <c r="K31" i="14"/>
  <c r="J31" i="14"/>
  <c r="C31" i="14"/>
  <c r="R30" i="14"/>
  <c r="O30" i="14"/>
  <c r="N30" i="14" s="1"/>
  <c r="M30" i="14"/>
  <c r="L30" i="14"/>
  <c r="K30" i="14"/>
  <c r="J30" i="14"/>
  <c r="C30" i="14"/>
  <c r="R29" i="14"/>
  <c r="O29" i="14"/>
  <c r="N29" i="14" s="1"/>
  <c r="M29" i="14"/>
  <c r="L29" i="14"/>
  <c r="K29" i="14"/>
  <c r="J29" i="14"/>
  <c r="C29" i="14"/>
  <c r="R28" i="14"/>
  <c r="O28" i="14"/>
  <c r="N28" i="14" s="1"/>
  <c r="M28" i="14"/>
  <c r="L28" i="14"/>
  <c r="K28" i="14"/>
  <c r="J28" i="14"/>
  <c r="C28" i="14"/>
  <c r="R27" i="14"/>
  <c r="O27" i="14"/>
  <c r="N27" i="14" s="1"/>
  <c r="M27" i="14"/>
  <c r="L27" i="14"/>
  <c r="K27" i="14"/>
  <c r="J27" i="14"/>
  <c r="C27" i="14"/>
  <c r="R26" i="14"/>
  <c r="O26" i="14"/>
  <c r="N26" i="14" s="1"/>
  <c r="M26" i="14"/>
  <c r="L26" i="14"/>
  <c r="K26" i="14"/>
  <c r="J26" i="14"/>
  <c r="C26" i="14"/>
  <c r="R25" i="14"/>
  <c r="O25" i="14"/>
  <c r="N25" i="14" s="1"/>
  <c r="M25" i="14"/>
  <c r="L25" i="14"/>
  <c r="K25" i="14"/>
  <c r="J25" i="14"/>
  <c r="C25" i="14"/>
  <c r="R24" i="14"/>
  <c r="O24" i="14"/>
  <c r="N24" i="14" s="1"/>
  <c r="M24" i="14"/>
  <c r="L24" i="14"/>
  <c r="K24" i="14"/>
  <c r="J24" i="14"/>
  <c r="C24" i="14"/>
  <c r="R23" i="14"/>
  <c r="O23" i="14"/>
  <c r="N23" i="14" s="1"/>
  <c r="M23" i="14"/>
  <c r="L23" i="14"/>
  <c r="K23" i="14"/>
  <c r="J23" i="14"/>
  <c r="C23" i="14"/>
  <c r="R22" i="14"/>
  <c r="O22" i="14"/>
  <c r="N22" i="14" s="1"/>
  <c r="M22" i="14"/>
  <c r="L22" i="14"/>
  <c r="K22" i="14"/>
  <c r="J22" i="14"/>
  <c r="C22" i="14"/>
  <c r="R21" i="14"/>
  <c r="O21" i="14"/>
  <c r="N21" i="14" s="1"/>
  <c r="M21" i="14"/>
  <c r="L21" i="14"/>
  <c r="K21" i="14"/>
  <c r="J21" i="14"/>
  <c r="C21" i="14"/>
  <c r="R20" i="14"/>
  <c r="O20" i="14"/>
  <c r="N20" i="14" s="1"/>
  <c r="M20" i="14"/>
  <c r="L20" i="14"/>
  <c r="K20" i="14"/>
  <c r="J20" i="14"/>
  <c r="C20" i="14"/>
  <c r="R19" i="14"/>
  <c r="O19" i="14"/>
  <c r="N19" i="14" s="1"/>
  <c r="M19" i="14"/>
  <c r="L19" i="14"/>
  <c r="K19" i="14"/>
  <c r="J19" i="14"/>
  <c r="C19" i="14"/>
  <c r="R18" i="14"/>
  <c r="O18" i="14"/>
  <c r="N18" i="14"/>
  <c r="M18" i="14"/>
  <c r="L18" i="14"/>
  <c r="K18" i="14"/>
  <c r="J18" i="14"/>
  <c r="G18" i="14"/>
  <c r="C18" i="14"/>
  <c r="R17" i="14"/>
  <c r="O17" i="14"/>
  <c r="N17" i="14"/>
  <c r="M17" i="14"/>
  <c r="L17" i="14"/>
  <c r="K17" i="14"/>
  <c r="J17" i="14"/>
  <c r="G17" i="14"/>
  <c r="C17" i="14"/>
  <c r="U16" i="14"/>
  <c r="R16" i="14"/>
  <c r="O16" i="14"/>
  <c r="G16" i="14" s="1"/>
  <c r="N16" i="14"/>
  <c r="M16" i="14"/>
  <c r="L16" i="14"/>
  <c r="K16" i="14"/>
  <c r="J16" i="14"/>
  <c r="C16" i="14"/>
  <c r="U15" i="14"/>
  <c r="R15" i="14"/>
  <c r="O15" i="14"/>
  <c r="N15" i="14" s="1"/>
  <c r="M15" i="14"/>
  <c r="L15" i="14"/>
  <c r="K15" i="14"/>
  <c r="J15" i="14"/>
  <c r="C15" i="14"/>
  <c r="R14" i="14"/>
  <c r="O14" i="14"/>
  <c r="N14" i="14"/>
  <c r="M14" i="14"/>
  <c r="L14" i="14"/>
  <c r="K14" i="14"/>
  <c r="J14" i="14"/>
  <c r="G14" i="14"/>
  <c r="C14" i="14"/>
  <c r="U13" i="14"/>
  <c r="R13" i="14"/>
  <c r="O13" i="14"/>
  <c r="N13" i="14"/>
  <c r="M13" i="14"/>
  <c r="L13" i="14"/>
  <c r="K13" i="14"/>
  <c r="J13" i="14"/>
  <c r="G13" i="14"/>
  <c r="C13" i="14"/>
  <c r="R12" i="14"/>
  <c r="O12" i="14"/>
  <c r="G12" i="14" s="1"/>
  <c r="N12" i="14"/>
  <c r="M12" i="14"/>
  <c r="L12" i="14"/>
  <c r="K12" i="14"/>
  <c r="J12" i="14"/>
  <c r="C12" i="14"/>
  <c r="U11" i="14"/>
  <c r="R11" i="14"/>
  <c r="O11" i="14"/>
  <c r="N11" i="14" s="1"/>
  <c r="M11" i="14"/>
  <c r="L11" i="14"/>
  <c r="K11" i="14"/>
  <c r="J11" i="14"/>
  <c r="C11" i="14"/>
  <c r="R10" i="14"/>
  <c r="O10" i="14"/>
  <c r="N10" i="14"/>
  <c r="M10" i="14"/>
  <c r="L10" i="14"/>
  <c r="K10" i="14"/>
  <c r="J10" i="14"/>
  <c r="G10" i="14"/>
  <c r="C10" i="14"/>
  <c r="R9" i="14"/>
  <c r="O9" i="14"/>
  <c r="N9" i="14"/>
  <c r="M9" i="14"/>
  <c r="L9" i="14"/>
  <c r="K9" i="14"/>
  <c r="J9" i="14"/>
  <c r="G9" i="14"/>
  <c r="C9" i="14"/>
  <c r="R8" i="14"/>
  <c r="O8" i="14"/>
  <c r="G8" i="14" s="1"/>
  <c r="N8" i="14"/>
  <c r="M8" i="14"/>
  <c r="L8" i="14"/>
  <c r="K8" i="14"/>
  <c r="J8" i="14"/>
  <c r="C8" i="14"/>
  <c r="C35" i="14" s="1"/>
  <c r="V7" i="14"/>
  <c r="U7" i="14"/>
  <c r="R7" i="14"/>
  <c r="O7" i="14"/>
  <c r="N7" i="14"/>
  <c r="M7" i="14"/>
  <c r="L7" i="14"/>
  <c r="K7" i="14"/>
  <c r="J7" i="14"/>
  <c r="G7" i="14"/>
  <c r="C7" i="14"/>
  <c r="U6" i="14"/>
  <c r="R6" i="14"/>
  <c r="O6" i="14"/>
  <c r="N6" i="14"/>
  <c r="M6" i="14"/>
  <c r="L6" i="14"/>
  <c r="K6" i="14"/>
  <c r="J6" i="14"/>
  <c r="G6" i="14"/>
  <c r="C6" i="14"/>
  <c r="R5" i="14"/>
  <c r="O5" i="14"/>
  <c r="N5" i="14"/>
  <c r="M5" i="14"/>
  <c r="L5" i="14"/>
  <c r="K5" i="14"/>
  <c r="J5" i="14"/>
  <c r="G5" i="14"/>
  <c r="C5" i="14"/>
  <c r="R4" i="14"/>
  <c r="O4" i="14"/>
  <c r="O35" i="14" s="1"/>
  <c r="N4" i="14"/>
  <c r="M4" i="14"/>
  <c r="L4" i="14"/>
  <c r="K4" i="14"/>
  <c r="J4" i="14"/>
  <c r="G4" i="14"/>
  <c r="C4" i="14"/>
  <c r="D36" i="13"/>
  <c r="D37" i="13" s="1"/>
  <c r="D38" i="13" s="1"/>
  <c r="R35" i="13"/>
  <c r="Q35" i="13"/>
  <c r="K35" i="13"/>
  <c r="J35" i="13"/>
  <c r="I35" i="13"/>
  <c r="H35" i="13"/>
  <c r="D35" i="13"/>
  <c r="B35" i="13"/>
  <c r="R34" i="13"/>
  <c r="O34" i="13"/>
  <c r="N34" i="13"/>
  <c r="M34" i="13"/>
  <c r="L34" i="13"/>
  <c r="K34" i="13"/>
  <c r="J34" i="13"/>
  <c r="G34" i="13"/>
  <c r="C34" i="13"/>
  <c r="R33" i="13"/>
  <c r="O33" i="13"/>
  <c r="N33" i="13"/>
  <c r="M33" i="13"/>
  <c r="L33" i="13"/>
  <c r="K33" i="13"/>
  <c r="J33" i="13"/>
  <c r="G33" i="13"/>
  <c r="C33" i="13"/>
  <c r="R32" i="13"/>
  <c r="O32" i="13"/>
  <c r="N32" i="13"/>
  <c r="M32" i="13"/>
  <c r="L32" i="13"/>
  <c r="K32" i="13"/>
  <c r="J32" i="13"/>
  <c r="G32" i="13"/>
  <c r="C32" i="13"/>
  <c r="R31" i="13"/>
  <c r="O31" i="13"/>
  <c r="N31" i="13"/>
  <c r="M31" i="13"/>
  <c r="L31" i="13"/>
  <c r="K31" i="13"/>
  <c r="J31" i="13"/>
  <c r="G31" i="13"/>
  <c r="C31" i="13"/>
  <c r="R30" i="13"/>
  <c r="O30" i="13"/>
  <c r="N30" i="13"/>
  <c r="M30" i="13"/>
  <c r="L30" i="13"/>
  <c r="K30" i="13"/>
  <c r="J30" i="13"/>
  <c r="G30" i="13"/>
  <c r="C30" i="13"/>
  <c r="R29" i="13"/>
  <c r="O29" i="13"/>
  <c r="N29" i="13"/>
  <c r="M29" i="13"/>
  <c r="L29" i="13"/>
  <c r="K29" i="13"/>
  <c r="J29" i="13"/>
  <c r="G29" i="13"/>
  <c r="C29" i="13"/>
  <c r="R28" i="13"/>
  <c r="O28" i="13"/>
  <c r="N28" i="13"/>
  <c r="M28" i="13"/>
  <c r="L28" i="13"/>
  <c r="K28" i="13"/>
  <c r="J28" i="13"/>
  <c r="G28" i="13"/>
  <c r="C28" i="13"/>
  <c r="R27" i="13"/>
  <c r="O27" i="13"/>
  <c r="N27" i="13"/>
  <c r="M27" i="13"/>
  <c r="L27" i="13"/>
  <c r="K27" i="13"/>
  <c r="J27" i="13"/>
  <c r="G27" i="13"/>
  <c r="C27" i="13"/>
  <c r="R26" i="13"/>
  <c r="O26" i="13"/>
  <c r="N26" i="13"/>
  <c r="M26" i="13"/>
  <c r="L26" i="13"/>
  <c r="K26" i="13"/>
  <c r="J26" i="13"/>
  <c r="G26" i="13"/>
  <c r="C26" i="13"/>
  <c r="R25" i="13"/>
  <c r="O25" i="13"/>
  <c r="N25" i="13"/>
  <c r="M25" i="13"/>
  <c r="L25" i="13"/>
  <c r="K25" i="13"/>
  <c r="J25" i="13"/>
  <c r="G25" i="13"/>
  <c r="C25" i="13"/>
  <c r="R24" i="13"/>
  <c r="O24" i="13"/>
  <c r="N24" i="13"/>
  <c r="M24" i="13"/>
  <c r="L24" i="13"/>
  <c r="K24" i="13"/>
  <c r="J24" i="13"/>
  <c r="G24" i="13"/>
  <c r="C24" i="13"/>
  <c r="R23" i="13"/>
  <c r="O23" i="13"/>
  <c r="N23" i="13"/>
  <c r="M23" i="13"/>
  <c r="L23" i="13"/>
  <c r="K23" i="13"/>
  <c r="J23" i="13"/>
  <c r="G23" i="13"/>
  <c r="C23" i="13"/>
  <c r="R22" i="13"/>
  <c r="O22" i="13"/>
  <c r="N22" i="13"/>
  <c r="M22" i="13"/>
  <c r="L22" i="13"/>
  <c r="K22" i="13"/>
  <c r="J22" i="13"/>
  <c r="G22" i="13"/>
  <c r="C22" i="13"/>
  <c r="R21" i="13"/>
  <c r="O21" i="13"/>
  <c r="N21" i="13"/>
  <c r="M21" i="13"/>
  <c r="L21" i="13"/>
  <c r="K21" i="13"/>
  <c r="J21" i="13"/>
  <c r="G21" i="13"/>
  <c r="C21" i="13"/>
  <c r="R20" i="13"/>
  <c r="O20" i="13"/>
  <c r="N20" i="13"/>
  <c r="M20" i="13"/>
  <c r="L20" i="13"/>
  <c r="K20" i="13"/>
  <c r="J20" i="13"/>
  <c r="G20" i="13"/>
  <c r="C20" i="13"/>
  <c r="R19" i="13"/>
  <c r="O19" i="13"/>
  <c r="N19" i="13"/>
  <c r="M19" i="13"/>
  <c r="L19" i="13"/>
  <c r="K19" i="13"/>
  <c r="J19" i="13"/>
  <c r="G19" i="13"/>
  <c r="C19" i="13"/>
  <c r="R18" i="13"/>
  <c r="O18" i="13"/>
  <c r="G18" i="13" s="1"/>
  <c r="N18" i="13"/>
  <c r="M18" i="13"/>
  <c r="L18" i="13"/>
  <c r="K18" i="13"/>
  <c r="J18" i="13"/>
  <c r="C18" i="13"/>
  <c r="R17" i="13"/>
  <c r="O17" i="13"/>
  <c r="N17" i="13" s="1"/>
  <c r="M17" i="13"/>
  <c r="L17" i="13"/>
  <c r="K17" i="13"/>
  <c r="J17" i="13"/>
  <c r="C17" i="13"/>
  <c r="U16" i="13"/>
  <c r="R16" i="13"/>
  <c r="O16" i="13"/>
  <c r="N16" i="13" s="1"/>
  <c r="M16" i="13"/>
  <c r="L16" i="13"/>
  <c r="K16" i="13"/>
  <c r="J16" i="13"/>
  <c r="G16" i="13"/>
  <c r="C16" i="13"/>
  <c r="U15" i="13"/>
  <c r="R15" i="13"/>
  <c r="O15" i="13"/>
  <c r="N15" i="13"/>
  <c r="M15" i="13"/>
  <c r="L15" i="13"/>
  <c r="K15" i="13"/>
  <c r="J15" i="13"/>
  <c r="G15" i="13"/>
  <c r="C15" i="13"/>
  <c r="R14" i="13"/>
  <c r="O14" i="13"/>
  <c r="G14" i="13" s="1"/>
  <c r="N14" i="13"/>
  <c r="M14" i="13"/>
  <c r="L14" i="13"/>
  <c r="K14" i="13"/>
  <c r="J14" i="13"/>
  <c r="C14" i="13"/>
  <c r="U13" i="13"/>
  <c r="R13" i="13"/>
  <c r="O13" i="13"/>
  <c r="N13" i="13" s="1"/>
  <c r="M13" i="13"/>
  <c r="L13" i="13"/>
  <c r="K13" i="13"/>
  <c r="J13" i="13"/>
  <c r="E13" i="13"/>
  <c r="F13" i="13" s="1"/>
  <c r="C13" i="13"/>
  <c r="R12" i="13"/>
  <c r="O12" i="13"/>
  <c r="N12" i="13" s="1"/>
  <c r="M12" i="13"/>
  <c r="L12" i="13"/>
  <c r="K12" i="13"/>
  <c r="J12" i="13"/>
  <c r="G12" i="13"/>
  <c r="C12" i="13"/>
  <c r="U11" i="13"/>
  <c r="R11" i="13"/>
  <c r="O11" i="13"/>
  <c r="N11" i="13"/>
  <c r="M11" i="13"/>
  <c r="L11" i="13"/>
  <c r="K11" i="13"/>
  <c r="J11" i="13"/>
  <c r="G11" i="13"/>
  <c r="C11" i="13"/>
  <c r="R10" i="13"/>
  <c r="O10" i="13"/>
  <c r="G10" i="13" s="1"/>
  <c r="N10" i="13"/>
  <c r="M10" i="13"/>
  <c r="L10" i="13"/>
  <c r="K10" i="13"/>
  <c r="J10" i="13"/>
  <c r="C10" i="13"/>
  <c r="U9" i="13"/>
  <c r="R9" i="13"/>
  <c r="O9" i="13"/>
  <c r="N9" i="13" s="1"/>
  <c r="M9" i="13"/>
  <c r="L9" i="13"/>
  <c r="K9" i="13"/>
  <c r="J9" i="13"/>
  <c r="E9" i="13"/>
  <c r="F9" i="13" s="1"/>
  <c r="C9" i="13"/>
  <c r="R8" i="13"/>
  <c r="O8" i="13"/>
  <c r="N8" i="13" s="1"/>
  <c r="M8" i="13"/>
  <c r="L8" i="13"/>
  <c r="K8" i="13"/>
  <c r="J8" i="13"/>
  <c r="G8" i="13"/>
  <c r="C8" i="13"/>
  <c r="V7" i="13"/>
  <c r="U7" i="13"/>
  <c r="R7" i="13"/>
  <c r="O7" i="13"/>
  <c r="G7" i="13" s="1"/>
  <c r="N7" i="13"/>
  <c r="M7" i="13"/>
  <c r="L7" i="13"/>
  <c r="K7" i="13"/>
  <c r="J7" i="13"/>
  <c r="C7" i="13"/>
  <c r="U6" i="13"/>
  <c r="R6" i="13"/>
  <c r="O6" i="13"/>
  <c r="N6" i="13" s="1"/>
  <c r="M6" i="13"/>
  <c r="L6" i="13"/>
  <c r="K6" i="13"/>
  <c r="J6" i="13"/>
  <c r="E6" i="13"/>
  <c r="F6" i="13" s="1"/>
  <c r="C6" i="13"/>
  <c r="R5" i="13"/>
  <c r="O5" i="13"/>
  <c r="N5" i="13" s="1"/>
  <c r="M5" i="13"/>
  <c r="L5" i="13"/>
  <c r="K5" i="13"/>
  <c r="J5" i="13"/>
  <c r="E5" i="13"/>
  <c r="F5" i="13" s="1"/>
  <c r="C5" i="13"/>
  <c r="R4" i="13"/>
  <c r="O4" i="13"/>
  <c r="N4" i="13" s="1"/>
  <c r="M4" i="13"/>
  <c r="L4" i="13"/>
  <c r="K4" i="13"/>
  <c r="J4" i="13"/>
  <c r="E4" i="13"/>
  <c r="F4" i="13" s="1"/>
  <c r="C4" i="13"/>
  <c r="C35" i="13" s="1"/>
  <c r="Q35" i="12"/>
  <c r="I35" i="12"/>
  <c r="F7" i="3" s="1"/>
  <c r="H35" i="12"/>
  <c r="E7" i="3" s="1"/>
  <c r="B35" i="12"/>
  <c r="C7" i="3" s="1"/>
  <c r="R34" i="12"/>
  <c r="O34" i="12"/>
  <c r="N34" i="12" s="1"/>
  <c r="M34" i="12"/>
  <c r="L34" i="12"/>
  <c r="K34" i="12"/>
  <c r="J34" i="12"/>
  <c r="C34" i="12"/>
  <c r="R33" i="12"/>
  <c r="O33" i="12"/>
  <c r="N33" i="12" s="1"/>
  <c r="M33" i="12"/>
  <c r="L33" i="12"/>
  <c r="K33" i="12"/>
  <c r="J33" i="12"/>
  <c r="C33" i="12"/>
  <c r="R32" i="12"/>
  <c r="O32" i="12"/>
  <c r="G32" i="12" s="1"/>
  <c r="M32" i="12"/>
  <c r="L32" i="12"/>
  <c r="K32" i="12"/>
  <c r="J32" i="12"/>
  <c r="C32" i="12"/>
  <c r="R31" i="12"/>
  <c r="O31" i="12"/>
  <c r="N31" i="12" s="1"/>
  <c r="M31" i="12"/>
  <c r="L31" i="12"/>
  <c r="K31" i="12"/>
  <c r="J31" i="12"/>
  <c r="C31" i="12"/>
  <c r="R30" i="12"/>
  <c r="O30" i="12"/>
  <c r="N30" i="12" s="1"/>
  <c r="M30" i="12"/>
  <c r="L30" i="12"/>
  <c r="K30" i="12"/>
  <c r="J30" i="12"/>
  <c r="C30" i="12"/>
  <c r="R29" i="12"/>
  <c r="O29" i="12"/>
  <c r="N29" i="12" s="1"/>
  <c r="M29" i="12"/>
  <c r="L29" i="12"/>
  <c r="K29" i="12"/>
  <c r="J29" i="12"/>
  <c r="C29" i="12"/>
  <c r="R28" i="12"/>
  <c r="O28" i="12"/>
  <c r="G28" i="12" s="1"/>
  <c r="M28" i="12"/>
  <c r="L28" i="12"/>
  <c r="K28" i="12"/>
  <c r="J28" i="12"/>
  <c r="C28" i="12"/>
  <c r="R27" i="12"/>
  <c r="O27" i="12"/>
  <c r="N27" i="12" s="1"/>
  <c r="M27" i="12"/>
  <c r="L27" i="12"/>
  <c r="K27" i="12"/>
  <c r="J27" i="12"/>
  <c r="C27" i="12"/>
  <c r="R26" i="12"/>
  <c r="O26" i="12"/>
  <c r="G26" i="12" s="1"/>
  <c r="M26" i="12"/>
  <c r="L26" i="12"/>
  <c r="K26" i="12"/>
  <c r="J26" i="12"/>
  <c r="C26" i="12"/>
  <c r="R25" i="12"/>
  <c r="O25" i="12"/>
  <c r="N25" i="12" s="1"/>
  <c r="M25" i="12"/>
  <c r="L25" i="12"/>
  <c r="K25" i="12"/>
  <c r="J25" i="12"/>
  <c r="C25" i="12"/>
  <c r="R24" i="12"/>
  <c r="O24" i="12"/>
  <c r="G24" i="12" s="1"/>
  <c r="M24" i="12"/>
  <c r="L24" i="12"/>
  <c r="K24" i="12"/>
  <c r="J24" i="12"/>
  <c r="C24" i="12"/>
  <c r="R23" i="12"/>
  <c r="O23" i="12"/>
  <c r="N23" i="12" s="1"/>
  <c r="M23" i="12"/>
  <c r="L23" i="12"/>
  <c r="K23" i="12"/>
  <c r="J23" i="12"/>
  <c r="C23" i="12"/>
  <c r="R22" i="12"/>
  <c r="O22" i="12"/>
  <c r="G22" i="12" s="1"/>
  <c r="M22" i="12"/>
  <c r="L22" i="12"/>
  <c r="K22" i="12"/>
  <c r="J22" i="12"/>
  <c r="C22" i="12"/>
  <c r="R21" i="12"/>
  <c r="O21" i="12"/>
  <c r="N21" i="12" s="1"/>
  <c r="M21" i="12"/>
  <c r="L21" i="12"/>
  <c r="K21" i="12"/>
  <c r="J21" i="12"/>
  <c r="C21" i="12"/>
  <c r="R20" i="12"/>
  <c r="O20" i="12"/>
  <c r="G20" i="12" s="1"/>
  <c r="M20" i="12"/>
  <c r="L20" i="12"/>
  <c r="K20" i="12"/>
  <c r="J20" i="12"/>
  <c r="C20" i="12"/>
  <c r="R19" i="12"/>
  <c r="O19" i="12"/>
  <c r="N19" i="12" s="1"/>
  <c r="M19" i="12"/>
  <c r="L19" i="12"/>
  <c r="K19" i="12"/>
  <c r="J19" i="12"/>
  <c r="C19" i="12"/>
  <c r="R18" i="12"/>
  <c r="K18" i="12"/>
  <c r="R17" i="12"/>
  <c r="O17" i="12"/>
  <c r="M17" i="12"/>
  <c r="L17" i="12"/>
  <c r="K17" i="12"/>
  <c r="J17" i="12"/>
  <c r="C17" i="12"/>
  <c r="R16" i="12"/>
  <c r="O16" i="12"/>
  <c r="N16" i="12" s="1"/>
  <c r="M16" i="12"/>
  <c r="L16" i="12"/>
  <c r="K16" i="12"/>
  <c r="J16" i="12"/>
  <c r="C16" i="12"/>
  <c r="R15" i="12"/>
  <c r="K15" i="12"/>
  <c r="R14" i="12"/>
  <c r="K14" i="12"/>
  <c r="R13" i="12"/>
  <c r="K13" i="12"/>
  <c r="R12" i="12"/>
  <c r="O12" i="12"/>
  <c r="N12" i="12" s="1"/>
  <c r="M12" i="12"/>
  <c r="L12" i="12"/>
  <c r="K12" i="12"/>
  <c r="J12" i="12"/>
  <c r="C12" i="12"/>
  <c r="R11" i="12"/>
  <c r="O11" i="12"/>
  <c r="M11" i="12"/>
  <c r="L11" i="12"/>
  <c r="K11" i="12"/>
  <c r="J11" i="12"/>
  <c r="C11" i="12"/>
  <c r="R10" i="12"/>
  <c r="K10" i="12"/>
  <c r="R9" i="12"/>
  <c r="O9" i="12"/>
  <c r="M9" i="12"/>
  <c r="L9" i="12"/>
  <c r="K9" i="12"/>
  <c r="J9" i="12"/>
  <c r="C9" i="12"/>
  <c r="R8" i="12"/>
  <c r="K8" i="12"/>
  <c r="R7" i="12"/>
  <c r="K7" i="12"/>
  <c r="E7" i="12"/>
  <c r="U6" i="12"/>
  <c r="E14" i="12" s="1"/>
  <c r="R6" i="12"/>
  <c r="K6" i="12"/>
  <c r="R5" i="12"/>
  <c r="K5" i="12"/>
  <c r="R4" i="12"/>
  <c r="O4" i="12"/>
  <c r="M4" i="12"/>
  <c r="L4" i="12"/>
  <c r="K4" i="12"/>
  <c r="J4" i="12"/>
  <c r="C4" i="12"/>
  <c r="C5" i="3"/>
  <c r="C4" i="3"/>
  <c r="G9" i="3"/>
  <c r="G8" i="3"/>
  <c r="G16" i="12" l="1"/>
  <c r="N17" i="12"/>
  <c r="N22" i="12"/>
  <c r="G23" i="12"/>
  <c r="G30" i="12"/>
  <c r="G31" i="12"/>
  <c r="G34" i="12"/>
  <c r="G19" i="12"/>
  <c r="K35" i="12"/>
  <c r="U9" i="12"/>
  <c r="N26" i="12"/>
  <c r="G27" i="12"/>
  <c r="P4" i="12"/>
  <c r="N11" i="12"/>
  <c r="U16" i="12"/>
  <c r="N20" i="12"/>
  <c r="G21" i="12"/>
  <c r="N24" i="12"/>
  <c r="G25" i="12"/>
  <c r="N28" i="12"/>
  <c r="G29" i="12"/>
  <c r="N32" i="12"/>
  <c r="G33" i="12"/>
  <c r="N9" i="12"/>
  <c r="N4" i="12"/>
  <c r="F6" i="3"/>
  <c r="E6" i="3"/>
  <c r="E11" i="15"/>
  <c r="F11" i="15" s="1"/>
  <c r="E16" i="12"/>
  <c r="E10" i="12"/>
  <c r="E18" i="12"/>
  <c r="E16" i="13"/>
  <c r="F16" i="13" s="1"/>
  <c r="E7" i="13"/>
  <c r="F7" i="13" s="1"/>
  <c r="E10" i="13"/>
  <c r="F10" i="13" s="1"/>
  <c r="E14" i="13"/>
  <c r="F14" i="13" s="1"/>
  <c r="E17" i="13"/>
  <c r="F17" i="13" s="1"/>
  <c r="E18" i="13"/>
  <c r="F18" i="13" s="1"/>
  <c r="E16" i="14"/>
  <c r="F16" i="14" s="1"/>
  <c r="E11" i="14"/>
  <c r="F11" i="14" s="1"/>
  <c r="E15" i="14"/>
  <c r="F15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4" i="16"/>
  <c r="F4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5" i="16"/>
  <c r="F5" i="16" s="1"/>
  <c r="E11" i="16"/>
  <c r="F11" i="16" s="1"/>
  <c r="E15" i="16"/>
  <c r="F15" i="16" s="1"/>
  <c r="E6" i="16"/>
  <c r="F6" i="16" s="1"/>
  <c r="E16" i="16"/>
  <c r="F16" i="16" s="1"/>
  <c r="E17" i="16"/>
  <c r="F17" i="16" s="1"/>
  <c r="E9" i="16"/>
  <c r="F9" i="16" s="1"/>
  <c r="E11" i="17"/>
  <c r="F11" i="17" s="1"/>
  <c r="E15" i="17"/>
  <c r="F15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16" i="17"/>
  <c r="F16" i="17" s="1"/>
  <c r="E16" i="18"/>
  <c r="F16" i="18" s="1"/>
  <c r="E16" i="19"/>
  <c r="F16" i="19" s="1"/>
  <c r="E4" i="19"/>
  <c r="F4" i="19" s="1"/>
  <c r="E5" i="19"/>
  <c r="F5" i="19" s="1"/>
  <c r="E6" i="19"/>
  <c r="F6" i="19" s="1"/>
  <c r="E9" i="19"/>
  <c r="F9" i="19" s="1"/>
  <c r="E13" i="19"/>
  <c r="F13" i="19" s="1"/>
  <c r="E7" i="19"/>
  <c r="F7" i="19" s="1"/>
  <c r="E10" i="19"/>
  <c r="F10" i="19" s="1"/>
  <c r="E14" i="19"/>
  <c r="F14" i="19" s="1"/>
  <c r="E17" i="19"/>
  <c r="F17" i="19" s="1"/>
  <c r="E18" i="19"/>
  <c r="F18" i="19" s="1"/>
  <c r="E7" i="20"/>
  <c r="F7" i="20" s="1"/>
  <c r="E10" i="20"/>
  <c r="F10" i="20" s="1"/>
  <c r="E16" i="20"/>
  <c r="F16" i="20" s="1"/>
  <c r="E4" i="20"/>
  <c r="E5" i="20"/>
  <c r="F5" i="20" s="1"/>
  <c r="E6" i="20"/>
  <c r="F6" i="20" s="1"/>
  <c r="E9" i="20"/>
  <c r="F9" i="20" s="1"/>
  <c r="E13" i="20"/>
  <c r="F13" i="20" s="1"/>
  <c r="E17" i="20"/>
  <c r="F17" i="20" s="1"/>
  <c r="E18" i="20"/>
  <c r="F18" i="20" s="1"/>
  <c r="E16" i="15"/>
  <c r="F16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N35" i="20"/>
  <c r="N35" i="18"/>
  <c r="N35" i="16"/>
  <c r="N35" i="15"/>
  <c r="F4" i="20"/>
  <c r="P4" i="20"/>
  <c r="P5" i="20" s="1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G4" i="20"/>
  <c r="G5" i="20"/>
  <c r="G6" i="20"/>
  <c r="G9" i="20"/>
  <c r="E11" i="20"/>
  <c r="F11" i="20" s="1"/>
  <c r="G13" i="20"/>
  <c r="E15" i="20"/>
  <c r="F15" i="20" s="1"/>
  <c r="G17" i="20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L35" i="20"/>
  <c r="U17" i="20" s="1"/>
  <c r="U18" i="20" s="1"/>
  <c r="O35" i="20"/>
  <c r="E8" i="20"/>
  <c r="F8" i="20" s="1"/>
  <c r="E12" i="20"/>
  <c r="F12" i="20" s="1"/>
  <c r="N35" i="19"/>
  <c r="P4" i="19"/>
  <c r="P5" i="19" s="1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G4" i="19"/>
  <c r="G5" i="19"/>
  <c r="G6" i="19"/>
  <c r="G9" i="19"/>
  <c r="E11" i="19"/>
  <c r="F11" i="19" s="1"/>
  <c r="G13" i="19"/>
  <c r="E15" i="19"/>
  <c r="F15" i="19" s="1"/>
  <c r="G17" i="19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E31" i="19"/>
  <c r="F31" i="19" s="1"/>
  <c r="E32" i="19"/>
  <c r="F32" i="19" s="1"/>
  <c r="E33" i="19"/>
  <c r="F33" i="19" s="1"/>
  <c r="E34" i="19"/>
  <c r="F34" i="19" s="1"/>
  <c r="L35" i="19"/>
  <c r="U17" i="19" s="1"/>
  <c r="U18" i="19" s="1"/>
  <c r="O35" i="19"/>
  <c r="E8" i="19"/>
  <c r="F8" i="19" s="1"/>
  <c r="E12" i="19"/>
  <c r="F12" i="19" s="1"/>
  <c r="P4" i="18"/>
  <c r="P5" i="18" s="1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G4" i="18"/>
  <c r="G5" i="18"/>
  <c r="G6" i="18"/>
  <c r="G9" i="18"/>
  <c r="E11" i="18"/>
  <c r="F11" i="18" s="1"/>
  <c r="U12" i="18"/>
  <c r="U8" i="18" s="1"/>
  <c r="G13" i="18"/>
  <c r="E15" i="18"/>
  <c r="F15" i="18" s="1"/>
  <c r="G17" i="18"/>
  <c r="E19" i="18"/>
  <c r="F19" i="18" s="1"/>
  <c r="E20" i="18"/>
  <c r="F20" i="18" s="1"/>
  <c r="E21" i="18"/>
  <c r="F21" i="18" s="1"/>
  <c r="E22" i="18"/>
  <c r="F22" i="18" s="1"/>
  <c r="E23" i="18"/>
  <c r="F23" i="18" s="1"/>
  <c r="E24" i="18"/>
  <c r="F24" i="18" s="1"/>
  <c r="E25" i="18"/>
  <c r="F25" i="18" s="1"/>
  <c r="E26" i="18"/>
  <c r="F26" i="18" s="1"/>
  <c r="E27" i="18"/>
  <c r="F27" i="18" s="1"/>
  <c r="E28" i="18"/>
  <c r="F28" i="18" s="1"/>
  <c r="E29" i="18"/>
  <c r="F29" i="18" s="1"/>
  <c r="E30" i="18"/>
  <c r="F30" i="18" s="1"/>
  <c r="E31" i="18"/>
  <c r="F31" i="18" s="1"/>
  <c r="E32" i="18"/>
  <c r="F32" i="18" s="1"/>
  <c r="E33" i="18"/>
  <c r="F33" i="18" s="1"/>
  <c r="E34" i="18"/>
  <c r="F34" i="18" s="1"/>
  <c r="L35" i="18"/>
  <c r="U17" i="18" s="1"/>
  <c r="U18" i="18" s="1"/>
  <c r="O35" i="18"/>
  <c r="E8" i="18"/>
  <c r="F8" i="18" s="1"/>
  <c r="E12" i="18"/>
  <c r="F12" i="18" s="1"/>
  <c r="L35" i="17"/>
  <c r="U17" i="17" s="1"/>
  <c r="U18" i="17" s="1"/>
  <c r="E4" i="17"/>
  <c r="E5" i="17"/>
  <c r="F5" i="17" s="1"/>
  <c r="E6" i="17"/>
  <c r="F6" i="17" s="1"/>
  <c r="E9" i="17"/>
  <c r="F9" i="17" s="1"/>
  <c r="G11" i="17"/>
  <c r="E13" i="17"/>
  <c r="F13" i="17" s="1"/>
  <c r="G15" i="17"/>
  <c r="E17" i="17"/>
  <c r="F17" i="17" s="1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J35" i="17"/>
  <c r="P4" i="17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E7" i="17"/>
  <c r="F7" i="17" s="1"/>
  <c r="E10" i="17"/>
  <c r="F10" i="17" s="1"/>
  <c r="E14" i="17"/>
  <c r="F14" i="17" s="1"/>
  <c r="E18" i="17"/>
  <c r="F18" i="17" s="1"/>
  <c r="K35" i="17"/>
  <c r="D36" i="17"/>
  <c r="D37" i="17" s="1"/>
  <c r="D38" i="17" s="1"/>
  <c r="E8" i="17"/>
  <c r="F8" i="17" s="1"/>
  <c r="E12" i="17"/>
  <c r="F12" i="17" s="1"/>
  <c r="G11" i="16"/>
  <c r="G15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P4" i="16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E7" i="16"/>
  <c r="F7" i="16" s="1"/>
  <c r="E10" i="16"/>
  <c r="F10" i="16" s="1"/>
  <c r="E14" i="16"/>
  <c r="F14" i="16" s="1"/>
  <c r="U15" i="16"/>
  <c r="E18" i="16"/>
  <c r="F18" i="16" s="1"/>
  <c r="K35" i="16"/>
  <c r="O35" i="16"/>
  <c r="D36" i="16"/>
  <c r="D37" i="16" s="1"/>
  <c r="D38" i="16" s="1"/>
  <c r="L35" i="16"/>
  <c r="U17" i="16" s="1"/>
  <c r="U18" i="16" s="1"/>
  <c r="E8" i="16"/>
  <c r="F8" i="16" s="1"/>
  <c r="E12" i="16"/>
  <c r="F12" i="16" s="1"/>
  <c r="E4" i="15"/>
  <c r="E5" i="15"/>
  <c r="F5" i="15" s="1"/>
  <c r="E6" i="15"/>
  <c r="F6" i="15" s="1"/>
  <c r="E9" i="15"/>
  <c r="F9" i="15" s="1"/>
  <c r="G11" i="15"/>
  <c r="E13" i="15"/>
  <c r="F13" i="15" s="1"/>
  <c r="G15" i="15"/>
  <c r="E17" i="15"/>
  <c r="F17" i="15" s="1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J35" i="15"/>
  <c r="P4" i="15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E7" i="15"/>
  <c r="F7" i="15" s="1"/>
  <c r="E10" i="15"/>
  <c r="F10" i="15" s="1"/>
  <c r="E14" i="15"/>
  <c r="F14" i="15" s="1"/>
  <c r="U15" i="15"/>
  <c r="E18" i="15"/>
  <c r="F18" i="15" s="1"/>
  <c r="K35" i="15"/>
  <c r="D36" i="15"/>
  <c r="D37" i="15" s="1"/>
  <c r="D38" i="15" s="1"/>
  <c r="E8" i="15"/>
  <c r="F8" i="15" s="1"/>
  <c r="E12" i="15"/>
  <c r="F12" i="15" s="1"/>
  <c r="N35" i="14"/>
  <c r="E4" i="14"/>
  <c r="E5" i="14"/>
  <c r="F5" i="14" s="1"/>
  <c r="E6" i="14"/>
  <c r="F6" i="14" s="1"/>
  <c r="E9" i="14"/>
  <c r="F9" i="14" s="1"/>
  <c r="G11" i="14"/>
  <c r="E13" i="14"/>
  <c r="F13" i="14" s="1"/>
  <c r="G15" i="14"/>
  <c r="E17" i="14"/>
  <c r="F17" i="14" s="1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J35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E7" i="14"/>
  <c r="F7" i="14" s="1"/>
  <c r="E10" i="14"/>
  <c r="F10" i="14" s="1"/>
  <c r="E14" i="14"/>
  <c r="F14" i="14" s="1"/>
  <c r="E18" i="14"/>
  <c r="F18" i="14" s="1"/>
  <c r="K35" i="14"/>
  <c r="D36" i="14"/>
  <c r="D37" i="14" s="1"/>
  <c r="D38" i="14" s="1"/>
  <c r="E8" i="14"/>
  <c r="F8" i="14" s="1"/>
  <c r="E12" i="14"/>
  <c r="F12" i="14" s="1"/>
  <c r="N35" i="13"/>
  <c r="O35" i="13"/>
  <c r="G4" i="13"/>
  <c r="G5" i="13"/>
  <c r="G6" i="13"/>
  <c r="G9" i="13"/>
  <c r="E11" i="13"/>
  <c r="F11" i="13" s="1"/>
  <c r="G13" i="13"/>
  <c r="E15" i="13"/>
  <c r="F15" i="13" s="1"/>
  <c r="G17" i="13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F33" i="13" s="1"/>
  <c r="E34" i="13"/>
  <c r="F34" i="13" s="1"/>
  <c r="L35" i="13"/>
  <c r="U17" i="13" s="1"/>
  <c r="U18" i="13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E8" i="13"/>
  <c r="F8" i="13" s="1"/>
  <c r="E12" i="13"/>
  <c r="F12" i="13" s="1"/>
  <c r="E4" i="12"/>
  <c r="E5" i="12"/>
  <c r="E6" i="12"/>
  <c r="E9" i="12"/>
  <c r="F9" i="12" s="1"/>
  <c r="G9" i="12" s="1"/>
  <c r="E13" i="12"/>
  <c r="E17" i="12"/>
  <c r="F17" i="12" s="1"/>
  <c r="G17" i="12" s="1"/>
  <c r="R35" i="12"/>
  <c r="E11" i="12"/>
  <c r="F11" i="12" s="1"/>
  <c r="G11" i="12" s="1"/>
  <c r="E15" i="12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8" i="12"/>
  <c r="E12" i="12"/>
  <c r="F12" i="12" s="1"/>
  <c r="G12" i="12" s="1"/>
  <c r="I30" i="9"/>
  <c r="G35" i="13" l="1"/>
  <c r="G35" i="14"/>
  <c r="G35" i="16"/>
  <c r="G35" i="17"/>
  <c r="G35" i="20"/>
  <c r="G35" i="15"/>
  <c r="U10" i="20"/>
  <c r="U14" i="20"/>
  <c r="U12" i="20"/>
  <c r="U8" i="20" s="1"/>
  <c r="E35" i="20"/>
  <c r="U14" i="19"/>
  <c r="U10" i="19"/>
  <c r="U12" i="19"/>
  <c r="U8" i="19" s="1"/>
  <c r="E35" i="19"/>
  <c r="G35" i="19"/>
  <c r="E35" i="18"/>
  <c r="G35" i="18"/>
  <c r="U14" i="18"/>
  <c r="U10" i="18"/>
  <c r="F4" i="17"/>
  <c r="E35" i="17"/>
  <c r="U12" i="17"/>
  <c r="U8" i="17" s="1"/>
  <c r="U14" i="17"/>
  <c r="U10" i="17"/>
  <c r="U12" i="16"/>
  <c r="U8" i="16" s="1"/>
  <c r="U14" i="16"/>
  <c r="U10" i="16"/>
  <c r="E35" i="16"/>
  <c r="U14" i="15"/>
  <c r="U12" i="15"/>
  <c r="U8" i="15" s="1"/>
  <c r="U10" i="15"/>
  <c r="F4" i="15"/>
  <c r="E35" i="15"/>
  <c r="U12" i="14"/>
  <c r="U8" i="14" s="1"/>
  <c r="U14" i="14"/>
  <c r="U10" i="14"/>
  <c r="F4" i="14"/>
  <c r="E35" i="14"/>
  <c r="E35" i="13"/>
  <c r="U12" i="13"/>
  <c r="U8" i="13" s="1"/>
  <c r="U14" i="13"/>
  <c r="U10" i="13"/>
  <c r="E35" i="12"/>
  <c r="F4" i="12"/>
  <c r="G4" i="12" s="1"/>
  <c r="D33" i="9"/>
  <c r="D34" i="9"/>
  <c r="D27" i="9" l="1"/>
  <c r="I27" i="9"/>
  <c r="B35" i="10" l="1"/>
  <c r="R34" i="10"/>
  <c r="K34" i="10"/>
  <c r="R33" i="10"/>
  <c r="K33" i="10"/>
  <c r="R32" i="10"/>
  <c r="K32" i="10"/>
  <c r="R31" i="10"/>
  <c r="K31" i="10"/>
  <c r="R30" i="10"/>
  <c r="K30" i="10"/>
  <c r="M30" i="10"/>
  <c r="R29" i="10"/>
  <c r="O29" i="10"/>
  <c r="K29" i="10"/>
  <c r="J29" i="10"/>
  <c r="R28" i="10"/>
  <c r="K28" i="10"/>
  <c r="R27" i="10"/>
  <c r="K27" i="10"/>
  <c r="R26" i="10"/>
  <c r="K26" i="10"/>
  <c r="R25" i="10"/>
  <c r="K25" i="10"/>
  <c r="O24" i="10"/>
  <c r="N24" i="10" s="1"/>
  <c r="M24" i="10"/>
  <c r="J24" i="10"/>
  <c r="L24" i="10"/>
  <c r="C24" i="10"/>
  <c r="L23" i="10"/>
  <c r="R23" i="10"/>
  <c r="K23" i="10"/>
  <c r="O22" i="10"/>
  <c r="N22" i="10" s="1"/>
  <c r="M22" i="10"/>
  <c r="K22" i="10"/>
  <c r="L22" i="10"/>
  <c r="C22" i="10"/>
  <c r="R21" i="10"/>
  <c r="K21" i="10"/>
  <c r="R19" i="10"/>
  <c r="K19" i="10"/>
  <c r="R18" i="10"/>
  <c r="K18" i="10"/>
  <c r="R17" i="10"/>
  <c r="K17" i="10"/>
  <c r="L17" i="10"/>
  <c r="R16" i="10"/>
  <c r="K16" i="10"/>
  <c r="R15" i="10"/>
  <c r="K15" i="10"/>
  <c r="R14" i="10"/>
  <c r="K14" i="10"/>
  <c r="R13" i="10"/>
  <c r="K13" i="10"/>
  <c r="R12" i="10"/>
  <c r="K12" i="10"/>
  <c r="R11" i="10"/>
  <c r="K11" i="10"/>
  <c r="R9" i="10"/>
  <c r="Q35" i="10"/>
  <c r="O9" i="10"/>
  <c r="N9" i="10" s="1"/>
  <c r="K9" i="10"/>
  <c r="J9" i="10"/>
  <c r="M9" i="10"/>
  <c r="C9" i="10"/>
  <c r="R8" i="10"/>
  <c r="K8" i="10"/>
  <c r="R7" i="10"/>
  <c r="K7" i="10"/>
  <c r="U6" i="10"/>
  <c r="R6" i="10"/>
  <c r="K6" i="10"/>
  <c r="R5" i="10"/>
  <c r="K5" i="10"/>
  <c r="R4" i="10"/>
  <c r="H35" i="10"/>
  <c r="E5" i="3" s="1"/>
  <c r="E26" i="10" l="1"/>
  <c r="E4" i="10"/>
  <c r="F4" i="10" s="1"/>
  <c r="E10" i="10"/>
  <c r="E7" i="10"/>
  <c r="E8" i="10"/>
  <c r="R24" i="10"/>
  <c r="J4" i="10"/>
  <c r="U9" i="10"/>
  <c r="K4" i="10"/>
  <c r="O4" i="10"/>
  <c r="L9" i="10"/>
  <c r="K10" i="10"/>
  <c r="M18" i="10"/>
  <c r="O18" i="10"/>
  <c r="C18" i="10"/>
  <c r="J18" i="10"/>
  <c r="R22" i="10"/>
  <c r="M4" i="10"/>
  <c r="M16" i="10"/>
  <c r="O16" i="10"/>
  <c r="C16" i="10"/>
  <c r="E6" i="10"/>
  <c r="C4" i="10"/>
  <c r="L4" i="10"/>
  <c r="E5" i="10"/>
  <c r="E9" i="10"/>
  <c r="F9" i="10" s="1"/>
  <c r="G9" i="10" s="1"/>
  <c r="I35" i="10"/>
  <c r="K35" i="10" s="1"/>
  <c r="H7" i="3" s="1"/>
  <c r="R10" i="10"/>
  <c r="E11" i="10"/>
  <c r="L18" i="10"/>
  <c r="E22" i="10"/>
  <c r="F22" i="10" s="1"/>
  <c r="G22" i="10" s="1"/>
  <c r="M23" i="10"/>
  <c r="O23" i="10"/>
  <c r="C23" i="10"/>
  <c r="J23" i="10"/>
  <c r="N29" i="10"/>
  <c r="J16" i="10"/>
  <c r="R20" i="10"/>
  <c r="E33" i="10"/>
  <c r="E31" i="10"/>
  <c r="E29" i="10"/>
  <c r="F29" i="10" s="1"/>
  <c r="G29" i="10" s="1"/>
  <c r="E27" i="10"/>
  <c r="E23" i="10"/>
  <c r="F23" i="10" s="1"/>
  <c r="E19" i="10"/>
  <c r="E18" i="10"/>
  <c r="F18" i="10" s="1"/>
  <c r="E17" i="10"/>
  <c r="F17" i="10" s="1"/>
  <c r="E16" i="10"/>
  <c r="F16" i="10" s="1"/>
  <c r="E15" i="10"/>
  <c r="E14" i="10"/>
  <c r="E34" i="10"/>
  <c r="E32" i="10"/>
  <c r="E30" i="10"/>
  <c r="F30" i="10" s="1"/>
  <c r="E28" i="10"/>
  <c r="E25" i="10"/>
  <c r="E21" i="10"/>
  <c r="E12" i="10"/>
  <c r="E13" i="10"/>
  <c r="L16" i="10"/>
  <c r="M17" i="10"/>
  <c r="O17" i="10"/>
  <c r="C17" i="10"/>
  <c r="J17" i="10"/>
  <c r="E20" i="10"/>
  <c r="K20" i="10"/>
  <c r="E24" i="10"/>
  <c r="F24" i="10" s="1"/>
  <c r="G24" i="10" s="1"/>
  <c r="K24" i="10"/>
  <c r="L30" i="10"/>
  <c r="C30" i="10"/>
  <c r="O30" i="10"/>
  <c r="J30" i="10"/>
  <c r="J22" i="10"/>
  <c r="C29" i="10"/>
  <c r="L29" i="10"/>
  <c r="M29" i="10"/>
  <c r="I26" i="9"/>
  <c r="R35" i="10" l="1"/>
  <c r="F5" i="3"/>
  <c r="U16" i="10"/>
  <c r="G30" i="10"/>
  <c r="N30" i="10"/>
  <c r="G16" i="10"/>
  <c r="N16" i="10"/>
  <c r="E35" i="10"/>
  <c r="P4" i="10"/>
  <c r="G4" i="10"/>
  <c r="N4" i="10"/>
  <c r="G23" i="10"/>
  <c r="N23" i="10"/>
  <c r="G18" i="10"/>
  <c r="N18" i="10"/>
  <c r="G17" i="10"/>
  <c r="N17" i="10"/>
  <c r="I25" i="9"/>
  <c r="I24" i="9" l="1"/>
  <c r="I23" i="9" l="1"/>
  <c r="I22" i="9" l="1"/>
  <c r="D21" i="9" l="1"/>
  <c r="I21" i="9"/>
  <c r="I20" i="9" l="1"/>
  <c r="I19" i="9" l="1"/>
  <c r="I18" i="9" l="1"/>
  <c r="I17" i="9" l="1"/>
  <c r="I16" i="9" l="1"/>
  <c r="D15" i="9" l="1"/>
  <c r="I15" i="9"/>
  <c r="D14" i="9" l="1"/>
  <c r="I14" i="9" l="1"/>
  <c r="D10" i="9" l="1"/>
  <c r="I10" i="9"/>
  <c r="D9" i="9" l="1"/>
  <c r="Q9" i="9"/>
  <c r="I9" i="9"/>
  <c r="D8" i="9" l="1"/>
  <c r="D7" i="9" l="1"/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2" i="9"/>
  <c r="H33" i="9"/>
  <c r="H34" i="9"/>
  <c r="H4" i="9"/>
  <c r="D5" i="9"/>
  <c r="D6" i="9"/>
  <c r="D11" i="9"/>
  <c r="D12" i="9"/>
  <c r="D16" i="9"/>
  <c r="D26" i="9"/>
  <c r="C16" i="9" l="1"/>
  <c r="Q35" i="9"/>
  <c r="B35" i="9"/>
  <c r="R34" i="9"/>
  <c r="J34" i="9"/>
  <c r="K34" i="9"/>
  <c r="R33" i="9"/>
  <c r="O33" i="9"/>
  <c r="N33" i="9" s="1"/>
  <c r="L33" i="9"/>
  <c r="K33" i="9"/>
  <c r="J33" i="9"/>
  <c r="C33" i="9"/>
  <c r="R32" i="9"/>
  <c r="K32" i="9"/>
  <c r="R31" i="9"/>
  <c r="K31" i="9"/>
  <c r="R30" i="9"/>
  <c r="K30" i="9"/>
  <c r="R29" i="9"/>
  <c r="K29" i="9"/>
  <c r="R28" i="9"/>
  <c r="K28" i="9"/>
  <c r="R27" i="9"/>
  <c r="K27" i="9"/>
  <c r="O26" i="9"/>
  <c r="N26" i="9" s="1"/>
  <c r="M26" i="9"/>
  <c r="K26" i="9"/>
  <c r="L26" i="9"/>
  <c r="C26" i="9"/>
  <c r="R25" i="9"/>
  <c r="K25" i="9"/>
  <c r="R24" i="9"/>
  <c r="K24" i="9"/>
  <c r="K23" i="9"/>
  <c r="R23" i="9"/>
  <c r="K22" i="9"/>
  <c r="R21" i="9"/>
  <c r="K21" i="9"/>
  <c r="R20" i="9"/>
  <c r="K20" i="9"/>
  <c r="R19" i="9"/>
  <c r="K19" i="9"/>
  <c r="R18" i="9"/>
  <c r="K18" i="9"/>
  <c r="R17" i="9"/>
  <c r="K17" i="9"/>
  <c r="R16" i="9"/>
  <c r="O16" i="9"/>
  <c r="N16" i="9" s="1"/>
  <c r="M16" i="9"/>
  <c r="L16" i="9"/>
  <c r="K16" i="9"/>
  <c r="J16" i="9"/>
  <c r="R15" i="9"/>
  <c r="K15" i="9"/>
  <c r="R14" i="9"/>
  <c r="K14" i="9"/>
  <c r="J14" i="9"/>
  <c r="R13" i="9"/>
  <c r="K13" i="9"/>
  <c r="R12" i="9"/>
  <c r="M12" i="9"/>
  <c r="L12" i="9"/>
  <c r="K12" i="9"/>
  <c r="J12" i="9"/>
  <c r="C12" i="9"/>
  <c r="R11" i="9"/>
  <c r="O11" i="9"/>
  <c r="N11" i="9" s="1"/>
  <c r="L11" i="9"/>
  <c r="K11" i="9"/>
  <c r="J11" i="9"/>
  <c r="M11" i="9"/>
  <c r="C11" i="9"/>
  <c r="R10" i="9"/>
  <c r="K10" i="9"/>
  <c r="R9" i="9"/>
  <c r="M9" i="9"/>
  <c r="K9" i="9"/>
  <c r="C9" i="9"/>
  <c r="R8" i="9"/>
  <c r="M8" i="9"/>
  <c r="L8" i="9"/>
  <c r="K8" i="9"/>
  <c r="J8" i="9"/>
  <c r="C8" i="9"/>
  <c r="O7" i="9"/>
  <c r="N7" i="9" s="1"/>
  <c r="K7" i="9"/>
  <c r="R7" i="9"/>
  <c r="J7" i="9"/>
  <c r="C7" i="9"/>
  <c r="U6" i="9"/>
  <c r="E30" i="9" s="1"/>
  <c r="O6" i="9"/>
  <c r="N6" i="9" s="1"/>
  <c r="K6" i="9"/>
  <c r="R6" i="9"/>
  <c r="J6" i="9"/>
  <c r="C6" i="9"/>
  <c r="K5" i="9"/>
  <c r="R5" i="9"/>
  <c r="I35" i="9"/>
  <c r="F4" i="3" s="1"/>
  <c r="K4" i="9"/>
  <c r="R35" i="9" l="1"/>
  <c r="E15" i="9"/>
  <c r="E14" i="9"/>
  <c r="F14" i="9" s="1"/>
  <c r="E4" i="9"/>
  <c r="E25" i="9"/>
  <c r="E28" i="9"/>
  <c r="E34" i="9"/>
  <c r="F34" i="9" s="1"/>
  <c r="E26" i="9"/>
  <c r="F26" i="9" s="1"/>
  <c r="G26" i="9" s="1"/>
  <c r="E5" i="9"/>
  <c r="E20" i="9"/>
  <c r="R4" i="9"/>
  <c r="L6" i="9"/>
  <c r="L7" i="9"/>
  <c r="J26" i="9"/>
  <c r="R26" i="9"/>
  <c r="E6" i="9"/>
  <c r="F6" i="9" s="1"/>
  <c r="G6" i="9" s="1"/>
  <c r="M6" i="9"/>
  <c r="E7" i="9"/>
  <c r="M7" i="9"/>
  <c r="O8" i="9"/>
  <c r="O9" i="9"/>
  <c r="J9" i="9"/>
  <c r="E10" i="9"/>
  <c r="E11" i="9"/>
  <c r="F11" i="9" s="1"/>
  <c r="G11" i="9" s="1"/>
  <c r="O12" i="9"/>
  <c r="H35" i="9"/>
  <c r="E4" i="3" s="1"/>
  <c r="E33" i="9"/>
  <c r="F33" i="9" s="1"/>
  <c r="G33" i="9" s="1"/>
  <c r="E31" i="9"/>
  <c r="E29" i="9"/>
  <c r="E27" i="9"/>
  <c r="E23" i="9"/>
  <c r="E17" i="9"/>
  <c r="E12" i="9"/>
  <c r="F12" i="9" s="1"/>
  <c r="E24" i="9"/>
  <c r="E21" i="9"/>
  <c r="E18" i="9"/>
  <c r="F7" i="9"/>
  <c r="G7" i="9" s="1"/>
  <c r="E8" i="9"/>
  <c r="F8" i="9" s="1"/>
  <c r="E9" i="9"/>
  <c r="F9" i="9" s="1"/>
  <c r="L9" i="9"/>
  <c r="E13" i="9"/>
  <c r="L14" i="9"/>
  <c r="C14" i="9"/>
  <c r="O14" i="9"/>
  <c r="M14" i="9"/>
  <c r="E16" i="9"/>
  <c r="F16" i="9" s="1"/>
  <c r="G16" i="9" s="1"/>
  <c r="E19" i="9"/>
  <c r="E22" i="9"/>
  <c r="R22" i="9"/>
  <c r="E32" i="9"/>
  <c r="L34" i="9"/>
  <c r="C34" i="9"/>
  <c r="O34" i="9"/>
  <c r="M34" i="9"/>
  <c r="M33" i="9"/>
  <c r="U16" i="9" l="1"/>
  <c r="K35" i="9"/>
  <c r="U9" i="9"/>
  <c r="N8" i="9"/>
  <c r="G8" i="9"/>
  <c r="E35" i="9"/>
  <c r="G14" i="9"/>
  <c r="N14" i="9"/>
  <c r="G34" i="9"/>
  <c r="N34" i="9"/>
  <c r="N12" i="9"/>
  <c r="G12" i="9"/>
  <c r="N9" i="9"/>
  <c r="G9" i="9"/>
  <c r="F25" i="3" l="1"/>
  <c r="G25" i="3" s="1"/>
  <c r="I16" i="3"/>
  <c r="H15" i="3"/>
  <c r="H14" i="3"/>
  <c r="H13" i="3"/>
  <c r="H12" i="3"/>
  <c r="H11" i="3"/>
  <c r="H9" i="3"/>
  <c r="L9" i="3"/>
  <c r="K8" i="3"/>
  <c r="J16" i="3"/>
  <c r="H5" i="3"/>
  <c r="H4" i="3"/>
  <c r="I2" i="3" l="1"/>
  <c r="H8" i="3"/>
  <c r="C2" i="3"/>
  <c r="M8" i="3"/>
  <c r="C16" i="3"/>
  <c r="M9" i="3"/>
  <c r="J2" i="3"/>
  <c r="L8" i="3"/>
  <c r="K9" i="3"/>
  <c r="F2" i="3" l="1"/>
  <c r="F16" i="3"/>
  <c r="E20" i="3" l="1"/>
  <c r="L10" i="3"/>
  <c r="K10" i="3"/>
  <c r="M10" i="3"/>
  <c r="E2" i="3"/>
  <c r="H2" i="3" s="1"/>
  <c r="E16" i="3"/>
  <c r="H16" i="3" s="1"/>
  <c r="G11" i="3" l="1"/>
  <c r="M11" i="3"/>
  <c r="K11" i="3"/>
  <c r="L11" i="3"/>
  <c r="E21" i="3"/>
  <c r="K12" i="3" l="1"/>
  <c r="G12" i="3"/>
  <c r="L12" i="3"/>
  <c r="M12" i="3"/>
  <c r="E22" i="3"/>
  <c r="E25" i="3" s="1"/>
  <c r="M13" i="3" l="1"/>
  <c r="G13" i="3"/>
  <c r="L13" i="3"/>
  <c r="K13" i="3"/>
  <c r="L14" i="3" l="1"/>
  <c r="G14" i="3"/>
  <c r="M14" i="3"/>
  <c r="K14" i="3"/>
  <c r="K15" i="3" l="1"/>
  <c r="L15" i="3"/>
  <c r="G15" i="3"/>
  <c r="M15" i="3"/>
  <c r="O5" i="9" l="1"/>
  <c r="M5" i="9"/>
  <c r="J5" i="9"/>
  <c r="L5" i="9"/>
  <c r="C5" i="9"/>
  <c r="F5" i="9"/>
  <c r="N5" i="9" l="1"/>
  <c r="G5" i="9"/>
  <c r="O10" i="9" l="1"/>
  <c r="F10" i="9"/>
  <c r="L10" i="9"/>
  <c r="M10" i="9"/>
  <c r="J10" i="9"/>
  <c r="C10" i="9"/>
  <c r="N10" i="9" l="1"/>
  <c r="G10" i="9"/>
  <c r="D13" i="9" l="1"/>
  <c r="M13" i="9" l="1"/>
  <c r="C13" i="9"/>
  <c r="O13" i="9"/>
  <c r="J13" i="9"/>
  <c r="L13" i="9"/>
  <c r="F13" i="9"/>
  <c r="N13" i="9" l="1"/>
  <c r="G13" i="9"/>
  <c r="J15" i="9" l="1"/>
  <c r="O15" i="9"/>
  <c r="L15" i="9"/>
  <c r="C15" i="9"/>
  <c r="M15" i="9"/>
  <c r="F15" i="9"/>
  <c r="N15" i="9" l="1"/>
  <c r="G15" i="9"/>
  <c r="D17" i="9" l="1"/>
  <c r="J17" i="9" l="1"/>
  <c r="M17" i="9"/>
  <c r="L17" i="9"/>
  <c r="F17" i="9"/>
  <c r="O17" i="9"/>
  <c r="C17" i="9"/>
  <c r="N17" i="9" l="1"/>
  <c r="G17" i="9"/>
  <c r="D18" i="9" l="1"/>
  <c r="M18" i="9" l="1"/>
  <c r="O18" i="9"/>
  <c r="C18" i="9"/>
  <c r="J18" i="9"/>
  <c r="F18" i="9"/>
  <c r="L18" i="9"/>
  <c r="N18" i="9" l="1"/>
  <c r="G18" i="9"/>
  <c r="D19" i="9" l="1"/>
  <c r="L19" i="9" l="1"/>
  <c r="C19" i="9"/>
  <c r="J19" i="9"/>
  <c r="O19" i="9"/>
  <c r="M19" i="9"/>
  <c r="F19" i="9"/>
  <c r="N19" i="9" l="1"/>
  <c r="G19" i="9"/>
  <c r="D20" i="9" l="1"/>
  <c r="J20" i="9" l="1"/>
  <c r="O20" i="9"/>
  <c r="M20" i="9"/>
  <c r="L20" i="9"/>
  <c r="C20" i="9"/>
  <c r="F20" i="9"/>
  <c r="N20" i="9" l="1"/>
  <c r="G20" i="9"/>
  <c r="C21" i="9" l="1"/>
  <c r="L21" i="9"/>
  <c r="M21" i="9"/>
  <c r="O21" i="9"/>
  <c r="J21" i="9"/>
  <c r="F21" i="9"/>
  <c r="N21" i="9" l="1"/>
  <c r="G21" i="9"/>
  <c r="D22" i="9" l="1"/>
  <c r="L22" i="9" l="1"/>
  <c r="O22" i="9"/>
  <c r="C22" i="9"/>
  <c r="M22" i="9"/>
  <c r="J22" i="9"/>
  <c r="F22" i="9"/>
  <c r="G22" i="9" l="1"/>
  <c r="N22" i="9"/>
  <c r="D23" i="9" l="1"/>
  <c r="C23" i="9" l="1"/>
  <c r="J23" i="9"/>
  <c r="M23" i="9"/>
  <c r="O23" i="9"/>
  <c r="L23" i="9"/>
  <c r="F23" i="9"/>
  <c r="G23" i="9" l="1"/>
  <c r="N23" i="9"/>
  <c r="D24" i="9" l="1"/>
  <c r="L24" i="9" l="1"/>
  <c r="O24" i="9"/>
  <c r="N24" i="9" s="1"/>
  <c r="C24" i="9"/>
  <c r="F24" i="9"/>
  <c r="M24" i="9"/>
  <c r="J24" i="9"/>
  <c r="D4" i="9"/>
  <c r="G24" i="9" l="1"/>
  <c r="O4" i="9"/>
  <c r="M4" i="9"/>
  <c r="C4" i="9"/>
  <c r="J4" i="9"/>
  <c r="L4" i="9"/>
  <c r="F4" i="9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G4" i="9"/>
  <c r="N4" i="9"/>
  <c r="D25" i="9" l="1"/>
  <c r="C25" i="9" l="1"/>
  <c r="L25" i="9"/>
  <c r="O25" i="9"/>
  <c r="M25" i="9"/>
  <c r="F25" i="9"/>
  <c r="J25" i="9"/>
  <c r="G25" i="9" l="1"/>
  <c r="N25" i="9"/>
  <c r="P25" i="9"/>
  <c r="P26" i="9" s="1"/>
  <c r="O27" i="9" l="1"/>
  <c r="C27" i="9"/>
  <c r="L27" i="9"/>
  <c r="J27" i="9"/>
  <c r="M27" i="9"/>
  <c r="F27" i="9"/>
  <c r="G27" i="9" l="1"/>
  <c r="N27" i="9"/>
  <c r="P27" i="9"/>
  <c r="D28" i="9" l="1"/>
  <c r="C28" i="9" l="1"/>
  <c r="M28" i="9"/>
  <c r="J28" i="9"/>
  <c r="O28" i="9"/>
  <c r="L28" i="9"/>
  <c r="F28" i="9"/>
  <c r="N28" i="9" l="1"/>
  <c r="G28" i="9"/>
  <c r="P28" i="9"/>
  <c r="D29" i="9" l="1"/>
  <c r="J29" i="9" l="1"/>
  <c r="O29" i="9"/>
  <c r="C29" i="9"/>
  <c r="L29" i="9"/>
  <c r="M29" i="9"/>
  <c r="F29" i="9"/>
  <c r="G29" i="9" l="1"/>
  <c r="N29" i="9"/>
  <c r="P29" i="9"/>
  <c r="D30" i="9" l="1"/>
  <c r="J30" i="9" l="1"/>
  <c r="C30" i="9"/>
  <c r="O30" i="9"/>
  <c r="F30" i="9"/>
  <c r="L30" i="9"/>
  <c r="M30" i="9"/>
  <c r="N30" i="9" l="1"/>
  <c r="G30" i="9"/>
  <c r="P30" i="9"/>
  <c r="D31" i="9" l="1"/>
  <c r="C31" i="9" l="1"/>
  <c r="O31" i="9"/>
  <c r="L31" i="9"/>
  <c r="J31" i="9"/>
  <c r="M31" i="9"/>
  <c r="F31" i="9"/>
  <c r="G31" i="9" l="1"/>
  <c r="N31" i="9"/>
  <c r="P31" i="9"/>
  <c r="D32" i="9" l="1"/>
  <c r="J32" i="9" l="1"/>
  <c r="M32" i="9"/>
  <c r="D35" i="9"/>
  <c r="D36" i="9" s="1"/>
  <c r="L32" i="9"/>
  <c r="F32" i="9"/>
  <c r="C32" i="9"/>
  <c r="C35" i="9" s="1"/>
  <c r="O32" i="9"/>
  <c r="D37" i="9" l="1"/>
  <c r="U15" i="9"/>
  <c r="J35" i="9"/>
  <c r="U13" i="9"/>
  <c r="L35" i="9"/>
  <c r="U17" i="9" s="1"/>
  <c r="U18" i="9" s="1"/>
  <c r="D4" i="3"/>
  <c r="V7" i="9"/>
  <c r="U7" i="9" s="1"/>
  <c r="U11" i="9"/>
  <c r="N32" i="9"/>
  <c r="N35" i="9" s="1"/>
  <c r="M35" i="9" s="1"/>
  <c r="G32" i="9"/>
  <c r="G35" i="9" s="1"/>
  <c r="O35" i="9"/>
  <c r="P32" i="9"/>
  <c r="P33" i="9" s="1"/>
  <c r="P34" i="9" s="1"/>
  <c r="P35" i="9" s="1"/>
  <c r="U10" i="9" s="1"/>
  <c r="U12" i="9" l="1"/>
  <c r="U8" i="9" s="1"/>
  <c r="L4" i="3"/>
  <c r="M4" i="3"/>
  <c r="K4" i="3"/>
  <c r="G4" i="3"/>
  <c r="U14" i="9"/>
  <c r="U19" i="9"/>
  <c r="D38" i="9"/>
  <c r="J5" i="10" l="1"/>
  <c r="L5" i="10"/>
  <c r="C5" i="10"/>
  <c r="O5" i="10"/>
  <c r="M5" i="10"/>
  <c r="F5" i="10"/>
  <c r="G5" i="10" l="1"/>
  <c r="N5" i="10"/>
  <c r="P5" i="10"/>
  <c r="D6" i="10" l="1"/>
  <c r="L6" i="10" l="1"/>
  <c r="O6" i="10"/>
  <c r="C6" i="10"/>
  <c r="M6" i="10"/>
  <c r="J6" i="10"/>
  <c r="F6" i="10"/>
  <c r="G6" i="10" l="1"/>
  <c r="N6" i="10"/>
  <c r="P6" i="10"/>
  <c r="D7" i="10" l="1"/>
  <c r="O7" i="10" l="1"/>
  <c r="M7" i="10"/>
  <c r="J7" i="10"/>
  <c r="C7" i="10"/>
  <c r="L7" i="10"/>
  <c r="F7" i="10"/>
  <c r="N7" i="10" l="1"/>
  <c r="G7" i="10"/>
  <c r="P7" i="10"/>
  <c r="D8" i="10" l="1"/>
  <c r="M8" i="10" l="1"/>
  <c r="J8" i="10"/>
  <c r="O8" i="10"/>
  <c r="C8" i="10"/>
  <c r="L8" i="10"/>
  <c r="F8" i="10"/>
  <c r="N8" i="10" l="1"/>
  <c r="G8" i="10"/>
  <c r="P8" i="10"/>
  <c r="P9" i="10" s="1"/>
  <c r="D10" i="10" l="1"/>
  <c r="J10" i="10" l="1"/>
  <c r="O10" i="10"/>
  <c r="L10" i="10"/>
  <c r="C10" i="10"/>
  <c r="M10" i="10"/>
  <c r="F10" i="10"/>
  <c r="N10" i="10" l="1"/>
  <c r="G10" i="10"/>
  <c r="P10" i="10"/>
  <c r="D11" i="10" l="1"/>
  <c r="O11" i="10" l="1"/>
  <c r="M11" i="10"/>
  <c r="L11" i="10"/>
  <c r="J11" i="10"/>
  <c r="C11" i="10"/>
  <c r="F11" i="10"/>
  <c r="N11" i="10" l="1"/>
  <c r="P11" i="10"/>
  <c r="G11" i="10"/>
  <c r="C12" i="10" l="1"/>
  <c r="O12" i="10"/>
  <c r="M12" i="10"/>
  <c r="L12" i="10"/>
  <c r="J12" i="10"/>
  <c r="F12" i="10"/>
  <c r="G12" i="10" l="1"/>
  <c r="N12" i="10"/>
  <c r="P12" i="10"/>
  <c r="J13" i="10" l="1"/>
  <c r="M13" i="10"/>
  <c r="L13" i="10"/>
  <c r="C13" i="10"/>
  <c r="O13" i="10"/>
  <c r="F13" i="10"/>
  <c r="G13" i="10" l="1"/>
  <c r="N13" i="10"/>
  <c r="P13" i="10"/>
  <c r="M14" i="10" l="1"/>
  <c r="O14" i="10"/>
  <c r="L14" i="10"/>
  <c r="C14" i="10"/>
  <c r="J14" i="10"/>
  <c r="F14" i="10"/>
  <c r="G14" i="10" l="1"/>
  <c r="N14" i="10"/>
  <c r="P14" i="10"/>
  <c r="D15" i="10" l="1"/>
  <c r="L15" i="10" l="1"/>
  <c r="J15" i="10"/>
  <c r="M15" i="10"/>
  <c r="O15" i="10"/>
  <c r="C15" i="10"/>
  <c r="F15" i="10"/>
  <c r="G15" i="10" l="1"/>
  <c r="N15" i="10"/>
  <c r="P15" i="10"/>
  <c r="P16" i="10" s="1"/>
  <c r="P17" i="10" s="1"/>
  <c r="P18" i="10" s="1"/>
  <c r="D19" i="10" l="1"/>
  <c r="L19" i="10" l="1"/>
  <c r="C19" i="10"/>
  <c r="J19" i="10"/>
  <c r="M19" i="10"/>
  <c r="O19" i="10"/>
  <c r="F19" i="10"/>
  <c r="N19" i="10" l="1"/>
  <c r="G19" i="10"/>
  <c r="P19" i="10"/>
  <c r="D20" i="10" l="1"/>
  <c r="J20" i="10" l="1"/>
  <c r="O20" i="10"/>
  <c r="L20" i="10"/>
  <c r="C20" i="10"/>
  <c r="M20" i="10"/>
  <c r="F20" i="10"/>
  <c r="G20" i="10" l="1"/>
  <c r="N20" i="10"/>
  <c r="P20" i="10"/>
  <c r="D21" i="10" l="1"/>
  <c r="L21" i="10" l="1"/>
  <c r="C21" i="10"/>
  <c r="M21" i="10"/>
  <c r="O21" i="10"/>
  <c r="J21" i="10"/>
  <c r="F21" i="10"/>
  <c r="N21" i="10" l="1"/>
  <c r="G21" i="10"/>
  <c r="P21" i="10"/>
  <c r="P22" i="10" s="1"/>
  <c r="P23" i="10" s="1"/>
  <c r="P24" i="10" s="1"/>
  <c r="D25" i="10" l="1"/>
  <c r="L25" i="10" l="1"/>
  <c r="J25" i="10"/>
  <c r="M25" i="10"/>
  <c r="O25" i="10"/>
  <c r="C25" i="10"/>
  <c r="F25" i="10"/>
  <c r="G25" i="10" l="1"/>
  <c r="N25" i="10"/>
  <c r="P25" i="10"/>
  <c r="D26" i="10" l="1"/>
  <c r="L26" i="10" l="1"/>
  <c r="O26" i="10"/>
  <c r="C26" i="10"/>
  <c r="M26" i="10"/>
  <c r="J26" i="10"/>
  <c r="F26" i="10"/>
  <c r="G26" i="10" l="1"/>
  <c r="N26" i="10"/>
  <c r="P26" i="10"/>
  <c r="D27" i="10" l="1"/>
  <c r="J27" i="10" l="1"/>
  <c r="O27" i="10"/>
  <c r="M27" i="10"/>
  <c r="C27" i="10"/>
  <c r="L27" i="10"/>
  <c r="F27" i="10"/>
  <c r="N27" i="10" l="1"/>
  <c r="G27" i="10"/>
  <c r="P27" i="10"/>
  <c r="D28" i="10" l="1"/>
  <c r="M28" i="10" l="1"/>
  <c r="C28" i="10"/>
  <c r="O28" i="10"/>
  <c r="J28" i="10"/>
  <c r="L28" i="10"/>
  <c r="F28" i="10"/>
  <c r="G28" i="10" l="1"/>
  <c r="N28" i="10"/>
  <c r="P28" i="10"/>
  <c r="P29" i="10" s="1"/>
  <c r="P30" i="10" s="1"/>
  <c r="D31" i="10" l="1"/>
  <c r="O31" i="10" l="1"/>
  <c r="J31" i="10"/>
  <c r="C31" i="10"/>
  <c r="L31" i="10"/>
  <c r="M31" i="10"/>
  <c r="F31" i="10"/>
  <c r="N31" i="10" l="1"/>
  <c r="G31" i="10"/>
  <c r="P31" i="10"/>
  <c r="D32" i="10" l="1"/>
  <c r="M32" i="10" l="1"/>
  <c r="L32" i="10"/>
  <c r="C32" i="10"/>
  <c r="J32" i="10"/>
  <c r="O32" i="10"/>
  <c r="F32" i="10"/>
  <c r="G32" i="10" l="1"/>
  <c r="N32" i="10"/>
  <c r="P32" i="10"/>
  <c r="D33" i="10" l="1"/>
  <c r="J33" i="10" l="1"/>
  <c r="O33" i="10"/>
  <c r="L33" i="10"/>
  <c r="M33" i="10"/>
  <c r="C33" i="10"/>
  <c r="F33" i="10"/>
  <c r="N33" i="10" l="1"/>
  <c r="G33" i="10"/>
  <c r="P33" i="10"/>
  <c r="D34" i="10" l="1"/>
  <c r="M34" i="10" l="1"/>
  <c r="O34" i="10"/>
  <c r="L34" i="10"/>
  <c r="C34" i="10"/>
  <c r="C35" i="10" s="1"/>
  <c r="J34" i="10"/>
  <c r="F34" i="10"/>
  <c r="D35" i="10"/>
  <c r="V7" i="10" l="1"/>
  <c r="U7" i="10" s="1"/>
  <c r="U20" i="10"/>
  <c r="U13" i="10"/>
  <c r="U11" i="10"/>
  <c r="D5" i="3"/>
  <c r="L35" i="10"/>
  <c r="U17" i="10" s="1"/>
  <c r="U18" i="10" s="1"/>
  <c r="U15" i="10"/>
  <c r="J35" i="10"/>
  <c r="G34" i="10"/>
  <c r="G35" i="10" s="1"/>
  <c r="N34" i="10"/>
  <c r="N35" i="10" s="1"/>
  <c r="M35" i="10" s="1"/>
  <c r="O35" i="10"/>
  <c r="P34" i="10"/>
  <c r="P35" i="10" s="1"/>
  <c r="U10" i="10" s="1"/>
  <c r="U14" i="10" l="1"/>
  <c r="U12" i="10"/>
  <c r="U8" i="10" s="1"/>
  <c r="D36" i="10"/>
  <c r="D37" i="10" s="1"/>
  <c r="M5" i="3"/>
  <c r="G5" i="3"/>
  <c r="K5" i="3"/>
  <c r="L5" i="3"/>
  <c r="D38" i="10" l="1"/>
  <c r="U19" i="10"/>
  <c r="D8" i="11" l="1"/>
  <c r="C8" i="11" l="1"/>
  <c r="J8" i="11"/>
  <c r="O8" i="11"/>
  <c r="M8" i="11"/>
  <c r="L8" i="11"/>
  <c r="F8" i="11"/>
  <c r="G8" i="11" l="1"/>
  <c r="N8" i="11"/>
  <c r="P8" i="11"/>
  <c r="O9" i="11" l="1"/>
  <c r="M9" i="11"/>
  <c r="C9" i="11"/>
  <c r="J9" i="11"/>
  <c r="L9" i="11"/>
  <c r="F9" i="11"/>
  <c r="G9" i="11" l="1"/>
  <c r="N9" i="11"/>
  <c r="P9" i="11"/>
  <c r="P10" i="11" s="1"/>
  <c r="D11" i="11" l="1"/>
  <c r="C11" i="11" l="1"/>
  <c r="M11" i="11"/>
  <c r="O11" i="11"/>
  <c r="J11" i="11"/>
  <c r="L11" i="11"/>
  <c r="F11" i="11"/>
  <c r="G11" i="11" l="1"/>
  <c r="N11" i="11"/>
  <c r="P11" i="11"/>
  <c r="D12" i="11" l="1"/>
  <c r="D13" i="11" l="1"/>
  <c r="D14" i="11"/>
  <c r="C13" i="11" l="1"/>
  <c r="M13" i="11"/>
  <c r="O13" i="11"/>
  <c r="J13" i="11"/>
  <c r="L13" i="11"/>
  <c r="F13" i="11"/>
  <c r="M14" i="11"/>
  <c r="C14" i="11"/>
  <c r="J14" i="11"/>
  <c r="O14" i="11"/>
  <c r="L14" i="11"/>
  <c r="F14" i="11"/>
  <c r="C12" i="11"/>
  <c r="M12" i="11"/>
  <c r="O12" i="11"/>
  <c r="L12" i="11"/>
  <c r="J12" i="11"/>
  <c r="F12" i="11"/>
  <c r="G13" i="11" l="1"/>
  <c r="N13" i="11"/>
  <c r="N14" i="11"/>
  <c r="G14" i="11"/>
  <c r="G12" i="11"/>
  <c r="N12" i="11"/>
  <c r="P12" i="11"/>
  <c r="P13" i="11" s="1"/>
  <c r="P14" i="11" s="1"/>
  <c r="D15" i="11" l="1"/>
  <c r="C15" i="11" l="1"/>
  <c r="F15" i="11"/>
  <c r="L15" i="11"/>
  <c r="O15" i="11"/>
  <c r="M15" i="11"/>
  <c r="J15" i="11"/>
  <c r="G15" i="11" l="1"/>
  <c r="N15" i="11"/>
  <c r="P15" i="11"/>
  <c r="J16" i="11" l="1"/>
  <c r="O16" i="11"/>
  <c r="M16" i="11"/>
  <c r="L16" i="11"/>
  <c r="F16" i="11"/>
  <c r="G16" i="11" l="1"/>
  <c r="N16" i="11"/>
  <c r="P16" i="11"/>
  <c r="D17" i="11" l="1"/>
  <c r="O17" i="11" l="1"/>
  <c r="M17" i="11"/>
  <c r="C17" i="11"/>
  <c r="J17" i="11"/>
  <c r="L17" i="11"/>
  <c r="F17" i="11"/>
  <c r="N17" i="11" l="1"/>
  <c r="G17" i="11"/>
  <c r="P17" i="11"/>
  <c r="D18" i="11" l="1"/>
  <c r="L18" i="11" l="1"/>
  <c r="C18" i="11"/>
  <c r="M18" i="11"/>
  <c r="J18" i="11"/>
  <c r="O18" i="11"/>
  <c r="F18" i="11"/>
  <c r="N18" i="11" l="1"/>
  <c r="G18" i="11"/>
  <c r="P18" i="11"/>
  <c r="P19" i="11" s="1"/>
  <c r="P20" i="11" s="1"/>
  <c r="L21" i="11" l="1"/>
  <c r="C21" i="11"/>
  <c r="M21" i="11"/>
  <c r="J21" i="11"/>
  <c r="O21" i="11"/>
  <c r="F21" i="11"/>
  <c r="N21" i="11" l="1"/>
  <c r="G21" i="11"/>
  <c r="P21" i="11"/>
  <c r="D22" i="11" l="1"/>
  <c r="C22" i="11" l="1"/>
  <c r="O22" i="11"/>
  <c r="J22" i="11"/>
  <c r="M22" i="11"/>
  <c r="L22" i="11"/>
  <c r="F22" i="11"/>
  <c r="G22" i="11" l="1"/>
  <c r="N22" i="11"/>
  <c r="P22" i="11"/>
  <c r="P23" i="11" s="1"/>
  <c r="D24" i="11" l="1"/>
  <c r="O24" i="11" l="1"/>
  <c r="J24" i="11"/>
  <c r="C24" i="11"/>
  <c r="L24" i="11"/>
  <c r="M24" i="11"/>
  <c r="F24" i="11"/>
  <c r="G24" i="11" l="1"/>
  <c r="N24" i="11"/>
  <c r="P24" i="11"/>
  <c r="P25" i="11" s="1"/>
  <c r="D26" i="11" l="1"/>
  <c r="L26" i="11" l="1"/>
  <c r="M26" i="11"/>
  <c r="C26" i="11"/>
  <c r="O26" i="11"/>
  <c r="J26" i="11"/>
  <c r="F26" i="11"/>
  <c r="N26" i="11" l="1"/>
  <c r="G26" i="11"/>
  <c r="P26" i="11"/>
  <c r="P27" i="11" s="1"/>
  <c r="D28" i="11" l="1"/>
  <c r="M28" i="11" l="1"/>
  <c r="O28" i="11"/>
  <c r="J28" i="11"/>
  <c r="L28" i="11"/>
  <c r="C28" i="11"/>
  <c r="F28" i="11"/>
  <c r="G28" i="11" l="1"/>
  <c r="N28" i="11"/>
  <c r="P28" i="11"/>
  <c r="D29" i="11" l="1"/>
  <c r="J29" i="11" l="1"/>
  <c r="M29" i="11"/>
  <c r="O29" i="11"/>
  <c r="L29" i="11"/>
  <c r="C29" i="11"/>
  <c r="F29" i="11"/>
  <c r="G29" i="11" l="1"/>
  <c r="N29" i="11"/>
  <c r="P29" i="11"/>
  <c r="D30" i="11" l="1"/>
  <c r="M30" i="11" l="1"/>
  <c r="O30" i="11"/>
  <c r="C30" i="11"/>
  <c r="J30" i="11"/>
  <c r="L30" i="11"/>
  <c r="F30" i="11"/>
  <c r="G30" i="11" l="1"/>
  <c r="N30" i="11"/>
  <c r="P30" i="11"/>
  <c r="P31" i="11" s="1"/>
  <c r="D32" i="11" l="1"/>
  <c r="M32" i="11" l="1"/>
  <c r="O32" i="11"/>
  <c r="J32" i="11"/>
  <c r="C32" i="11"/>
  <c r="C35" i="11" s="1"/>
  <c r="L32" i="11"/>
  <c r="F32" i="11"/>
  <c r="D35" i="11"/>
  <c r="G32" i="11" l="1"/>
  <c r="G35" i="11" s="1"/>
  <c r="N32" i="11"/>
  <c r="N35" i="11" s="1"/>
  <c r="O35" i="11"/>
  <c r="P32" i="11"/>
  <c r="P33" i="11" s="1"/>
  <c r="P34" i="11" s="1"/>
  <c r="P35" i="11" s="1"/>
  <c r="U10" i="11" s="1"/>
  <c r="M35" i="11"/>
  <c r="D6" i="3"/>
  <c r="L35" i="11"/>
  <c r="U17" i="11" s="1"/>
  <c r="U18" i="11" s="1"/>
  <c r="V7" i="11"/>
  <c r="U7" i="11" s="1"/>
  <c r="U15" i="11"/>
  <c r="U20" i="11"/>
  <c r="U11" i="11"/>
  <c r="J35" i="11"/>
  <c r="G6" i="3" s="1"/>
  <c r="U13" i="11"/>
  <c r="D36" i="11" l="1"/>
  <c r="D37" i="11" s="1"/>
  <c r="U14" i="11"/>
  <c r="U12" i="11"/>
  <c r="U8" i="11" s="1"/>
  <c r="D38" i="11"/>
  <c r="U19" i="11"/>
  <c r="K6" i="3"/>
  <c r="M6" i="3"/>
  <c r="L6" i="3"/>
  <c r="D5" i="12" l="1"/>
  <c r="M5" i="12" l="1"/>
  <c r="O5" i="12"/>
  <c r="J5" i="12"/>
  <c r="L5" i="12"/>
  <c r="C5" i="12"/>
  <c r="F5" i="12"/>
  <c r="G5" i="12" l="1"/>
  <c r="N5" i="12"/>
  <c r="P5" i="12"/>
  <c r="D6" i="12" l="1"/>
  <c r="J6" i="12" l="1"/>
  <c r="M6" i="12"/>
  <c r="O6" i="12"/>
  <c r="L6" i="12"/>
  <c r="C6" i="12"/>
  <c r="F6" i="12"/>
  <c r="G6" i="12" l="1"/>
  <c r="N6" i="12"/>
  <c r="P6" i="12"/>
  <c r="D7" i="12" l="1"/>
  <c r="M7" i="12" l="1"/>
  <c r="L7" i="12"/>
  <c r="O7" i="12"/>
  <c r="J7" i="12"/>
  <c r="C7" i="12"/>
  <c r="F7" i="12"/>
  <c r="N7" i="12" l="1"/>
  <c r="G7" i="12"/>
  <c r="P7" i="12"/>
  <c r="D8" i="12" l="1"/>
  <c r="O8" i="12" l="1"/>
  <c r="J8" i="12"/>
  <c r="M8" i="12"/>
  <c r="C8" i="12"/>
  <c r="L8" i="12"/>
  <c r="F8" i="12"/>
  <c r="G8" i="12" l="1"/>
  <c r="N8" i="12"/>
  <c r="P8" i="12"/>
  <c r="P9" i="12" s="1"/>
  <c r="D10" i="12" l="1"/>
  <c r="L10" i="12" l="1"/>
  <c r="O10" i="12"/>
  <c r="M10" i="12"/>
  <c r="C10" i="12"/>
  <c r="J10" i="12"/>
  <c r="F10" i="12"/>
  <c r="G10" i="12" l="1"/>
  <c r="N10" i="12"/>
  <c r="P10" i="12"/>
  <c r="P11" i="12" s="1"/>
  <c r="P12" i="12" s="1"/>
  <c r="D13" i="12" l="1"/>
  <c r="M13" i="12" l="1"/>
  <c r="C13" i="12"/>
  <c r="J13" i="12"/>
  <c r="L13" i="12"/>
  <c r="O13" i="12"/>
  <c r="F13" i="12"/>
  <c r="G13" i="12" l="1"/>
  <c r="N13" i="12"/>
  <c r="P13" i="12"/>
  <c r="D14" i="12" l="1"/>
  <c r="L14" i="12" l="1"/>
  <c r="J14" i="12"/>
  <c r="M14" i="12"/>
  <c r="C14" i="12"/>
  <c r="O14" i="12"/>
  <c r="F14" i="12"/>
  <c r="G14" i="12" l="1"/>
  <c r="N14" i="12"/>
  <c r="P14" i="12"/>
  <c r="D15" i="12" l="1"/>
  <c r="M15" i="12" l="1"/>
  <c r="C15" i="12"/>
  <c r="L15" i="12"/>
  <c r="O15" i="12"/>
  <c r="J15" i="12"/>
  <c r="F15" i="12"/>
  <c r="G15" i="12" l="1"/>
  <c r="N15" i="12"/>
  <c r="P15" i="12"/>
  <c r="P16" i="12" s="1"/>
  <c r="P17" i="12" s="1"/>
  <c r="L18" i="12" l="1"/>
  <c r="O18" i="12"/>
  <c r="J18" i="12"/>
  <c r="M18" i="12"/>
  <c r="C18" i="12"/>
  <c r="C35" i="12" s="1"/>
  <c r="F18" i="12"/>
  <c r="D35" i="12"/>
  <c r="M35" i="12" l="1"/>
  <c r="U13" i="12"/>
  <c r="J35" i="12"/>
  <c r="G7" i="3" s="1"/>
  <c r="D7" i="3"/>
  <c r="V7" i="12"/>
  <c r="U7" i="12" s="1"/>
  <c r="U11" i="12"/>
  <c r="U20" i="12"/>
  <c r="U15" i="12"/>
  <c r="L35" i="12"/>
  <c r="U17" i="12" s="1"/>
  <c r="U18" i="12" s="1"/>
  <c r="G18" i="12"/>
  <c r="G35" i="12" s="1"/>
  <c r="N18" i="12"/>
  <c r="N35" i="12" s="1"/>
  <c r="O35" i="12"/>
  <c r="P18" i="12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U10" i="12" s="1"/>
  <c r="U14" i="12" l="1"/>
  <c r="K7" i="3"/>
  <c r="D16" i="3"/>
  <c r="D2" i="3"/>
  <c r="L7" i="3"/>
  <c r="M7" i="3"/>
  <c r="U12" i="12"/>
  <c r="U8" i="12" s="1"/>
  <c r="D36" i="12"/>
  <c r="D37" i="12" s="1"/>
  <c r="K2" i="3" l="1"/>
  <c r="M2" i="3"/>
  <c r="L2" i="3"/>
  <c r="G2" i="3"/>
  <c r="D38" i="12"/>
  <c r="U19" i="12"/>
  <c r="G16" i="3"/>
  <c r="M16" i="3"/>
  <c r="L16" i="3"/>
  <c r="K16" i="3"/>
</calcChain>
</file>

<file path=xl/sharedStrings.xml><?xml version="1.0" encoding="utf-8"?>
<sst xmlns="http://schemas.openxmlformats.org/spreadsheetml/2006/main" count="490" uniqueCount="82">
  <si>
    <t>Date</t>
  </si>
  <si>
    <t>Gross Sale</t>
  </si>
  <si>
    <t>Per Day 
Target</t>
  </si>
  <si>
    <t>Achievment</t>
  </si>
  <si>
    <t>Units</t>
  </si>
  <si>
    <t>Invoices</t>
  </si>
  <si>
    <t>ATV</t>
  </si>
  <si>
    <t>UPT</t>
  </si>
  <si>
    <t>ASP</t>
  </si>
  <si>
    <t>Growth</t>
  </si>
  <si>
    <t>Footfall</t>
  </si>
  <si>
    <t>Per Day 
Conversion</t>
  </si>
  <si>
    <t>SUMMARY</t>
  </si>
  <si>
    <t>From</t>
  </si>
  <si>
    <t>To</t>
  </si>
  <si>
    <t>No. of Days</t>
  </si>
  <si>
    <t>Total Target</t>
  </si>
  <si>
    <t>Per Day Target</t>
  </si>
  <si>
    <t>Target Achieved</t>
  </si>
  <si>
    <t>Projection</t>
  </si>
  <si>
    <t>Total Unit Sold</t>
  </si>
  <si>
    <t>Per Day Unit Sold</t>
  </si>
  <si>
    <t>Total Net Sale</t>
  </si>
  <si>
    <t>Per Day Avg.</t>
  </si>
  <si>
    <t>Required</t>
  </si>
  <si>
    <t>Per Day Required</t>
  </si>
  <si>
    <t>Total Unit target</t>
  </si>
  <si>
    <t>Total Unit Req</t>
  </si>
  <si>
    <t>Subtotal</t>
  </si>
  <si>
    <t>Months</t>
  </si>
  <si>
    <t>Sold Units</t>
  </si>
  <si>
    <t>Working Days</t>
  </si>
  <si>
    <t>Target</t>
  </si>
  <si>
    <t>Achievement</t>
  </si>
  <si>
    <t>Per Day AVG.</t>
  </si>
  <si>
    <t>Quarters</t>
  </si>
  <si>
    <t>January</t>
  </si>
  <si>
    <t>1st</t>
  </si>
  <si>
    <t>February</t>
  </si>
  <si>
    <t>March</t>
  </si>
  <si>
    <t>April</t>
  </si>
  <si>
    <t>May</t>
  </si>
  <si>
    <t>2nd</t>
  </si>
  <si>
    <t>June</t>
  </si>
  <si>
    <t>July</t>
  </si>
  <si>
    <t>August</t>
  </si>
  <si>
    <t>September</t>
  </si>
  <si>
    <t>October</t>
  </si>
  <si>
    <t>November</t>
  </si>
  <si>
    <t>December</t>
  </si>
  <si>
    <t>3rd</t>
  </si>
  <si>
    <t>4th</t>
  </si>
  <si>
    <t>Total</t>
  </si>
  <si>
    <t>Sales</t>
  </si>
  <si>
    <t>Month</t>
  </si>
  <si>
    <t xml:space="preserve"> </t>
  </si>
  <si>
    <t>July
2019 Net Sale</t>
  </si>
  <si>
    <t>Target % Forecast</t>
  </si>
  <si>
    <t>Net Sale 2018-19</t>
  </si>
  <si>
    <t>Sep
2018 Net Sale</t>
  </si>
  <si>
    <t>Aug
2018 Net Sale</t>
  </si>
  <si>
    <t>July
2018 Net Sale</t>
  </si>
  <si>
    <t>Oct
2018 Net Sale</t>
  </si>
  <si>
    <t>Nov
2018 Net Sale</t>
  </si>
  <si>
    <t>dec
2018 Net Sale</t>
  </si>
  <si>
    <t>Jan
2019 Net Sale</t>
  </si>
  <si>
    <t>feb
2019 Net Sale</t>
  </si>
  <si>
    <t>Mar
2019 Net Sale</t>
  </si>
  <si>
    <t>Apr
2019 Net Sale</t>
  </si>
  <si>
    <t>May
2019 Net Sale</t>
  </si>
  <si>
    <t>June
2019 Net Sale</t>
  </si>
  <si>
    <t>Aug
2019 Net Sale</t>
  </si>
  <si>
    <t>Sep
2019 Net Sale</t>
  </si>
  <si>
    <t>Oct
2019 Net Sale</t>
  </si>
  <si>
    <t>Nov
2019 Net Sale</t>
  </si>
  <si>
    <t>Dec
2019 Net Sale</t>
  </si>
  <si>
    <t>Jan
2020 Net Sale</t>
  </si>
  <si>
    <t>Feb
2020 Net Sale</t>
  </si>
  <si>
    <t>Mar
2020 Net Sale</t>
  </si>
  <si>
    <t>Apr
2020 Net Sale</t>
  </si>
  <si>
    <t>May
2020 Net Sale</t>
  </si>
  <si>
    <t>June
2020 Net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</si>
</sst>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[$-409]dd\-mmm\-yy;@"/>
    <numFmt numFmtId="166" formatCode="[$-F800]dddd\,\ mmmm\ dd\,\ yyyy"/>
    <numFmt numFmtId="167" formatCode="_(* #,##0_);_(* \(#,##0\);_(* &quot;-&quot;??_);_(@_)"/>
    <numFmt numFmtId="168" formatCode="_(* #,##0.0_);_(* \(#,##0.0\);_(* &quot;-&quot;??_);_(@_)"/>
    <numFmt numFmtId="169" formatCode="[$-409]m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i/>
      <sz val="10"/>
      <color theme="1"/>
      <name val="Arial Narrow"/>
      <family val="2"/>
    </font>
    <font>
      <b/>
      <i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0" fillId="0" borderId="0" xfId="0" applyProtection="1"/>
    <xf numFmtId="0" fontId="3" fillId="2" borderId="7" xfId="0" applyFont="1" applyFill="1" applyBorder="1" applyAlignment="1" applyProtection="1"/>
    <xf numFmtId="164" fontId="3" fillId="2" borderId="8" xfId="0" applyNumberFormat="1" applyFont="1" applyFill="1" applyBorder="1" applyAlignment="1" applyProtection="1"/>
    <xf numFmtId="165" fontId="3" fillId="2" borderId="7" xfId="0" applyNumberFormat="1" applyFont="1" applyFill="1" applyBorder="1" applyAlignment="1" applyProtection="1">
      <alignment vertical="center" wrapText="1"/>
    </xf>
    <xf numFmtId="0" fontId="3" fillId="0" borderId="6" xfId="0" applyFont="1" applyBorder="1" applyProtection="1"/>
    <xf numFmtId="9" fontId="0" fillId="0" borderId="14" xfId="2" applyFont="1" applyBorder="1" applyProtection="1"/>
    <xf numFmtId="9" fontId="0" fillId="0" borderId="14" xfId="2" applyFont="1" applyBorder="1" applyAlignment="1" applyProtection="1">
      <alignment horizontal="center"/>
    </xf>
    <xf numFmtId="0" fontId="0" fillId="0" borderId="14" xfId="0" applyBorder="1" applyProtection="1"/>
    <xf numFmtId="9" fontId="3" fillId="0" borderId="7" xfId="2" applyNumberFormat="1" applyFont="1" applyBorder="1" applyProtection="1"/>
    <xf numFmtId="167" fontId="3" fillId="0" borderId="8" xfId="0" applyNumberFormat="1" applyFont="1" applyBorder="1" applyProtection="1"/>
    <xf numFmtId="0" fontId="3" fillId="0" borderId="6" xfId="0" applyFont="1" applyFill="1" applyBorder="1" applyProtection="1"/>
    <xf numFmtId="0" fontId="3" fillId="0" borderId="7" xfId="0" applyFont="1" applyFill="1" applyBorder="1" applyProtection="1"/>
    <xf numFmtId="9" fontId="0" fillId="0" borderId="0" xfId="2" applyFont="1" applyProtection="1"/>
    <xf numFmtId="43" fontId="2" fillId="0" borderId="21" xfId="0" applyNumberFormat="1" applyFont="1" applyBorder="1" applyProtection="1"/>
    <xf numFmtId="167" fontId="2" fillId="0" borderId="13" xfId="1" applyNumberFormat="1" applyFont="1" applyBorder="1" applyProtection="1"/>
    <xf numFmtId="9" fontId="2" fillId="0" borderId="20" xfId="2" applyFont="1" applyBorder="1" applyProtection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7" fontId="9" fillId="0" borderId="2" xfId="1" applyNumberFormat="1" applyFont="1" applyBorder="1"/>
    <xf numFmtId="168" fontId="9" fillId="0" borderId="2" xfId="1" applyNumberFormat="1" applyFont="1" applyBorder="1"/>
    <xf numFmtId="9" fontId="8" fillId="0" borderId="2" xfId="2" applyFont="1" applyBorder="1"/>
    <xf numFmtId="9" fontId="8" fillId="0" borderId="2" xfId="2" applyFont="1" applyBorder="1" applyAlignment="1">
      <alignment horizontal="right"/>
    </xf>
    <xf numFmtId="167" fontId="9" fillId="0" borderId="4" xfId="1" applyNumberFormat="1" applyFont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0" borderId="22" xfId="0" applyFont="1" applyBorder="1"/>
    <xf numFmtId="167" fontId="8" fillId="0" borderId="14" xfId="1" applyNumberFormat="1" applyFont="1" applyBorder="1"/>
    <xf numFmtId="167" fontId="8" fillId="0" borderId="14" xfId="1" applyNumberFormat="1" applyFont="1" applyBorder="1" applyAlignment="1">
      <alignment horizontal="center" vertical="center"/>
    </xf>
    <xf numFmtId="9" fontId="8" fillId="0" borderId="14" xfId="2" applyFont="1" applyBorder="1"/>
    <xf numFmtId="167" fontId="10" fillId="0" borderId="14" xfId="1" applyNumberFormat="1" applyFont="1" applyBorder="1"/>
    <xf numFmtId="9" fontId="8" fillId="0" borderId="14" xfId="2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9" fontId="8" fillId="6" borderId="14" xfId="2" applyFont="1" applyFill="1" applyBorder="1"/>
    <xf numFmtId="9" fontId="8" fillId="7" borderId="14" xfId="2" applyFont="1" applyFill="1" applyBorder="1"/>
    <xf numFmtId="9" fontId="8" fillId="5" borderId="14" xfId="2" applyFont="1" applyFill="1" applyBorder="1"/>
    <xf numFmtId="0" fontId="8" fillId="4" borderId="18" xfId="0" applyFont="1" applyFill="1" applyBorder="1"/>
    <xf numFmtId="167" fontId="8" fillId="4" borderId="19" xfId="1" applyNumberFormat="1" applyFont="1" applyFill="1" applyBorder="1"/>
    <xf numFmtId="9" fontId="8" fillId="4" borderId="19" xfId="2" applyFont="1" applyFill="1" applyBorder="1"/>
    <xf numFmtId="167" fontId="10" fillId="4" borderId="19" xfId="1" applyNumberFormat="1" applyFont="1" applyFill="1" applyBorder="1"/>
    <xf numFmtId="9" fontId="8" fillId="4" borderId="19" xfId="2" applyNumberFormat="1" applyFont="1" applyFill="1" applyBorder="1" applyAlignment="1">
      <alignment horizontal="right" vertical="center"/>
    </xf>
    <xf numFmtId="0" fontId="1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9" fontId="0" fillId="0" borderId="14" xfId="0" applyNumberFormat="1" applyBorder="1"/>
    <xf numFmtId="3" fontId="0" fillId="0" borderId="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7" fontId="0" fillId="0" borderId="14" xfId="1" applyNumberFormat="1" applyFont="1" applyBorder="1" applyProtection="1"/>
    <xf numFmtId="167" fontId="0" fillId="0" borderId="14" xfId="1" applyNumberFormat="1" applyFont="1" applyBorder="1" applyProtection="1">
      <protection locked="0"/>
    </xf>
    <xf numFmtId="168" fontId="0" fillId="0" borderId="14" xfId="1" applyNumberFormat="1" applyFont="1" applyBorder="1" applyProtection="1"/>
    <xf numFmtId="9" fontId="2" fillId="0" borderId="14" xfId="2" applyNumberFormat="1" applyFont="1" applyBorder="1" applyProtection="1"/>
    <xf numFmtId="0" fontId="0" fillId="0" borderId="14" xfId="0" applyBorder="1" applyAlignment="1" applyProtection="1">
      <alignment horizontal="center"/>
    </xf>
    <xf numFmtId="167" fontId="0" fillId="0" borderId="14" xfId="0" applyNumberFormat="1" applyBorder="1" applyAlignment="1" applyProtection="1">
      <alignment horizontal="center"/>
    </xf>
    <xf numFmtId="167" fontId="6" fillId="0" borderId="14" xfId="3" applyNumberFormat="1" applyFont="1" applyFill="1" applyBorder="1" applyAlignment="1" applyProtection="1">
      <alignment horizontal="center"/>
    </xf>
    <xf numFmtId="167" fontId="2" fillId="2" borderId="26" xfId="1" applyNumberFormat="1" applyFont="1" applyFill="1" applyBorder="1" applyAlignment="1" applyProtection="1">
      <alignment horizontal="center" vertical="center"/>
    </xf>
    <xf numFmtId="167" fontId="3" fillId="2" borderId="11" xfId="1" applyNumberFormat="1" applyFont="1" applyFill="1" applyBorder="1" applyAlignment="1" applyProtection="1">
      <alignment horizontal="center" vertical="center"/>
    </xf>
    <xf numFmtId="9" fontId="3" fillId="2" borderId="11" xfId="2" applyFont="1" applyFill="1" applyBorder="1" applyAlignment="1" applyProtection="1">
      <alignment horizontal="center" vertical="center"/>
    </xf>
    <xf numFmtId="168" fontId="3" fillId="2" borderId="11" xfId="1" applyNumberFormat="1" applyFont="1" applyFill="1" applyBorder="1" applyAlignment="1" applyProtection="1">
      <alignment horizontal="center" vertical="center"/>
    </xf>
    <xf numFmtId="1" fontId="3" fillId="2" borderId="27" xfId="1" applyNumberFormat="1" applyFont="1" applyFill="1" applyBorder="1" applyAlignment="1" applyProtection="1">
      <alignment horizontal="center" vertical="center"/>
    </xf>
    <xf numFmtId="9" fontId="3" fillId="2" borderId="28" xfId="2" applyNumberFormat="1" applyFont="1" applyFill="1" applyBorder="1" applyAlignment="1" applyProtection="1">
      <alignment horizontal="center" vertical="center"/>
    </xf>
    <xf numFmtId="167" fontId="3" fillId="3" borderId="29" xfId="2" applyNumberFormat="1" applyFont="1" applyFill="1" applyBorder="1" applyAlignment="1" applyProtection="1">
      <alignment horizontal="center" vertical="center"/>
    </xf>
    <xf numFmtId="0" fontId="2" fillId="3" borderId="11" xfId="0" applyFont="1" applyFill="1" applyBorder="1" applyProtection="1"/>
    <xf numFmtId="0" fontId="2" fillId="3" borderId="27" xfId="0" applyFont="1" applyFill="1" applyBorder="1" applyProtection="1"/>
    <xf numFmtId="0" fontId="2" fillId="2" borderId="30" xfId="0" applyFont="1" applyFill="1" applyBorder="1" applyAlignment="1" applyProtection="1">
      <alignment horizontal="center" vertical="center"/>
    </xf>
    <xf numFmtId="167" fontId="2" fillId="2" borderId="28" xfId="0" applyNumberFormat="1" applyFont="1" applyFill="1" applyBorder="1" applyAlignment="1" applyProtection="1">
      <alignment horizontal="center" vertical="center"/>
    </xf>
    <xf numFmtId="167" fontId="6" fillId="0" borderId="14" xfId="3" applyNumberFormat="1" applyFont="1" applyFill="1" applyBorder="1" applyAlignment="1">
      <alignment horizontal="center"/>
    </xf>
    <xf numFmtId="43" fontId="2" fillId="0" borderId="13" xfId="1" applyNumberFormat="1" applyFont="1" applyBorder="1" applyProtection="1"/>
    <xf numFmtId="9" fontId="0" fillId="0" borderId="0" xfId="0" applyNumberFormat="1" applyProtection="1"/>
    <xf numFmtId="0" fontId="3" fillId="2" borderId="30" xfId="0" applyFont="1" applyFill="1" applyBorder="1" applyAlignment="1" applyProtection="1">
      <alignment horizontal="center" vertical="center"/>
    </xf>
    <xf numFmtId="167" fontId="3" fillId="2" borderId="28" xfId="0" applyNumberFormat="1" applyFont="1" applyFill="1" applyBorder="1" applyAlignment="1" applyProtection="1">
      <alignment horizontal="center" vertical="center"/>
    </xf>
    <xf numFmtId="167" fontId="0" fillId="0" borderId="0" xfId="0" applyNumberFormat="1" applyProtection="1"/>
    <xf numFmtId="0" fontId="2" fillId="2" borderId="2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167" fontId="3" fillId="0" borderId="6" xfId="0" applyNumberFormat="1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/>
      <protection locked="0"/>
    </xf>
    <xf numFmtId="167" fontId="3" fillId="0" borderId="6" xfId="1" applyNumberFormat="1" applyFont="1" applyBorder="1" applyAlignment="1" applyProtection="1">
      <alignment horizontal="center"/>
      <protection locked="0"/>
    </xf>
    <xf numFmtId="167" fontId="3" fillId="0" borderId="6" xfId="1" applyNumberFormat="1" applyFont="1" applyBorder="1" applyAlignment="1" applyProtection="1">
      <alignment horizontal="center"/>
    </xf>
    <xf numFmtId="167" fontId="3" fillId="0" borderId="6" xfId="1" applyNumberFormat="1" applyFont="1" applyBorder="1" applyAlignment="1" applyProtection="1">
      <alignment horizontal="right"/>
    </xf>
    <xf numFmtId="9" fontId="3" fillId="0" borderId="16" xfId="2" applyFont="1" applyBorder="1" applyAlignment="1" applyProtection="1">
      <alignment horizontal="right"/>
    </xf>
    <xf numFmtId="9" fontId="3" fillId="0" borderId="17" xfId="2" applyFont="1" applyBorder="1" applyAlignment="1" applyProtection="1">
      <alignment horizontal="right"/>
    </xf>
    <xf numFmtId="168" fontId="3" fillId="0" borderId="6" xfId="1" applyNumberFormat="1" applyFont="1" applyBorder="1" applyAlignment="1" applyProtection="1">
      <alignment horizontal="center"/>
    </xf>
    <xf numFmtId="167" fontId="3" fillId="0" borderId="5" xfId="1" applyNumberFormat="1" applyFont="1" applyBorder="1" applyAlignment="1" applyProtection="1">
      <alignment horizontal="center"/>
    </xf>
    <xf numFmtId="167" fontId="3" fillId="0" borderId="16" xfId="1" applyNumberFormat="1" applyFont="1" applyBorder="1" applyAlignment="1" applyProtection="1">
      <alignment horizontal="center"/>
    </xf>
    <xf numFmtId="167" fontId="3" fillId="0" borderId="17" xfId="1" applyNumberFormat="1" applyFont="1" applyBorder="1" applyAlignment="1" applyProtection="1">
      <alignment horizontal="center"/>
    </xf>
    <xf numFmtId="167" fontId="3" fillId="0" borderId="7" xfId="1" applyNumberFormat="1" applyFont="1" applyBorder="1" applyAlignment="1" applyProtection="1">
      <alignment horizontal="right"/>
    </xf>
    <xf numFmtId="167" fontId="3" fillId="0" borderId="8" xfId="1" applyNumberFormat="1" applyFont="1" applyBorder="1" applyAlignment="1" applyProtection="1">
      <alignment horizontal="right"/>
    </xf>
    <xf numFmtId="167" fontId="3" fillId="0" borderId="7" xfId="1" applyNumberFormat="1" applyFont="1" applyBorder="1" applyAlignment="1" applyProtection="1">
      <alignment horizontal="center"/>
    </xf>
    <xf numFmtId="167" fontId="3" fillId="0" borderId="8" xfId="1" applyNumberFormat="1" applyFont="1" applyBorder="1" applyAlignment="1" applyProtection="1">
      <alignment horizontal="center"/>
    </xf>
    <xf numFmtId="9" fontId="3" fillId="0" borderId="7" xfId="2" applyFont="1" applyBorder="1" applyAlignment="1" applyProtection="1">
      <alignment horizontal="right"/>
    </xf>
    <xf numFmtId="9" fontId="3" fillId="0" borderId="8" xfId="2" applyFont="1" applyBorder="1" applyAlignment="1" applyProtection="1">
      <alignment horizontal="right"/>
    </xf>
    <xf numFmtId="167" fontId="2" fillId="0" borderId="6" xfId="1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right"/>
      <protection locked="0"/>
    </xf>
    <xf numFmtId="0" fontId="3" fillId="0" borderId="8" xfId="0" applyFont="1" applyBorder="1" applyAlignment="1" applyProtection="1">
      <alignment horizontal="right"/>
      <protection locked="0"/>
    </xf>
  </cellXfs>
  <cellStyles count="4">
    <cellStyle name="Comma" xfId="1" builtinId="3"/>
    <cellStyle name="Comma 3 2" xfId="3"/>
    <cellStyle name="Normal" xfId="0" builtinId="0"/>
    <cellStyle name="Percent" xfId="2" builtinId="5"/>
  </cellStyles>
  <dxfs count="64"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utfitters\Desktop\DSR%20S150%20July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utfitters\Desktop\DSR%20S150%20August-19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utfitters\Desktop\DSR%20S150%20SEP-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utfitters\Desktop\DSR%20S150%20SEP-19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utfitters\Desktop\DSR%20S150%20OCT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DSR"/>
      <sheetName val="OPL"/>
      <sheetName val="Exp Printing"/>
      <sheetName val="Discount Sheet"/>
      <sheetName val="PHOENIX COLLECTION DETAIL (2)"/>
      <sheetName val="Tcs Log Book"/>
      <sheetName val="Generator LOG Book"/>
      <sheetName val="Alteration Log"/>
      <sheetName val="Card Sales Data"/>
      <sheetName val="Deposit Detail"/>
      <sheetName val="Stock In Hand"/>
    </sheetNames>
    <sheetDataSet>
      <sheetData sheetId="0" refreshError="1"/>
      <sheetData sheetId="1">
        <row r="11">
          <cell r="F11">
            <v>247135</v>
          </cell>
          <cell r="G11">
            <v>470</v>
          </cell>
        </row>
        <row r="12">
          <cell r="F12">
            <v>318075</v>
          </cell>
          <cell r="G12">
            <v>656</v>
          </cell>
        </row>
        <row r="13">
          <cell r="F13">
            <v>292580</v>
          </cell>
          <cell r="G13">
            <v>584</v>
          </cell>
        </row>
        <row r="14">
          <cell r="F14">
            <v>352870</v>
          </cell>
          <cell r="G14">
            <v>642</v>
          </cell>
        </row>
        <row r="15">
          <cell r="F15">
            <v>406965</v>
          </cell>
          <cell r="G15">
            <v>826</v>
          </cell>
        </row>
        <row r="16">
          <cell r="F16">
            <v>643900</v>
          </cell>
          <cell r="G16">
            <v>1250</v>
          </cell>
        </row>
        <row r="17">
          <cell r="F17">
            <v>602985</v>
          </cell>
          <cell r="G17">
            <v>1134</v>
          </cell>
        </row>
        <row r="18">
          <cell r="F18">
            <v>318565</v>
          </cell>
          <cell r="G18">
            <v>515</v>
          </cell>
        </row>
        <row r="19">
          <cell r="F19">
            <v>350420</v>
          </cell>
          <cell r="G19">
            <v>683</v>
          </cell>
        </row>
        <row r="20">
          <cell r="F20">
            <v>295960</v>
          </cell>
          <cell r="G20">
            <v>532</v>
          </cell>
        </row>
        <row r="21">
          <cell r="F21">
            <v>355520</v>
          </cell>
          <cell r="G21">
            <v>835</v>
          </cell>
        </row>
        <row r="22">
          <cell r="F22">
            <v>383140</v>
          </cell>
          <cell r="G22">
            <v>738</v>
          </cell>
        </row>
        <row r="23">
          <cell r="F23">
            <v>605155</v>
          </cell>
          <cell r="G23">
            <v>1314</v>
          </cell>
        </row>
        <row r="24">
          <cell r="F24">
            <v>582935</v>
          </cell>
          <cell r="G24">
            <v>1252</v>
          </cell>
        </row>
        <row r="25">
          <cell r="F25">
            <v>371515</v>
          </cell>
          <cell r="G25">
            <v>713</v>
          </cell>
        </row>
        <row r="26">
          <cell r="F26">
            <v>341170</v>
          </cell>
          <cell r="G26">
            <v>599</v>
          </cell>
        </row>
        <row r="27">
          <cell r="F27">
            <v>360200</v>
          </cell>
          <cell r="G27">
            <v>685</v>
          </cell>
        </row>
        <row r="28">
          <cell r="F28">
            <v>299485</v>
          </cell>
          <cell r="G28">
            <v>701</v>
          </cell>
        </row>
        <row r="29">
          <cell r="F29">
            <v>410240</v>
          </cell>
          <cell r="G29">
            <v>1019</v>
          </cell>
        </row>
        <row r="30">
          <cell r="F30">
            <v>658725</v>
          </cell>
          <cell r="G30">
            <v>1436</v>
          </cell>
        </row>
        <row r="31">
          <cell r="F31">
            <v>530720</v>
          </cell>
          <cell r="G31">
            <v>1102</v>
          </cell>
        </row>
        <row r="32">
          <cell r="F32">
            <v>244330</v>
          </cell>
          <cell r="G32">
            <v>532</v>
          </cell>
        </row>
        <row r="33">
          <cell r="F33">
            <v>319085</v>
          </cell>
          <cell r="G33">
            <v>724</v>
          </cell>
        </row>
        <row r="34">
          <cell r="F34">
            <v>272685</v>
          </cell>
          <cell r="G34">
            <v>544</v>
          </cell>
        </row>
        <row r="35">
          <cell r="F35">
            <v>249455</v>
          </cell>
          <cell r="G35">
            <v>466</v>
          </cell>
        </row>
        <row r="36">
          <cell r="F36">
            <v>302040</v>
          </cell>
          <cell r="G36">
            <v>512</v>
          </cell>
        </row>
        <row r="37">
          <cell r="F37">
            <v>513240</v>
          </cell>
          <cell r="G37">
            <v>885</v>
          </cell>
        </row>
        <row r="38">
          <cell r="F38">
            <v>463985</v>
          </cell>
          <cell r="G38">
            <v>693</v>
          </cell>
        </row>
        <row r="39">
          <cell r="F39">
            <v>70630</v>
          </cell>
          <cell r="G39">
            <v>100</v>
          </cell>
        </row>
        <row r="40">
          <cell r="F40">
            <v>215620</v>
          </cell>
          <cell r="G40">
            <v>389</v>
          </cell>
        </row>
        <row r="41">
          <cell r="F41">
            <v>284875</v>
          </cell>
          <cell r="G41">
            <v>497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DSR"/>
      <sheetName val="OPL"/>
      <sheetName val="Exp Printing"/>
      <sheetName val="Discount Sheet"/>
      <sheetName val="ASKARI COLLECTION DETAIL (2)"/>
      <sheetName val="Tcs Log Book"/>
      <sheetName val="Generator LOG Book"/>
      <sheetName val="Alteration Log"/>
      <sheetName val="Card Sales Data"/>
      <sheetName val="Deposit Detail"/>
      <sheetName val="Stock In Hand"/>
    </sheetNames>
    <sheetDataSet>
      <sheetData sheetId="0" refreshError="1"/>
      <sheetData sheetId="1">
        <row r="11">
          <cell r="F11">
            <v>351015</v>
          </cell>
          <cell r="G11">
            <v>757</v>
          </cell>
        </row>
        <row r="12">
          <cell r="F12">
            <v>474180</v>
          </cell>
          <cell r="G12">
            <v>904</v>
          </cell>
        </row>
        <row r="13">
          <cell r="F13">
            <v>725750</v>
          </cell>
          <cell r="G13">
            <v>1199</v>
          </cell>
        </row>
        <row r="14">
          <cell r="F14">
            <v>1131930</v>
          </cell>
          <cell r="G14">
            <v>1663</v>
          </cell>
        </row>
        <row r="15">
          <cell r="F15">
            <v>468205</v>
          </cell>
          <cell r="G15">
            <v>674</v>
          </cell>
        </row>
        <row r="16">
          <cell r="F16">
            <v>647830</v>
          </cell>
          <cell r="G16">
            <v>999</v>
          </cell>
        </row>
        <row r="17">
          <cell r="F17">
            <v>683450</v>
          </cell>
          <cell r="G17">
            <v>1136</v>
          </cell>
        </row>
        <row r="18">
          <cell r="F18">
            <v>752555</v>
          </cell>
          <cell r="G18">
            <v>1130</v>
          </cell>
        </row>
        <row r="19">
          <cell r="F19">
            <v>818605</v>
          </cell>
          <cell r="G19">
            <v>1163</v>
          </cell>
        </row>
        <row r="20">
          <cell r="F20">
            <v>856165</v>
          </cell>
          <cell r="G20">
            <v>1213</v>
          </cell>
        </row>
        <row r="21">
          <cell r="F21">
            <v>333795</v>
          </cell>
          <cell r="G21">
            <v>438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216720</v>
          </cell>
          <cell r="G24">
            <v>295</v>
          </cell>
        </row>
        <row r="25">
          <cell r="F25">
            <v>324990</v>
          </cell>
          <cell r="G25">
            <v>472</v>
          </cell>
        </row>
        <row r="26">
          <cell r="F26">
            <v>390745</v>
          </cell>
          <cell r="G26">
            <v>519</v>
          </cell>
        </row>
        <row r="27">
          <cell r="F27">
            <v>432080</v>
          </cell>
          <cell r="G27">
            <v>640</v>
          </cell>
        </row>
        <row r="28">
          <cell r="F28">
            <v>447795</v>
          </cell>
          <cell r="G28">
            <v>600</v>
          </cell>
        </row>
        <row r="29">
          <cell r="F29">
            <v>221025</v>
          </cell>
          <cell r="G29">
            <v>300</v>
          </cell>
        </row>
        <row r="30">
          <cell r="F30">
            <v>253665</v>
          </cell>
          <cell r="G30">
            <v>332</v>
          </cell>
        </row>
        <row r="31">
          <cell r="F31">
            <v>261945</v>
          </cell>
          <cell r="G31">
            <v>344</v>
          </cell>
        </row>
        <row r="32">
          <cell r="F32">
            <v>242810</v>
          </cell>
          <cell r="G32">
            <v>313</v>
          </cell>
        </row>
        <row r="33">
          <cell r="F33">
            <v>267420</v>
          </cell>
          <cell r="G33">
            <v>396</v>
          </cell>
        </row>
        <row r="34">
          <cell r="F34">
            <v>622875</v>
          </cell>
          <cell r="G34">
            <v>846</v>
          </cell>
        </row>
        <row r="35">
          <cell r="F35">
            <v>494410</v>
          </cell>
          <cell r="G35">
            <v>740</v>
          </cell>
        </row>
        <row r="36">
          <cell r="F36">
            <v>271325</v>
          </cell>
          <cell r="G36">
            <v>366</v>
          </cell>
        </row>
        <row r="37">
          <cell r="F37">
            <v>290220</v>
          </cell>
          <cell r="G37">
            <v>386</v>
          </cell>
        </row>
        <row r="38">
          <cell r="F38">
            <v>260565</v>
          </cell>
          <cell r="G38">
            <v>369</v>
          </cell>
        </row>
        <row r="39">
          <cell r="F39">
            <v>200490</v>
          </cell>
          <cell r="G39">
            <v>268</v>
          </cell>
        </row>
        <row r="40">
          <cell r="F40">
            <v>327990</v>
          </cell>
          <cell r="G40">
            <v>454</v>
          </cell>
        </row>
        <row r="41">
          <cell r="F41">
            <v>610415</v>
          </cell>
          <cell r="G41">
            <v>777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DSR"/>
      <sheetName val="OPL"/>
      <sheetName val="Exp Printing"/>
      <sheetName val="Discount Sheet"/>
      <sheetName val="PHOENIX COLLECTION DETAIL (2)"/>
      <sheetName val="Tcs Log Book"/>
      <sheetName val="Generator LOG Book"/>
      <sheetName val="Alteration Log"/>
      <sheetName val="Card Sales Data"/>
      <sheetName val="Deposit Detail"/>
      <sheetName val="Stock In Hand"/>
    </sheetNames>
    <sheetDataSet>
      <sheetData sheetId="0" refreshError="1"/>
      <sheetData sheetId="1">
        <row r="11">
          <cell r="F11">
            <v>303845</v>
          </cell>
          <cell r="G11">
            <v>396</v>
          </cell>
        </row>
        <row r="12">
          <cell r="F12">
            <v>230255</v>
          </cell>
          <cell r="G12">
            <v>322</v>
          </cell>
        </row>
        <row r="13">
          <cell r="F13">
            <v>269080</v>
          </cell>
          <cell r="G13">
            <v>370</v>
          </cell>
        </row>
        <row r="14">
          <cell r="F14">
            <v>304635</v>
          </cell>
          <cell r="G14">
            <v>389</v>
          </cell>
        </row>
        <row r="15">
          <cell r="F15">
            <v>234440</v>
          </cell>
          <cell r="G15">
            <v>312</v>
          </cell>
        </row>
        <row r="16">
          <cell r="F16">
            <v>479425</v>
          </cell>
          <cell r="G16">
            <v>700</v>
          </cell>
        </row>
        <row r="17">
          <cell r="F17">
            <v>511395</v>
          </cell>
          <cell r="G17">
            <v>770</v>
          </cell>
        </row>
        <row r="18">
          <cell r="F18">
            <v>253340</v>
          </cell>
          <cell r="G18">
            <v>393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292770</v>
          </cell>
          <cell r="G21">
            <v>403</v>
          </cell>
        </row>
        <row r="22">
          <cell r="F22">
            <v>237515</v>
          </cell>
          <cell r="G22">
            <v>397</v>
          </cell>
        </row>
        <row r="23">
          <cell r="F23">
            <v>389935</v>
          </cell>
          <cell r="G23">
            <v>674</v>
          </cell>
        </row>
        <row r="24">
          <cell r="F24">
            <v>651400</v>
          </cell>
          <cell r="G24">
            <v>1014</v>
          </cell>
        </row>
        <row r="25">
          <cell r="F25">
            <v>545865</v>
          </cell>
          <cell r="G25">
            <v>751</v>
          </cell>
        </row>
        <row r="26">
          <cell r="F26">
            <v>162770</v>
          </cell>
          <cell r="G26">
            <v>202</v>
          </cell>
        </row>
        <row r="27">
          <cell r="F27">
            <v>183010</v>
          </cell>
          <cell r="G27">
            <v>255</v>
          </cell>
        </row>
        <row r="28">
          <cell r="F28">
            <v>200750</v>
          </cell>
          <cell r="G28">
            <v>301</v>
          </cell>
        </row>
        <row r="29">
          <cell r="F29">
            <v>209295</v>
          </cell>
          <cell r="G29">
            <v>292</v>
          </cell>
        </row>
        <row r="30">
          <cell r="F30">
            <v>274535</v>
          </cell>
          <cell r="G30">
            <v>369</v>
          </cell>
        </row>
        <row r="31">
          <cell r="F31">
            <v>391410</v>
          </cell>
          <cell r="G31">
            <v>547</v>
          </cell>
        </row>
        <row r="32">
          <cell r="F32">
            <v>482475</v>
          </cell>
          <cell r="G32">
            <v>643</v>
          </cell>
        </row>
        <row r="33">
          <cell r="F33">
            <v>134220</v>
          </cell>
          <cell r="G33">
            <v>194</v>
          </cell>
        </row>
        <row r="34">
          <cell r="F34">
            <v>93175</v>
          </cell>
          <cell r="G34">
            <v>151</v>
          </cell>
        </row>
        <row r="35">
          <cell r="F35">
            <v>137865</v>
          </cell>
          <cell r="G35">
            <v>223</v>
          </cell>
        </row>
        <row r="36">
          <cell r="F36">
            <v>175985</v>
          </cell>
          <cell r="G36">
            <v>271</v>
          </cell>
        </row>
        <row r="37">
          <cell r="F37">
            <v>133360</v>
          </cell>
          <cell r="G37">
            <v>205</v>
          </cell>
        </row>
        <row r="38">
          <cell r="F38">
            <v>483060</v>
          </cell>
          <cell r="G38">
            <v>684</v>
          </cell>
        </row>
        <row r="39">
          <cell r="F39">
            <v>506545</v>
          </cell>
          <cell r="G39">
            <v>723</v>
          </cell>
        </row>
        <row r="40">
          <cell r="F40">
            <v>229890</v>
          </cell>
          <cell r="G40">
            <v>299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DSR"/>
      <sheetName val="OPL"/>
      <sheetName val="Exp Printing"/>
      <sheetName val="Discount Sheet"/>
      <sheetName val="ASKARI COLLECTION DETAIL (2)"/>
      <sheetName val="Tcs Log Book"/>
      <sheetName val="Generator LOG Book"/>
      <sheetName val="Alteration Log"/>
      <sheetName val="Card Sales Data"/>
      <sheetName val="Deposit Detail"/>
      <sheetName val="Stock In Hand"/>
    </sheetNames>
    <sheetDataSet>
      <sheetData sheetId="0" refreshError="1"/>
      <sheetData sheetId="1">
        <row r="11">
          <cell r="F11">
            <v>303845</v>
          </cell>
        </row>
        <row r="41">
          <cell r="F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DSR"/>
      <sheetName val="OPL"/>
      <sheetName val="Exp Printing"/>
      <sheetName val="Discount Sheet"/>
      <sheetName val="ASKARI COLLECTION DETAIL"/>
      <sheetName val="Tcs Log Book"/>
      <sheetName val="Generator LOG Book"/>
      <sheetName val="Alteration Log"/>
      <sheetName val="Card Sales Data"/>
      <sheetName val="Deposit Detail"/>
      <sheetName val="Stock In Hand"/>
    </sheetNames>
    <sheetDataSet>
      <sheetData sheetId="1">
        <row r="11">
          <cell r="F11">
            <v>267370</v>
          </cell>
          <cell r="G11">
            <v>375</v>
          </cell>
        </row>
        <row r="12">
          <cell r="F12">
            <v>380565</v>
          </cell>
          <cell r="G12">
            <v>528</v>
          </cell>
        </row>
        <row r="13">
          <cell r="F13">
            <v>371240</v>
          </cell>
          <cell r="G13">
            <v>522</v>
          </cell>
        </row>
        <row r="14">
          <cell r="F14">
            <v>691270</v>
          </cell>
          <cell r="G14">
            <v>986</v>
          </cell>
        </row>
        <row r="15">
          <cell r="F15">
            <v>1140710</v>
          </cell>
          <cell r="G15">
            <v>1479</v>
          </cell>
        </row>
        <row r="16">
          <cell r="F16">
            <v>1046895</v>
          </cell>
          <cell r="G16">
            <v>1181</v>
          </cell>
        </row>
        <row r="17">
          <cell r="F17">
            <v>522270</v>
          </cell>
          <cell r="G17">
            <v>622</v>
          </cell>
        </row>
        <row r="18">
          <cell r="F18">
            <v>382980</v>
          </cell>
          <cell r="G18">
            <v>483</v>
          </cell>
        </row>
        <row r="19">
          <cell r="F19">
            <v>408970</v>
          </cell>
          <cell r="G19">
            <v>490</v>
          </cell>
        </row>
        <row r="20">
          <cell r="F20">
            <v>368175</v>
          </cell>
          <cell r="G20">
            <v>447</v>
          </cell>
        </row>
        <row r="21">
          <cell r="F21">
            <v>551600</v>
          </cell>
          <cell r="G21">
            <v>643</v>
          </cell>
        </row>
        <row r="22">
          <cell r="F22">
            <v>840580</v>
          </cell>
          <cell r="G22">
            <v>949</v>
          </cell>
        </row>
        <row r="23">
          <cell r="F23">
            <v>767770</v>
          </cell>
          <cell r="G23">
            <v>902</v>
          </cell>
        </row>
        <row r="24">
          <cell r="F24">
            <v>337615</v>
          </cell>
          <cell r="G24">
            <v>407</v>
          </cell>
        </row>
        <row r="25">
          <cell r="F25">
            <v>372630</v>
          </cell>
          <cell r="G25">
            <v>511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22" activePane="bottomRight" state="frozen"/>
      <selection activeCell="D34" sqref="D34"/>
      <selection pane="topRight" activeCell="D34" sqref="D34"/>
      <selection pane="bottomLeft" activeCell="D34" sqref="D34"/>
      <selection pane="bottomRight" activeCell="D35" sqref="D35"/>
    </sheetView>
  </sheetViews>
  <sheetFormatPr defaultRowHeight="15" x14ac:dyDescent="0.25"/>
  <cols>
    <col min="1" max="1" width="21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61</v>
      </c>
      <c r="C2" s="82" t="s">
        <v>1</v>
      </c>
      <c r="D2" s="86" t="s">
        <v>56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43647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43677</v>
      </c>
    </row>
    <row r="4" spans="1:22" ht="16.5" thickBot="1" x14ac:dyDescent="0.3">
      <c r="A4" s="57">
        <v>43647</v>
      </c>
      <c r="B4" s="76">
        <v>489060</v>
      </c>
      <c r="C4" s="58">
        <f>D4</f>
        <v>247135</v>
      </c>
      <c r="D4" s="58">
        <f>[1]DSR!F11</f>
        <v>247135</v>
      </c>
      <c r="E4" s="58">
        <f t="shared" ref="E4:E34" si="0">$U$6</f>
        <v>354838.70967741933</v>
      </c>
      <c r="F4" s="7">
        <f>D4/E4</f>
        <v>0.69647136363636364</v>
      </c>
      <c r="G4" s="8">
        <f t="shared" ref="G4:G34" si="1">IF(O4=1,F4,"-")</f>
        <v>0.69647136363636364</v>
      </c>
      <c r="H4" s="58">
        <f>[1]DSR!G11</f>
        <v>470</v>
      </c>
      <c r="I4" s="59">
        <v>188</v>
      </c>
      <c r="J4" s="58">
        <f>IFERROR((D4/I4),0)</f>
        <v>1314.5478723404256</v>
      </c>
      <c r="K4" s="60">
        <f>IFERROR((H4/I4),0)</f>
        <v>2.5</v>
      </c>
      <c r="L4" s="58">
        <f>D4/H4</f>
        <v>525.81914893617022</v>
      </c>
      <c r="M4" s="61">
        <f t="shared" ref="M4:M34" si="2">IFERROR(((D4-B4)/B4),0)</f>
        <v>-0.49467345519977096</v>
      </c>
      <c r="N4" s="58">
        <f t="shared" ref="N4:N34" si="3">B4*O4</f>
        <v>489060</v>
      </c>
      <c r="O4" s="9">
        <f t="shared" ref="O4:O34" si="4">IF(D4&gt;0,1,0)</f>
        <v>1</v>
      </c>
      <c r="P4" s="9">
        <f>O4</f>
        <v>1</v>
      </c>
      <c r="Q4" s="62">
        <v>397</v>
      </c>
      <c r="R4" s="63">
        <f t="shared" ref="R4:R34" si="5">I4/Q4*100</f>
        <v>47.355163727959699</v>
      </c>
      <c r="T4" s="6" t="s">
        <v>15</v>
      </c>
      <c r="U4" s="98">
        <v>31</v>
      </c>
      <c r="V4" s="98"/>
    </row>
    <row r="5" spans="1:22" ht="16.5" thickBot="1" x14ac:dyDescent="0.3">
      <c r="A5" s="57">
        <v>43648</v>
      </c>
      <c r="B5" s="76">
        <v>291500</v>
      </c>
      <c r="C5" s="58">
        <f t="shared" ref="C5:C34" si="6">D5</f>
        <v>318075</v>
      </c>
      <c r="D5" s="58">
        <f>[1]DSR!F12</f>
        <v>318075</v>
      </c>
      <c r="E5" s="58">
        <f t="shared" si="0"/>
        <v>354838.70967741933</v>
      </c>
      <c r="F5" s="7">
        <f t="shared" ref="F5:F34" si="7">D5/E5</f>
        <v>0.89639318181818184</v>
      </c>
      <c r="G5" s="8">
        <f t="shared" si="1"/>
        <v>0.89639318181818184</v>
      </c>
      <c r="H5" s="58">
        <f>[1]DSR!G12</f>
        <v>656</v>
      </c>
      <c r="I5" s="59">
        <v>220</v>
      </c>
      <c r="J5" s="58">
        <f t="shared" ref="J5:J34" si="8">IFERROR((D5/I5),0)</f>
        <v>1445.7954545454545</v>
      </c>
      <c r="K5" s="60">
        <f t="shared" ref="K5:K34" si="9">IFERROR((H5/I5),0)</f>
        <v>2.9818181818181819</v>
      </c>
      <c r="L5" s="58">
        <f t="shared" ref="L5:L34" si="10">D5/H5</f>
        <v>484.8704268292683</v>
      </c>
      <c r="M5" s="61">
        <f t="shared" si="2"/>
        <v>9.1166380789022297E-2</v>
      </c>
      <c r="N5" s="58">
        <f t="shared" si="3"/>
        <v>291500</v>
      </c>
      <c r="O5" s="9">
        <f t="shared" si="4"/>
        <v>1</v>
      </c>
      <c r="P5" s="9">
        <f t="shared" ref="P5:P34" si="11">P4+O5</f>
        <v>2</v>
      </c>
      <c r="Q5" s="62">
        <v>449</v>
      </c>
      <c r="R5" s="63">
        <f t="shared" si="5"/>
        <v>48.997772828507799</v>
      </c>
      <c r="T5" s="6" t="s">
        <v>16</v>
      </c>
      <c r="U5" s="99">
        <v>11000000</v>
      </c>
      <c r="V5" s="99"/>
    </row>
    <row r="6" spans="1:22" ht="16.5" thickBot="1" x14ac:dyDescent="0.3">
      <c r="A6" s="57">
        <v>43649</v>
      </c>
      <c r="B6" s="76">
        <v>309580</v>
      </c>
      <c r="C6" s="58">
        <f t="shared" si="6"/>
        <v>292580</v>
      </c>
      <c r="D6" s="58">
        <f>[1]DSR!F13</f>
        <v>292580</v>
      </c>
      <c r="E6" s="58">
        <f t="shared" si="0"/>
        <v>354838.70967741933</v>
      </c>
      <c r="F6" s="7">
        <f t="shared" si="7"/>
        <v>0.82454363636363637</v>
      </c>
      <c r="G6" s="8">
        <f t="shared" si="1"/>
        <v>0.82454363636363637</v>
      </c>
      <c r="H6" s="58">
        <f>[1]DSR!G13</f>
        <v>584</v>
      </c>
      <c r="I6" s="59">
        <v>222</v>
      </c>
      <c r="J6" s="58">
        <f t="shared" si="8"/>
        <v>1317.9279279279278</v>
      </c>
      <c r="K6" s="60">
        <f t="shared" si="9"/>
        <v>2.6306306306306309</v>
      </c>
      <c r="L6" s="58">
        <f t="shared" si="10"/>
        <v>500.99315068493149</v>
      </c>
      <c r="M6" s="61">
        <f t="shared" si="2"/>
        <v>-5.4913108081917433E-2</v>
      </c>
      <c r="N6" s="58">
        <f t="shared" si="3"/>
        <v>309580</v>
      </c>
      <c r="O6" s="9">
        <f t="shared" si="4"/>
        <v>1</v>
      </c>
      <c r="P6" s="9">
        <f t="shared" si="11"/>
        <v>3</v>
      </c>
      <c r="Q6" s="62">
        <v>474</v>
      </c>
      <c r="R6" s="63">
        <f t="shared" si="5"/>
        <v>46.835443037974684</v>
      </c>
      <c r="T6" s="6" t="s">
        <v>17</v>
      </c>
      <c r="U6" s="100">
        <f>IFERROR((U5/U4),0)</f>
        <v>354838.70967741933</v>
      </c>
      <c r="V6" s="100"/>
    </row>
    <row r="7" spans="1:22" ht="16.5" thickBot="1" x14ac:dyDescent="0.3">
      <c r="A7" s="57">
        <v>43650</v>
      </c>
      <c r="B7" s="76">
        <v>305860</v>
      </c>
      <c r="C7" s="58">
        <f t="shared" si="6"/>
        <v>352870</v>
      </c>
      <c r="D7" s="58">
        <f>[1]DSR!F14</f>
        <v>352870</v>
      </c>
      <c r="E7" s="58">
        <f t="shared" si="0"/>
        <v>354838.70967741933</v>
      </c>
      <c r="F7" s="7">
        <f t="shared" si="7"/>
        <v>0.99445181818181827</v>
      </c>
      <c r="G7" s="8">
        <f t="shared" si="1"/>
        <v>0.99445181818181827</v>
      </c>
      <c r="H7" s="58">
        <f>[1]DSR!G14</f>
        <v>642</v>
      </c>
      <c r="I7" s="59">
        <v>242</v>
      </c>
      <c r="J7" s="58">
        <f t="shared" si="8"/>
        <v>1458.1404958677685</v>
      </c>
      <c r="K7" s="60">
        <f t="shared" si="9"/>
        <v>2.6528925619834709</v>
      </c>
      <c r="L7" s="58">
        <f t="shared" si="10"/>
        <v>549.64174454828662</v>
      </c>
      <c r="M7" s="61">
        <f t="shared" si="2"/>
        <v>0.15369777022167005</v>
      </c>
      <c r="N7" s="58">
        <f t="shared" si="3"/>
        <v>305860</v>
      </c>
      <c r="O7" s="9">
        <f t="shared" si="4"/>
        <v>1</v>
      </c>
      <c r="P7" s="9">
        <f t="shared" si="11"/>
        <v>4</v>
      </c>
      <c r="Q7" s="62">
        <v>594</v>
      </c>
      <c r="R7" s="63">
        <f t="shared" si="5"/>
        <v>40.74074074074074</v>
      </c>
      <c r="T7" s="6" t="s">
        <v>18</v>
      </c>
      <c r="U7" s="10">
        <f>IFERROR((V7/U5),0)</f>
        <v>1.0603822727272727</v>
      </c>
      <c r="V7" s="11">
        <f>D35</f>
        <v>11664205</v>
      </c>
    </row>
    <row r="8" spans="1:22" ht="16.5" thickBot="1" x14ac:dyDescent="0.3">
      <c r="A8" s="57">
        <v>43651</v>
      </c>
      <c r="B8" s="76">
        <v>394520</v>
      </c>
      <c r="C8" s="58">
        <f t="shared" si="6"/>
        <v>406965</v>
      </c>
      <c r="D8" s="58">
        <f>[1]DSR!F15</f>
        <v>406965</v>
      </c>
      <c r="E8" s="58">
        <f t="shared" si="0"/>
        <v>354838.70967741933</v>
      </c>
      <c r="F8" s="7">
        <f t="shared" si="7"/>
        <v>1.1469013636363636</v>
      </c>
      <c r="G8" s="8">
        <f t="shared" si="1"/>
        <v>1.1469013636363636</v>
      </c>
      <c r="H8" s="58">
        <f>[1]DSR!G15</f>
        <v>826</v>
      </c>
      <c r="I8" s="59">
        <v>265</v>
      </c>
      <c r="J8" s="58">
        <f t="shared" si="8"/>
        <v>1535.7169811320755</v>
      </c>
      <c r="K8" s="60">
        <f t="shared" si="9"/>
        <v>3.1169811320754719</v>
      </c>
      <c r="L8" s="58">
        <f t="shared" si="10"/>
        <v>492.69370460048424</v>
      </c>
      <c r="M8" s="61">
        <f t="shared" si="2"/>
        <v>3.1544661867585928E-2</v>
      </c>
      <c r="N8" s="58">
        <f t="shared" si="3"/>
        <v>394520</v>
      </c>
      <c r="O8" s="9">
        <f t="shared" si="4"/>
        <v>1</v>
      </c>
      <c r="P8" s="9">
        <f t="shared" si="11"/>
        <v>5</v>
      </c>
      <c r="Q8" s="62">
        <v>557</v>
      </c>
      <c r="R8" s="63">
        <f t="shared" si="5"/>
        <v>47.576301615798918</v>
      </c>
      <c r="T8" s="6" t="s">
        <v>19</v>
      </c>
      <c r="U8" s="101">
        <f>IFERROR((U12*U4),0)</f>
        <v>11664205</v>
      </c>
      <c r="V8" s="101"/>
    </row>
    <row r="9" spans="1:22" ht="16.5" thickBot="1" x14ac:dyDescent="0.3">
      <c r="A9" s="57">
        <v>43652</v>
      </c>
      <c r="B9" s="76">
        <v>304570</v>
      </c>
      <c r="C9" s="58">
        <f t="shared" si="6"/>
        <v>643900</v>
      </c>
      <c r="D9" s="58">
        <f>[1]DSR!F16</f>
        <v>643900</v>
      </c>
      <c r="E9" s="58">
        <f t="shared" si="0"/>
        <v>354838.70967741933</v>
      </c>
      <c r="F9" s="7">
        <f t="shared" si="7"/>
        <v>1.8146272727272728</v>
      </c>
      <c r="G9" s="8">
        <f t="shared" si="1"/>
        <v>1.8146272727272728</v>
      </c>
      <c r="H9" s="58">
        <f>[1]DSR!G16</f>
        <v>1250</v>
      </c>
      <c r="I9" s="59">
        <f>424+43</f>
        <v>467</v>
      </c>
      <c r="J9" s="58">
        <f t="shared" si="8"/>
        <v>1378.8008565310492</v>
      </c>
      <c r="K9" s="60">
        <f t="shared" si="9"/>
        <v>2.6766595289079227</v>
      </c>
      <c r="L9" s="58">
        <f t="shared" si="10"/>
        <v>515.12</v>
      </c>
      <c r="M9" s="61">
        <f t="shared" si="2"/>
        <v>1.114128115047444</v>
      </c>
      <c r="N9" s="58">
        <f t="shared" si="3"/>
        <v>304570</v>
      </c>
      <c r="O9" s="9">
        <f t="shared" si="4"/>
        <v>1</v>
      </c>
      <c r="P9" s="9">
        <f t="shared" si="11"/>
        <v>6</v>
      </c>
      <c r="Q9" s="62">
        <f>898</f>
        <v>898</v>
      </c>
      <c r="R9" s="63">
        <f t="shared" si="5"/>
        <v>52.00445434298441</v>
      </c>
      <c r="T9" s="6" t="s">
        <v>20</v>
      </c>
      <c r="U9" s="90">
        <f>H35</f>
        <v>23028</v>
      </c>
      <c r="V9" s="91"/>
    </row>
    <row r="10" spans="1:22" ht="16.5" thickBot="1" x14ac:dyDescent="0.3">
      <c r="A10" s="57">
        <v>43653</v>
      </c>
      <c r="B10" s="76">
        <v>555270</v>
      </c>
      <c r="C10" s="58">
        <f t="shared" si="6"/>
        <v>602985</v>
      </c>
      <c r="D10" s="58">
        <f>[1]DSR!F17</f>
        <v>602985</v>
      </c>
      <c r="E10" s="58">
        <f t="shared" si="0"/>
        <v>354838.70967741933</v>
      </c>
      <c r="F10" s="7">
        <f>D10/E10</f>
        <v>1.6993213636363638</v>
      </c>
      <c r="G10" s="8">
        <f t="shared" si="1"/>
        <v>1.6993213636363638</v>
      </c>
      <c r="H10" s="58">
        <f>[1]DSR!G17</f>
        <v>1134</v>
      </c>
      <c r="I10" s="59">
        <f>21+390</f>
        <v>411</v>
      </c>
      <c r="J10" s="58">
        <f>IFERROR((D10/I10),0)</f>
        <v>1467.1167883211679</v>
      </c>
      <c r="K10" s="60">
        <f t="shared" si="9"/>
        <v>2.7591240875912408</v>
      </c>
      <c r="L10" s="58">
        <f>D10/H10</f>
        <v>531.73280423280426</v>
      </c>
      <c r="M10" s="61">
        <f>IFERROR(((D10-B10)/B10),0)</f>
        <v>8.5931168620671031E-2</v>
      </c>
      <c r="N10" s="58">
        <f t="shared" si="3"/>
        <v>555270</v>
      </c>
      <c r="O10" s="9">
        <f>IF(D10&gt;0,1,0)</f>
        <v>1</v>
      </c>
      <c r="P10" s="9">
        <f t="shared" si="11"/>
        <v>7</v>
      </c>
      <c r="Q10" s="62">
        <v>1036</v>
      </c>
      <c r="R10" s="63">
        <f t="shared" si="5"/>
        <v>39.671814671814673</v>
      </c>
      <c r="T10" s="6" t="s">
        <v>21</v>
      </c>
      <c r="U10" s="100">
        <f>IFERROR((U9/P35),0)</f>
        <v>742.83870967741939</v>
      </c>
      <c r="V10" s="100"/>
    </row>
    <row r="11" spans="1:22" ht="16.5" thickBot="1" x14ac:dyDescent="0.3">
      <c r="A11" s="57">
        <v>43654</v>
      </c>
      <c r="B11" s="76">
        <v>441960</v>
      </c>
      <c r="C11" s="58">
        <f t="shared" si="6"/>
        <v>318565</v>
      </c>
      <c r="D11" s="58">
        <f>[1]DSR!F18</f>
        <v>318565</v>
      </c>
      <c r="E11" s="58">
        <f t="shared" si="0"/>
        <v>354838.70967741933</v>
      </c>
      <c r="F11" s="7">
        <f t="shared" si="7"/>
        <v>0.89777409090909099</v>
      </c>
      <c r="G11" s="8">
        <f t="shared" si="1"/>
        <v>0.89777409090909099</v>
      </c>
      <c r="H11" s="58">
        <f>[1]DSR!G18</f>
        <v>515</v>
      </c>
      <c r="I11" s="59">
        <v>227</v>
      </c>
      <c r="J11" s="58">
        <f t="shared" si="8"/>
        <v>1403.3700440528635</v>
      </c>
      <c r="K11" s="60">
        <f t="shared" si="9"/>
        <v>2.2687224669603525</v>
      </c>
      <c r="L11" s="58">
        <f t="shared" si="10"/>
        <v>618.57281553398059</v>
      </c>
      <c r="M11" s="61">
        <f t="shared" si="2"/>
        <v>-0.27919947506561682</v>
      </c>
      <c r="N11" s="58">
        <f t="shared" si="3"/>
        <v>441960</v>
      </c>
      <c r="O11" s="9">
        <f t="shared" si="4"/>
        <v>1</v>
      </c>
      <c r="P11" s="9">
        <f t="shared" si="11"/>
        <v>8</v>
      </c>
      <c r="Q11" s="62">
        <v>581</v>
      </c>
      <c r="R11" s="63">
        <f t="shared" si="5"/>
        <v>39.070567986230635</v>
      </c>
      <c r="T11" s="6" t="s">
        <v>22</v>
      </c>
      <c r="U11" s="100">
        <f>D35</f>
        <v>11664205</v>
      </c>
      <c r="V11" s="100"/>
    </row>
    <row r="12" spans="1:22" ht="16.5" thickBot="1" x14ac:dyDescent="0.3">
      <c r="A12" s="57">
        <v>43655</v>
      </c>
      <c r="B12" s="76">
        <v>313130</v>
      </c>
      <c r="C12" s="58">
        <f t="shared" si="6"/>
        <v>350420</v>
      </c>
      <c r="D12" s="58">
        <f>[1]DSR!F19</f>
        <v>350420</v>
      </c>
      <c r="E12" s="58">
        <f t="shared" si="0"/>
        <v>354838.70967741933</v>
      </c>
      <c r="F12" s="7">
        <f t="shared" si="7"/>
        <v>0.98754727272727283</v>
      </c>
      <c r="G12" s="8">
        <f t="shared" si="1"/>
        <v>0.98754727272727283</v>
      </c>
      <c r="H12" s="58">
        <f>[1]DSR!G19</f>
        <v>683</v>
      </c>
      <c r="I12" s="59">
        <v>230</v>
      </c>
      <c r="J12" s="58">
        <f t="shared" si="8"/>
        <v>1523.5652173913043</v>
      </c>
      <c r="K12" s="60">
        <f t="shared" si="9"/>
        <v>2.9695652173913043</v>
      </c>
      <c r="L12" s="58">
        <f t="shared" si="10"/>
        <v>513.06002928257692</v>
      </c>
      <c r="M12" s="61">
        <f t="shared" si="2"/>
        <v>0.11908791875578834</v>
      </c>
      <c r="N12" s="58">
        <f t="shared" si="3"/>
        <v>313130</v>
      </c>
      <c r="O12" s="9">
        <f t="shared" si="4"/>
        <v>1</v>
      </c>
      <c r="P12" s="9">
        <f t="shared" si="11"/>
        <v>9</v>
      </c>
      <c r="Q12" s="62">
        <v>573</v>
      </c>
      <c r="R12" s="63">
        <f t="shared" si="5"/>
        <v>40.139616055846425</v>
      </c>
      <c r="T12" s="6" t="s">
        <v>23</v>
      </c>
      <c r="U12" s="90">
        <f>IFERROR((D35/P35),0)</f>
        <v>376264.67741935485</v>
      </c>
      <c r="V12" s="91"/>
    </row>
    <row r="13" spans="1:22" ht="16.5" thickBot="1" x14ac:dyDescent="0.3">
      <c r="A13" s="57">
        <v>43656</v>
      </c>
      <c r="B13" s="76">
        <v>254890</v>
      </c>
      <c r="C13" s="58">
        <f t="shared" si="6"/>
        <v>295960</v>
      </c>
      <c r="D13" s="58">
        <f>[1]DSR!F20</f>
        <v>295960</v>
      </c>
      <c r="E13" s="58">
        <f t="shared" si="0"/>
        <v>354838.70967741933</v>
      </c>
      <c r="F13" s="7">
        <f t="shared" si="7"/>
        <v>0.83406909090909098</v>
      </c>
      <c r="G13" s="8">
        <f t="shared" si="1"/>
        <v>0.83406909090909098</v>
      </c>
      <c r="H13" s="58">
        <f>[1]DSR!G20</f>
        <v>532</v>
      </c>
      <c r="I13" s="59">
        <v>181</v>
      </c>
      <c r="J13" s="58">
        <f t="shared" si="8"/>
        <v>1635.1381215469614</v>
      </c>
      <c r="K13" s="60">
        <f t="shared" si="9"/>
        <v>2.9392265193370166</v>
      </c>
      <c r="L13" s="58">
        <f t="shared" si="10"/>
        <v>556.31578947368416</v>
      </c>
      <c r="M13" s="61">
        <f t="shared" si="2"/>
        <v>0.16112832986778611</v>
      </c>
      <c r="N13" s="58">
        <f t="shared" si="3"/>
        <v>254890</v>
      </c>
      <c r="O13" s="9">
        <f t="shared" si="4"/>
        <v>1</v>
      </c>
      <c r="P13" s="9">
        <f t="shared" si="11"/>
        <v>10</v>
      </c>
      <c r="Q13" s="62">
        <v>551</v>
      </c>
      <c r="R13" s="63">
        <f t="shared" si="5"/>
        <v>32.849364791288565</v>
      </c>
      <c r="T13" s="6" t="s">
        <v>24</v>
      </c>
      <c r="U13" s="100">
        <f>U5-D35</f>
        <v>-664205</v>
      </c>
      <c r="V13" s="100"/>
    </row>
    <row r="14" spans="1:22" ht="16.5" thickBot="1" x14ac:dyDescent="0.3">
      <c r="A14" s="57">
        <v>43657</v>
      </c>
      <c r="B14" s="76">
        <v>208750</v>
      </c>
      <c r="C14" s="58">
        <f t="shared" si="6"/>
        <v>355520</v>
      </c>
      <c r="D14" s="58">
        <f>[1]DSR!F21</f>
        <v>355520</v>
      </c>
      <c r="E14" s="58">
        <f t="shared" si="0"/>
        <v>354838.70967741933</v>
      </c>
      <c r="F14" s="7">
        <f t="shared" si="7"/>
        <v>1.0019200000000001</v>
      </c>
      <c r="G14" s="8">
        <f t="shared" si="1"/>
        <v>1.0019200000000001</v>
      </c>
      <c r="H14" s="58">
        <f>[1]DSR!G21</f>
        <v>835</v>
      </c>
      <c r="I14" s="59">
        <f>27+207</f>
        <v>234</v>
      </c>
      <c r="J14" s="58">
        <f t="shared" si="8"/>
        <v>1519.3162393162393</v>
      </c>
      <c r="K14" s="60">
        <f t="shared" si="9"/>
        <v>3.5683760683760686</v>
      </c>
      <c r="L14" s="58">
        <f t="shared" si="10"/>
        <v>425.77245508982037</v>
      </c>
      <c r="M14" s="61">
        <f t="shared" si="2"/>
        <v>0.70308982035928147</v>
      </c>
      <c r="N14" s="58">
        <f t="shared" si="3"/>
        <v>208750</v>
      </c>
      <c r="O14" s="9">
        <f t="shared" si="4"/>
        <v>1</v>
      </c>
      <c r="P14" s="9">
        <f t="shared" si="11"/>
        <v>11</v>
      </c>
      <c r="Q14" s="62">
        <v>503</v>
      </c>
      <c r="R14" s="63">
        <f t="shared" si="5"/>
        <v>46.520874751491057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43658</v>
      </c>
      <c r="B15" s="76">
        <v>270350</v>
      </c>
      <c r="C15" s="58">
        <f t="shared" si="6"/>
        <v>383140</v>
      </c>
      <c r="D15" s="58">
        <f>[1]DSR!F22</f>
        <v>383140</v>
      </c>
      <c r="E15" s="58">
        <f t="shared" si="0"/>
        <v>354838.70967741933</v>
      </c>
      <c r="F15" s="7">
        <f t="shared" si="7"/>
        <v>1.0797581818181818</v>
      </c>
      <c r="G15" s="8">
        <f t="shared" si="1"/>
        <v>1.0797581818181818</v>
      </c>
      <c r="H15" s="58">
        <f>[1]DSR!G22</f>
        <v>738</v>
      </c>
      <c r="I15" s="59">
        <f>19+228</f>
        <v>247</v>
      </c>
      <c r="J15" s="58">
        <f t="shared" si="8"/>
        <v>1551.1740890688259</v>
      </c>
      <c r="K15" s="60">
        <f t="shared" si="9"/>
        <v>2.9878542510121457</v>
      </c>
      <c r="L15" s="58">
        <f t="shared" si="10"/>
        <v>519.15989159891603</v>
      </c>
      <c r="M15" s="61">
        <f t="shared" si="2"/>
        <v>0.41719992602182354</v>
      </c>
      <c r="N15" s="58">
        <f t="shared" si="3"/>
        <v>270350</v>
      </c>
      <c r="O15" s="9">
        <f t="shared" si="4"/>
        <v>1</v>
      </c>
      <c r="P15" s="9">
        <f t="shared" si="11"/>
        <v>12</v>
      </c>
      <c r="Q15" s="62">
        <v>731</v>
      </c>
      <c r="R15" s="63">
        <f t="shared" si="5"/>
        <v>33.789329685362517</v>
      </c>
      <c r="T15" s="12" t="s">
        <v>6</v>
      </c>
      <c r="U15" s="100">
        <f>IFERROR((D35/I35),0)</f>
        <v>1552.3296513175405</v>
      </c>
      <c r="V15" s="100"/>
    </row>
    <row r="16" spans="1:22" ht="16.5" thickBot="1" x14ac:dyDescent="0.3">
      <c r="A16" s="57">
        <v>43659</v>
      </c>
      <c r="B16" s="76">
        <v>285590</v>
      </c>
      <c r="C16" s="58">
        <f t="shared" si="6"/>
        <v>605155</v>
      </c>
      <c r="D16" s="58">
        <f>[1]DSR!F23</f>
        <v>605155</v>
      </c>
      <c r="E16" s="58">
        <f t="shared" si="0"/>
        <v>354838.70967741933</v>
      </c>
      <c r="F16" s="7">
        <f t="shared" si="7"/>
        <v>1.7054368181818182</v>
      </c>
      <c r="G16" s="8">
        <f t="shared" si="1"/>
        <v>1.7054368181818182</v>
      </c>
      <c r="H16" s="58">
        <f>[1]DSR!G23</f>
        <v>1314</v>
      </c>
      <c r="I16" s="59">
        <f>238+161</f>
        <v>399</v>
      </c>
      <c r="J16" s="58">
        <f t="shared" si="8"/>
        <v>1516.6791979949874</v>
      </c>
      <c r="K16" s="60">
        <f t="shared" si="9"/>
        <v>3.2932330827067671</v>
      </c>
      <c r="L16" s="58">
        <f t="shared" si="10"/>
        <v>460.54414003044138</v>
      </c>
      <c r="M16" s="61">
        <f t="shared" si="2"/>
        <v>1.1189642494485101</v>
      </c>
      <c r="N16" s="58">
        <f t="shared" si="3"/>
        <v>285590</v>
      </c>
      <c r="O16" s="9">
        <f t="shared" si="4"/>
        <v>1</v>
      </c>
      <c r="P16" s="9">
        <f t="shared" si="11"/>
        <v>13</v>
      </c>
      <c r="Q16" s="62">
        <v>1017</v>
      </c>
      <c r="R16" s="63">
        <f t="shared" si="5"/>
        <v>39.233038348082594</v>
      </c>
      <c r="T16" s="12" t="s">
        <v>7</v>
      </c>
      <c r="U16" s="104">
        <f>IFERROR((H35/I35),0)</f>
        <v>3.0646792653713071</v>
      </c>
      <c r="V16" s="104"/>
    </row>
    <row r="17" spans="1:25" ht="16.5" thickBot="1" x14ac:dyDescent="0.3">
      <c r="A17" s="57">
        <v>43660</v>
      </c>
      <c r="B17" s="76">
        <v>418030</v>
      </c>
      <c r="C17" s="58">
        <f t="shared" si="6"/>
        <v>582935</v>
      </c>
      <c r="D17" s="58">
        <f>[1]DSR!F24</f>
        <v>582935</v>
      </c>
      <c r="E17" s="58">
        <f t="shared" si="0"/>
        <v>354838.70967741933</v>
      </c>
      <c r="F17" s="7">
        <f t="shared" si="7"/>
        <v>1.6428168181818184</v>
      </c>
      <c r="G17" s="8">
        <f t="shared" si="1"/>
        <v>1.6428168181818184</v>
      </c>
      <c r="H17" s="58">
        <f>[1]DSR!G24</f>
        <v>1252</v>
      </c>
      <c r="I17" s="59">
        <f>237+115</f>
        <v>352</v>
      </c>
      <c r="J17" s="58">
        <f t="shared" si="8"/>
        <v>1656.065340909091</v>
      </c>
      <c r="K17" s="60">
        <f t="shared" si="9"/>
        <v>3.5568181818181817</v>
      </c>
      <c r="L17" s="58">
        <f t="shared" si="10"/>
        <v>465.60303514376994</v>
      </c>
      <c r="M17" s="61">
        <f t="shared" si="2"/>
        <v>0.39448125732602923</v>
      </c>
      <c r="N17" s="58">
        <f t="shared" si="3"/>
        <v>418030</v>
      </c>
      <c r="O17" s="9">
        <f t="shared" si="4"/>
        <v>1</v>
      </c>
      <c r="P17" s="9">
        <f t="shared" si="11"/>
        <v>14</v>
      </c>
      <c r="Q17" s="62">
        <v>987</v>
      </c>
      <c r="R17" s="63">
        <f t="shared" si="5"/>
        <v>35.663627152988852</v>
      </c>
      <c r="T17" s="12" t="s">
        <v>26</v>
      </c>
      <c r="U17" s="105">
        <f>U5/L35</f>
        <v>21716.696508677618</v>
      </c>
      <c r="V17" s="105"/>
    </row>
    <row r="18" spans="1:25" ht="16.5" thickBot="1" x14ac:dyDescent="0.3">
      <c r="A18" s="57">
        <v>43661</v>
      </c>
      <c r="B18" s="76">
        <v>385690</v>
      </c>
      <c r="C18" s="58">
        <f t="shared" si="6"/>
        <v>371515</v>
      </c>
      <c r="D18" s="58">
        <f>[1]DSR!F25</f>
        <v>371515</v>
      </c>
      <c r="E18" s="58">
        <f t="shared" si="0"/>
        <v>354838.70967741933</v>
      </c>
      <c r="F18" s="7">
        <f t="shared" si="7"/>
        <v>1.0469968181818183</v>
      </c>
      <c r="G18" s="8">
        <f t="shared" si="1"/>
        <v>1.0469968181818183</v>
      </c>
      <c r="H18" s="58">
        <f>[1]DSR!G25</f>
        <v>713</v>
      </c>
      <c r="I18" s="59">
        <f>160+68</f>
        <v>228</v>
      </c>
      <c r="J18" s="58">
        <f t="shared" si="8"/>
        <v>1629.4517543859649</v>
      </c>
      <c r="K18" s="60">
        <f t="shared" si="9"/>
        <v>3.1271929824561404</v>
      </c>
      <c r="L18" s="58">
        <f t="shared" si="10"/>
        <v>521.0589060308555</v>
      </c>
      <c r="M18" s="61">
        <f t="shared" si="2"/>
        <v>-3.6752314034587362E-2</v>
      </c>
      <c r="N18" s="58">
        <f t="shared" si="3"/>
        <v>385690</v>
      </c>
      <c r="O18" s="9">
        <f t="shared" si="4"/>
        <v>1</v>
      </c>
      <c r="P18" s="9">
        <f t="shared" si="11"/>
        <v>15</v>
      </c>
      <c r="Q18" s="62">
        <v>617</v>
      </c>
      <c r="R18" s="63">
        <f t="shared" si="5"/>
        <v>36.95299837925446</v>
      </c>
      <c r="T18" s="13" t="s">
        <v>27</v>
      </c>
      <c r="U18" s="106">
        <f>U17-H35</f>
        <v>-1311.3034913223819</v>
      </c>
      <c r="V18" s="107"/>
    </row>
    <row r="19" spans="1:25" ht="16.5" thickBot="1" x14ac:dyDescent="0.3">
      <c r="A19" s="57">
        <v>43662</v>
      </c>
      <c r="B19" s="76">
        <v>261980</v>
      </c>
      <c r="C19" s="58">
        <f t="shared" si="6"/>
        <v>341170</v>
      </c>
      <c r="D19" s="58">
        <f>[1]DSR!F26</f>
        <v>341170</v>
      </c>
      <c r="E19" s="58">
        <f t="shared" si="0"/>
        <v>354838.70967741933</v>
      </c>
      <c r="F19" s="7">
        <f t="shared" si="7"/>
        <v>0.96147909090909101</v>
      </c>
      <c r="G19" s="8">
        <f t="shared" si="1"/>
        <v>0.96147909090909101</v>
      </c>
      <c r="H19" s="58">
        <f>[1]DSR!G26</f>
        <v>599</v>
      </c>
      <c r="I19" s="59">
        <f>47+147</f>
        <v>194</v>
      </c>
      <c r="J19" s="58">
        <f t="shared" si="8"/>
        <v>1758.6082474226805</v>
      </c>
      <c r="K19" s="60">
        <f t="shared" si="9"/>
        <v>3.0876288659793816</v>
      </c>
      <c r="L19" s="58">
        <f t="shared" si="10"/>
        <v>569.56594323873117</v>
      </c>
      <c r="M19" s="61">
        <f t="shared" si="2"/>
        <v>0.30227498282311627</v>
      </c>
      <c r="N19" s="58">
        <f t="shared" si="3"/>
        <v>261980</v>
      </c>
      <c r="O19" s="9">
        <f t="shared" si="4"/>
        <v>1</v>
      </c>
      <c r="P19" s="9">
        <f t="shared" si="11"/>
        <v>16</v>
      </c>
      <c r="Q19" s="62">
        <v>593</v>
      </c>
      <c r="R19" s="63">
        <f t="shared" si="5"/>
        <v>32.715008431703204</v>
      </c>
      <c r="T19" s="12" t="s">
        <v>57</v>
      </c>
      <c r="U19" s="102">
        <f>D37/U5*100%</f>
        <v>1.0603822727272727</v>
      </c>
      <c r="V19" s="103"/>
    </row>
    <row r="20" spans="1:25" x14ac:dyDescent="0.25">
      <c r="A20" s="57">
        <v>43663</v>
      </c>
      <c r="B20" s="76">
        <v>230250</v>
      </c>
      <c r="C20" s="58">
        <f t="shared" si="6"/>
        <v>360200</v>
      </c>
      <c r="D20" s="58">
        <f>[1]DSR!F27</f>
        <v>360200</v>
      </c>
      <c r="E20" s="58">
        <f t="shared" si="0"/>
        <v>354838.70967741933</v>
      </c>
      <c r="F20" s="7">
        <f t="shared" si="7"/>
        <v>1.015109090909091</v>
      </c>
      <c r="G20" s="8">
        <f t="shared" si="1"/>
        <v>1.015109090909091</v>
      </c>
      <c r="H20" s="58">
        <f>[1]DSR!G27</f>
        <v>685</v>
      </c>
      <c r="I20" s="59">
        <f>146+60</f>
        <v>206</v>
      </c>
      <c r="J20" s="58">
        <f t="shared" si="8"/>
        <v>1748.5436893203882</v>
      </c>
      <c r="K20" s="60">
        <f t="shared" si="9"/>
        <v>3.325242718446602</v>
      </c>
      <c r="L20" s="58">
        <f t="shared" si="10"/>
        <v>525.83941605839414</v>
      </c>
      <c r="M20" s="61">
        <f t="shared" si="2"/>
        <v>0.56438653637350711</v>
      </c>
      <c r="N20" s="58">
        <f t="shared" si="3"/>
        <v>230250</v>
      </c>
      <c r="O20" s="9">
        <f t="shared" si="4"/>
        <v>1</v>
      </c>
      <c r="P20" s="9">
        <f t="shared" si="11"/>
        <v>17</v>
      </c>
      <c r="Q20" s="62">
        <v>634</v>
      </c>
      <c r="R20" s="63">
        <f t="shared" si="5"/>
        <v>32.49211356466877</v>
      </c>
      <c r="Y20" s="14"/>
    </row>
    <row r="21" spans="1:25" x14ac:dyDescent="0.25">
      <c r="A21" s="57">
        <v>43664</v>
      </c>
      <c r="B21" s="76">
        <v>224180</v>
      </c>
      <c r="C21" s="58">
        <f t="shared" si="6"/>
        <v>299485</v>
      </c>
      <c r="D21" s="58">
        <f>[1]DSR!F28</f>
        <v>299485</v>
      </c>
      <c r="E21" s="58">
        <f t="shared" si="0"/>
        <v>354838.70967741933</v>
      </c>
      <c r="F21" s="7">
        <f t="shared" si="7"/>
        <v>0.8440031818181819</v>
      </c>
      <c r="G21" s="8">
        <f t="shared" si="1"/>
        <v>0.8440031818181819</v>
      </c>
      <c r="H21" s="58">
        <f>[1]DSR!G28</f>
        <v>701</v>
      </c>
      <c r="I21" s="59">
        <f>49+159</f>
        <v>208</v>
      </c>
      <c r="J21" s="58">
        <f t="shared" si="8"/>
        <v>1439.8317307692307</v>
      </c>
      <c r="K21" s="60">
        <f t="shared" si="9"/>
        <v>3.3701923076923075</v>
      </c>
      <c r="L21" s="58">
        <f t="shared" si="10"/>
        <v>427.22539229671895</v>
      </c>
      <c r="M21" s="61">
        <f t="shared" si="2"/>
        <v>0.33591310554019094</v>
      </c>
      <c r="N21" s="58">
        <f t="shared" si="3"/>
        <v>224180</v>
      </c>
      <c r="O21" s="9">
        <f t="shared" si="4"/>
        <v>1</v>
      </c>
      <c r="P21" s="9">
        <f t="shared" si="11"/>
        <v>18</v>
      </c>
      <c r="Q21" s="62">
        <v>757</v>
      </c>
      <c r="R21" s="63">
        <f t="shared" si="5"/>
        <v>27.476882430647294</v>
      </c>
    </row>
    <row r="22" spans="1:25" x14ac:dyDescent="0.25">
      <c r="A22" s="57">
        <v>43665</v>
      </c>
      <c r="B22" s="76">
        <v>268500</v>
      </c>
      <c r="C22" s="58">
        <f t="shared" si="6"/>
        <v>410240</v>
      </c>
      <c r="D22" s="58">
        <f>[1]DSR!F29</f>
        <v>410240</v>
      </c>
      <c r="E22" s="58">
        <f t="shared" si="0"/>
        <v>354838.70967741933</v>
      </c>
      <c r="F22" s="7">
        <f t="shared" si="7"/>
        <v>1.1561309090909091</v>
      </c>
      <c r="G22" s="8">
        <f t="shared" si="1"/>
        <v>1.1561309090909091</v>
      </c>
      <c r="H22" s="58">
        <f>[1]DSR!G29</f>
        <v>1019</v>
      </c>
      <c r="I22" s="59">
        <f>97+171</f>
        <v>268</v>
      </c>
      <c r="J22" s="58">
        <f t="shared" si="8"/>
        <v>1530.7462686567164</v>
      </c>
      <c r="K22" s="60">
        <f t="shared" si="9"/>
        <v>3.8022388059701493</v>
      </c>
      <c r="L22" s="58">
        <f t="shared" si="10"/>
        <v>402.59077526987244</v>
      </c>
      <c r="M22" s="61">
        <f t="shared" si="2"/>
        <v>0.52789571694599624</v>
      </c>
      <c r="N22" s="58">
        <f t="shared" si="3"/>
        <v>268500</v>
      </c>
      <c r="O22" s="9">
        <f t="shared" si="4"/>
        <v>1</v>
      </c>
      <c r="P22" s="9">
        <f t="shared" si="11"/>
        <v>19</v>
      </c>
      <c r="Q22" s="62">
        <v>849</v>
      </c>
      <c r="R22" s="63">
        <f t="shared" si="5"/>
        <v>31.566548881036518</v>
      </c>
    </row>
    <row r="23" spans="1:25" x14ac:dyDescent="0.25">
      <c r="A23" s="57">
        <v>43666</v>
      </c>
      <c r="B23" s="76">
        <v>242040</v>
      </c>
      <c r="C23" s="58">
        <f t="shared" si="6"/>
        <v>658725</v>
      </c>
      <c r="D23" s="58">
        <f>[1]DSR!F30</f>
        <v>658725</v>
      </c>
      <c r="E23" s="58">
        <f t="shared" si="0"/>
        <v>354838.70967741933</v>
      </c>
      <c r="F23" s="7">
        <f t="shared" si="7"/>
        <v>1.8564068181818183</v>
      </c>
      <c r="G23" s="8">
        <f t="shared" si="1"/>
        <v>1.8564068181818183</v>
      </c>
      <c r="H23" s="58">
        <f>[1]DSR!G30</f>
        <v>1436</v>
      </c>
      <c r="I23" s="59">
        <f>153+261</f>
        <v>414</v>
      </c>
      <c r="J23" s="58">
        <f t="shared" si="8"/>
        <v>1591.123188405797</v>
      </c>
      <c r="K23" s="60">
        <f t="shared" si="9"/>
        <v>3.468599033816425</v>
      </c>
      <c r="L23" s="58">
        <f t="shared" si="10"/>
        <v>458.72214484679665</v>
      </c>
      <c r="M23" s="61">
        <f t="shared" si="2"/>
        <v>1.7215542885473476</v>
      </c>
      <c r="N23" s="58">
        <f t="shared" si="3"/>
        <v>242040</v>
      </c>
      <c r="O23" s="9">
        <f t="shared" si="4"/>
        <v>1</v>
      </c>
      <c r="P23" s="9">
        <f t="shared" si="11"/>
        <v>20</v>
      </c>
      <c r="Q23" s="62">
        <v>1153</v>
      </c>
      <c r="R23" s="63">
        <f t="shared" si="5"/>
        <v>35.906331309627063</v>
      </c>
    </row>
    <row r="24" spans="1:25" x14ac:dyDescent="0.25">
      <c r="A24" s="57">
        <v>43667</v>
      </c>
      <c r="B24" s="76">
        <v>381020</v>
      </c>
      <c r="C24" s="58">
        <f t="shared" si="6"/>
        <v>530720</v>
      </c>
      <c r="D24" s="58">
        <f>[1]DSR!F31</f>
        <v>530720</v>
      </c>
      <c r="E24" s="58">
        <f t="shared" si="0"/>
        <v>354838.70967741933</v>
      </c>
      <c r="F24" s="7">
        <f t="shared" si="7"/>
        <v>1.4956654545454546</v>
      </c>
      <c r="G24" s="8">
        <f t="shared" si="1"/>
        <v>1.4956654545454546</v>
      </c>
      <c r="H24" s="58">
        <f>[1]DSR!G31</f>
        <v>1102</v>
      </c>
      <c r="I24" s="59">
        <f>177+185</f>
        <v>362</v>
      </c>
      <c r="J24" s="58">
        <f t="shared" si="8"/>
        <v>1466.0773480662983</v>
      </c>
      <c r="K24" s="60">
        <f t="shared" si="9"/>
        <v>3.0441988950276242</v>
      </c>
      <c r="L24" s="58">
        <f t="shared" si="10"/>
        <v>481.59709618874774</v>
      </c>
      <c r="M24" s="61">
        <f t="shared" si="2"/>
        <v>0.39289276153482755</v>
      </c>
      <c r="N24" s="58">
        <f t="shared" si="3"/>
        <v>381020</v>
      </c>
      <c r="O24" s="9">
        <f t="shared" si="4"/>
        <v>1</v>
      </c>
      <c r="P24" s="9">
        <f t="shared" si="11"/>
        <v>21</v>
      </c>
      <c r="Q24" s="62">
        <v>1096</v>
      </c>
      <c r="R24" s="63">
        <f t="shared" si="5"/>
        <v>33.029197080291972</v>
      </c>
    </row>
    <row r="25" spans="1:25" x14ac:dyDescent="0.25">
      <c r="A25" s="57">
        <v>43668</v>
      </c>
      <c r="B25" s="76">
        <v>299960</v>
      </c>
      <c r="C25" s="58">
        <f t="shared" si="6"/>
        <v>244330</v>
      </c>
      <c r="D25" s="58">
        <f>[1]DSR!F32</f>
        <v>244330</v>
      </c>
      <c r="E25" s="58">
        <f t="shared" si="0"/>
        <v>354838.70967741933</v>
      </c>
      <c r="F25" s="7">
        <f t="shared" si="7"/>
        <v>0.6885663636363637</v>
      </c>
      <c r="G25" s="8">
        <f t="shared" si="1"/>
        <v>0.6885663636363637</v>
      </c>
      <c r="H25" s="58">
        <f>[1]DSR!G32</f>
        <v>532</v>
      </c>
      <c r="I25" s="59">
        <f>149+35</f>
        <v>184</v>
      </c>
      <c r="J25" s="58">
        <f t="shared" si="8"/>
        <v>1327.8804347826087</v>
      </c>
      <c r="K25" s="60">
        <f t="shared" si="9"/>
        <v>2.8913043478260869</v>
      </c>
      <c r="L25" s="58">
        <f t="shared" si="10"/>
        <v>459.26691729323306</v>
      </c>
      <c r="M25" s="61">
        <f t="shared" si="2"/>
        <v>-0.18545806107480997</v>
      </c>
      <c r="N25" s="58">
        <f t="shared" si="3"/>
        <v>299960</v>
      </c>
      <c r="O25" s="9">
        <f t="shared" si="4"/>
        <v>1</v>
      </c>
      <c r="P25" s="9">
        <f t="shared" si="11"/>
        <v>22</v>
      </c>
      <c r="Q25" s="62">
        <v>596</v>
      </c>
      <c r="R25" s="63">
        <f t="shared" si="5"/>
        <v>30.872483221476511</v>
      </c>
    </row>
    <row r="26" spans="1:25" x14ac:dyDescent="0.25">
      <c r="A26" s="57">
        <v>43669</v>
      </c>
      <c r="B26" s="76">
        <v>223940</v>
      </c>
      <c r="C26" s="58">
        <f t="shared" si="6"/>
        <v>319085</v>
      </c>
      <c r="D26" s="58">
        <f>[1]DSR!F33</f>
        <v>319085</v>
      </c>
      <c r="E26" s="58">
        <f t="shared" si="0"/>
        <v>354838.70967741933</v>
      </c>
      <c r="F26" s="7">
        <f t="shared" si="7"/>
        <v>0.89923954545454554</v>
      </c>
      <c r="G26" s="8">
        <f t="shared" si="1"/>
        <v>0.89923954545454554</v>
      </c>
      <c r="H26" s="58">
        <f>[1]DSR!G33</f>
        <v>724</v>
      </c>
      <c r="I26" s="59">
        <f>166+44</f>
        <v>210</v>
      </c>
      <c r="J26" s="58">
        <f t="shared" si="8"/>
        <v>1519.452380952381</v>
      </c>
      <c r="K26" s="60">
        <f t="shared" si="9"/>
        <v>3.4476190476190478</v>
      </c>
      <c r="L26" s="58">
        <f t="shared" si="10"/>
        <v>440.72513812154693</v>
      </c>
      <c r="M26" s="61">
        <f t="shared" si="2"/>
        <v>0.4248682682861481</v>
      </c>
      <c r="N26" s="58">
        <f t="shared" si="3"/>
        <v>223940</v>
      </c>
      <c r="O26" s="9">
        <f t="shared" si="4"/>
        <v>1</v>
      </c>
      <c r="P26" s="9">
        <f t="shared" si="11"/>
        <v>23</v>
      </c>
      <c r="Q26" s="62">
        <v>627</v>
      </c>
      <c r="R26" s="63">
        <f t="shared" si="5"/>
        <v>33.492822966507177</v>
      </c>
    </row>
    <row r="27" spans="1:25" ht="14.25" customHeight="1" x14ac:dyDescent="0.25">
      <c r="A27" s="57">
        <v>43670</v>
      </c>
      <c r="B27" s="76">
        <v>233940</v>
      </c>
      <c r="C27" s="58">
        <f t="shared" si="6"/>
        <v>272685</v>
      </c>
      <c r="D27" s="58">
        <f>[1]DSR!F34</f>
        <v>272685</v>
      </c>
      <c r="E27" s="58">
        <f t="shared" si="0"/>
        <v>354838.70967741933</v>
      </c>
      <c r="F27" s="7">
        <f t="shared" si="7"/>
        <v>0.76847590909090913</v>
      </c>
      <c r="G27" s="8">
        <f t="shared" si="1"/>
        <v>0.76847590909090913</v>
      </c>
      <c r="H27" s="58">
        <f>[1]DSR!G34</f>
        <v>544</v>
      </c>
      <c r="I27" s="59">
        <f>123+48</f>
        <v>171</v>
      </c>
      <c r="J27" s="58">
        <f t="shared" si="8"/>
        <v>1594.6491228070176</v>
      </c>
      <c r="K27" s="60">
        <f t="shared" si="9"/>
        <v>3.1812865497076022</v>
      </c>
      <c r="L27" s="58">
        <f t="shared" si="10"/>
        <v>501.25919117647061</v>
      </c>
      <c r="M27" s="61">
        <f t="shared" si="2"/>
        <v>0.16561938958707362</v>
      </c>
      <c r="N27" s="58">
        <f t="shared" si="3"/>
        <v>233940</v>
      </c>
      <c r="O27" s="9">
        <f t="shared" si="4"/>
        <v>1</v>
      </c>
      <c r="P27" s="9">
        <f t="shared" si="11"/>
        <v>24</v>
      </c>
      <c r="Q27" s="62">
        <v>437</v>
      </c>
      <c r="R27" s="63">
        <f t="shared" si="5"/>
        <v>39.130434782608695</v>
      </c>
    </row>
    <row r="28" spans="1:25" x14ac:dyDescent="0.25">
      <c r="A28" s="57">
        <v>43671</v>
      </c>
      <c r="B28" s="76">
        <v>87510</v>
      </c>
      <c r="C28" s="58">
        <f t="shared" si="6"/>
        <v>249455</v>
      </c>
      <c r="D28" s="58">
        <f>[1]DSR!F35</f>
        <v>249455</v>
      </c>
      <c r="E28" s="58">
        <f t="shared" si="0"/>
        <v>354838.70967741933</v>
      </c>
      <c r="F28" s="7">
        <f t="shared" si="7"/>
        <v>0.70300954545454553</v>
      </c>
      <c r="G28" s="8">
        <f t="shared" si="1"/>
        <v>0.70300954545454553</v>
      </c>
      <c r="H28" s="58">
        <f>[1]DSR!G35</f>
        <v>466</v>
      </c>
      <c r="I28" s="59">
        <v>154</v>
      </c>
      <c r="J28" s="58">
        <f t="shared" si="8"/>
        <v>1619.8376623376623</v>
      </c>
      <c r="K28" s="60">
        <f t="shared" si="9"/>
        <v>3.0259740259740258</v>
      </c>
      <c r="L28" s="58">
        <f t="shared" si="10"/>
        <v>535.31115879828326</v>
      </c>
      <c r="M28" s="61">
        <f t="shared" si="2"/>
        <v>1.850588504170952</v>
      </c>
      <c r="N28" s="58">
        <f t="shared" si="3"/>
        <v>87510</v>
      </c>
      <c r="O28" s="9">
        <f t="shared" si="4"/>
        <v>1</v>
      </c>
      <c r="P28" s="9">
        <f t="shared" si="11"/>
        <v>25</v>
      </c>
      <c r="Q28" s="62">
        <v>489</v>
      </c>
      <c r="R28" s="63">
        <f t="shared" si="5"/>
        <v>31.492842535787318</v>
      </c>
    </row>
    <row r="29" spans="1:25" x14ac:dyDescent="0.25">
      <c r="A29" s="57">
        <v>43672</v>
      </c>
      <c r="B29" s="76">
        <v>190500</v>
      </c>
      <c r="C29" s="58">
        <f t="shared" si="6"/>
        <v>302040</v>
      </c>
      <c r="D29" s="58">
        <f>[1]DSR!F36</f>
        <v>302040</v>
      </c>
      <c r="E29" s="58">
        <f t="shared" si="0"/>
        <v>354838.70967741933</v>
      </c>
      <c r="F29" s="7">
        <f t="shared" si="7"/>
        <v>0.85120363636363638</v>
      </c>
      <c r="G29" s="8">
        <f t="shared" si="1"/>
        <v>0.85120363636363638</v>
      </c>
      <c r="H29" s="58">
        <f>[1]DSR!G36</f>
        <v>512</v>
      </c>
      <c r="I29" s="59">
        <v>167</v>
      </c>
      <c r="J29" s="58">
        <f t="shared" si="8"/>
        <v>1808.622754491018</v>
      </c>
      <c r="K29" s="60">
        <f t="shared" si="9"/>
        <v>3.0658682634730541</v>
      </c>
      <c r="L29" s="58">
        <f t="shared" si="10"/>
        <v>589.921875</v>
      </c>
      <c r="M29" s="61">
        <f t="shared" si="2"/>
        <v>0.58551181102362204</v>
      </c>
      <c r="N29" s="58">
        <f t="shared" si="3"/>
        <v>190500</v>
      </c>
      <c r="O29" s="9">
        <f t="shared" si="4"/>
        <v>1</v>
      </c>
      <c r="P29" s="9">
        <f t="shared" si="11"/>
        <v>26</v>
      </c>
      <c r="Q29" s="62">
        <v>504</v>
      </c>
      <c r="R29" s="63">
        <f t="shared" si="5"/>
        <v>33.134920634920633</v>
      </c>
    </row>
    <row r="30" spans="1:25" x14ac:dyDescent="0.25">
      <c r="A30" s="57">
        <v>43673</v>
      </c>
      <c r="B30" s="76">
        <v>253180</v>
      </c>
      <c r="C30" s="58">
        <f t="shared" si="6"/>
        <v>513240</v>
      </c>
      <c r="D30" s="58">
        <f>[1]DSR!F37</f>
        <v>513240</v>
      </c>
      <c r="E30" s="58">
        <f t="shared" si="0"/>
        <v>354838.70967741933</v>
      </c>
      <c r="F30" s="7">
        <f t="shared" si="7"/>
        <v>1.4464036363636366</v>
      </c>
      <c r="G30" s="8">
        <f t="shared" si="1"/>
        <v>1.4464036363636366</v>
      </c>
      <c r="H30" s="58">
        <f>[1]DSR!G37</f>
        <v>885</v>
      </c>
      <c r="I30" s="59">
        <f>240+44</f>
        <v>284</v>
      </c>
      <c r="J30" s="58">
        <f t="shared" si="8"/>
        <v>1807.1830985915492</v>
      </c>
      <c r="K30" s="60">
        <f t="shared" si="9"/>
        <v>3.1161971830985915</v>
      </c>
      <c r="L30" s="58">
        <f t="shared" si="10"/>
        <v>579.93220338983053</v>
      </c>
      <c r="M30" s="61">
        <f t="shared" si="2"/>
        <v>1.0271743423651156</v>
      </c>
      <c r="N30" s="58">
        <f t="shared" si="3"/>
        <v>253180</v>
      </c>
      <c r="O30" s="9">
        <f t="shared" si="4"/>
        <v>1</v>
      </c>
      <c r="P30" s="9">
        <f t="shared" si="11"/>
        <v>27</v>
      </c>
      <c r="Q30" s="62">
        <v>977</v>
      </c>
      <c r="R30" s="63">
        <f t="shared" si="5"/>
        <v>29.068577277379731</v>
      </c>
    </row>
    <row r="31" spans="1:25" x14ac:dyDescent="0.25">
      <c r="A31" s="57">
        <v>43674</v>
      </c>
      <c r="B31" s="76">
        <v>470620</v>
      </c>
      <c r="C31" s="58">
        <f t="shared" si="6"/>
        <v>463985</v>
      </c>
      <c r="D31" s="58">
        <f>[1]DSR!F38</f>
        <v>463985</v>
      </c>
      <c r="E31" s="58">
        <f t="shared" si="0"/>
        <v>354838.70967741933</v>
      </c>
      <c r="F31" s="7">
        <f t="shared" si="7"/>
        <v>1.3075940909090911</v>
      </c>
      <c r="G31" s="8">
        <f t="shared" si="1"/>
        <v>1.3075940909090911</v>
      </c>
      <c r="H31" s="58">
        <f>[1]DSR!G38</f>
        <v>693</v>
      </c>
      <c r="I31" s="59">
        <f>109+139</f>
        <v>248</v>
      </c>
      <c r="J31" s="58">
        <f t="shared" si="8"/>
        <v>1870.9072580645161</v>
      </c>
      <c r="K31" s="60">
        <f t="shared" si="9"/>
        <v>2.7943548387096775</v>
      </c>
      <c r="L31" s="58">
        <f t="shared" si="10"/>
        <v>669.53102453102451</v>
      </c>
      <c r="M31" s="61">
        <f t="shared" si="2"/>
        <v>-1.4098423356423442E-2</v>
      </c>
      <c r="N31" s="58">
        <f t="shared" si="3"/>
        <v>470620</v>
      </c>
      <c r="O31" s="9">
        <f t="shared" si="4"/>
        <v>1</v>
      </c>
      <c r="P31" s="9">
        <f t="shared" si="11"/>
        <v>28</v>
      </c>
      <c r="Q31" s="62">
        <v>703</v>
      </c>
      <c r="R31" s="63">
        <f t="shared" si="5"/>
        <v>35.277382645803698</v>
      </c>
      <c r="T31" s="14"/>
    </row>
    <row r="32" spans="1:25" x14ac:dyDescent="0.25">
      <c r="A32" s="57">
        <v>43675</v>
      </c>
      <c r="B32" s="76">
        <v>438840</v>
      </c>
      <c r="C32" s="58">
        <f t="shared" si="6"/>
        <v>70630</v>
      </c>
      <c r="D32" s="58">
        <f>[1]DSR!F39</f>
        <v>70630</v>
      </c>
      <c r="E32" s="58">
        <f t="shared" si="0"/>
        <v>354838.70967741933</v>
      </c>
      <c r="F32" s="7">
        <f t="shared" si="7"/>
        <v>0.19904818181818182</v>
      </c>
      <c r="G32" s="8">
        <f t="shared" si="1"/>
        <v>0.19904818181818182</v>
      </c>
      <c r="H32" s="58">
        <f>[1]DSR!G39</f>
        <v>100</v>
      </c>
      <c r="I32" s="59">
        <v>38</v>
      </c>
      <c r="J32" s="58">
        <f t="shared" si="8"/>
        <v>1858.6842105263158</v>
      </c>
      <c r="K32" s="60">
        <f t="shared" si="9"/>
        <v>2.6315789473684212</v>
      </c>
      <c r="L32" s="58">
        <f t="shared" si="10"/>
        <v>706.3</v>
      </c>
      <c r="M32" s="61">
        <f t="shared" si="2"/>
        <v>-0.83905295779783062</v>
      </c>
      <c r="N32" s="58">
        <f t="shared" si="3"/>
        <v>438840</v>
      </c>
      <c r="O32" s="9">
        <f t="shared" si="4"/>
        <v>1</v>
      </c>
      <c r="P32" s="9">
        <f t="shared" si="11"/>
        <v>29</v>
      </c>
      <c r="Q32" s="62">
        <v>107</v>
      </c>
      <c r="R32" s="63">
        <f t="shared" si="5"/>
        <v>35.514018691588781</v>
      </c>
    </row>
    <row r="33" spans="1:18" x14ac:dyDescent="0.25">
      <c r="A33" s="57">
        <v>43676</v>
      </c>
      <c r="B33" s="76">
        <v>293240</v>
      </c>
      <c r="C33" s="58">
        <f t="shared" si="6"/>
        <v>215620</v>
      </c>
      <c r="D33" s="58">
        <f>[1]DSR!F40</f>
        <v>215620</v>
      </c>
      <c r="E33" s="58">
        <f t="shared" si="0"/>
        <v>354838.70967741933</v>
      </c>
      <c r="F33" s="7">
        <f t="shared" si="7"/>
        <v>0.60765636363636366</v>
      </c>
      <c r="G33" s="8">
        <f t="shared" si="1"/>
        <v>0.60765636363636366</v>
      </c>
      <c r="H33" s="58">
        <f>[1]DSR!G40</f>
        <v>389</v>
      </c>
      <c r="I33" s="59">
        <v>111</v>
      </c>
      <c r="J33" s="58">
        <f t="shared" si="8"/>
        <v>1942.5225225225224</v>
      </c>
      <c r="K33" s="60">
        <f t="shared" si="9"/>
        <v>3.5045045045045047</v>
      </c>
      <c r="L33" s="58">
        <f t="shared" si="10"/>
        <v>554.29305912596396</v>
      </c>
      <c r="M33" s="61">
        <f t="shared" si="2"/>
        <v>-0.26469785840949395</v>
      </c>
      <c r="N33" s="58">
        <f t="shared" si="3"/>
        <v>293240</v>
      </c>
      <c r="O33" s="9">
        <f t="shared" si="4"/>
        <v>1</v>
      </c>
      <c r="P33" s="9">
        <f t="shared" si="11"/>
        <v>30</v>
      </c>
      <c r="Q33" s="62">
        <v>316</v>
      </c>
      <c r="R33" s="63">
        <f t="shared" si="5"/>
        <v>35.12658227848101</v>
      </c>
    </row>
    <row r="34" spans="1:18" x14ac:dyDescent="0.25">
      <c r="A34" s="57">
        <v>43677</v>
      </c>
      <c r="B34" s="64">
        <v>202260</v>
      </c>
      <c r="C34" s="58">
        <f t="shared" si="6"/>
        <v>284875</v>
      </c>
      <c r="D34" s="58">
        <f>[1]DSR!F41</f>
        <v>284875</v>
      </c>
      <c r="E34" s="58">
        <f t="shared" si="0"/>
        <v>354838.70967741933</v>
      </c>
      <c r="F34" s="7">
        <f t="shared" si="7"/>
        <v>0.80282954545454555</v>
      </c>
      <c r="G34" s="8">
        <f t="shared" si="1"/>
        <v>0.80282954545454555</v>
      </c>
      <c r="H34" s="58">
        <f>[1]DSR!G41</f>
        <v>497</v>
      </c>
      <c r="I34" s="59">
        <f>114+68</f>
        <v>182</v>
      </c>
      <c r="J34" s="58">
        <f t="shared" si="8"/>
        <v>1565.2472527472528</v>
      </c>
      <c r="K34" s="60">
        <f t="shared" si="9"/>
        <v>2.7307692307692308</v>
      </c>
      <c r="L34" s="58">
        <f t="shared" si="10"/>
        <v>573.18913480885317</v>
      </c>
      <c r="M34" s="61">
        <f t="shared" si="2"/>
        <v>0.40845940868189456</v>
      </c>
      <c r="N34" s="58">
        <f t="shared" si="3"/>
        <v>202260</v>
      </c>
      <c r="O34" s="9">
        <f t="shared" si="4"/>
        <v>1</v>
      </c>
      <c r="P34" s="9">
        <f t="shared" si="11"/>
        <v>31</v>
      </c>
      <c r="Q34" s="62">
        <v>529</v>
      </c>
      <c r="R34" s="63">
        <f t="shared" si="5"/>
        <v>34.404536862003781</v>
      </c>
    </row>
    <row r="35" spans="1:18" ht="16.5" thickBot="1" x14ac:dyDescent="0.3">
      <c r="A35" s="65"/>
      <c r="B35" s="66">
        <f>SUM(B4:B34)</f>
        <v>9530710</v>
      </c>
      <c r="C35" s="66">
        <f>SUBTOTAL(9,C4:C34)</f>
        <v>11664205</v>
      </c>
      <c r="D35" s="66">
        <f>SUBTOTAL(9,D4:D34)</f>
        <v>11664205</v>
      </c>
      <c r="E35" s="66">
        <f>SUBTOTAL(9,E4:E34)</f>
        <v>10999999.999999996</v>
      </c>
      <c r="F35" s="67"/>
      <c r="G35" s="67">
        <f>IFERROR(AVERAGE(G4:G34),0)</f>
        <v>1.0603822727272727</v>
      </c>
      <c r="H35" s="66">
        <f>SUBTOTAL(9,H4:H34)</f>
        <v>23028</v>
      </c>
      <c r="I35" s="66">
        <f>SUBTOTAL(9,I4:I34)</f>
        <v>7514</v>
      </c>
      <c r="J35" s="66">
        <f>IFERROR((D35/I35),0)</f>
        <v>1552.3296513175405</v>
      </c>
      <c r="K35" s="68">
        <f>IFERROR((H35/I35),0)</f>
        <v>3.0646792653713071</v>
      </c>
      <c r="L35" s="69">
        <f>D35/H35</f>
        <v>506.52271148167449</v>
      </c>
      <c r="M35" s="70">
        <f>IFERROR(((D35-N35)/N35),0)</f>
        <v>0.22385478101841311</v>
      </c>
      <c r="N35" s="71">
        <f>SUM(N4:N34)</f>
        <v>9530710</v>
      </c>
      <c r="O35" s="72">
        <f>SUM(O4:O34)</f>
        <v>31</v>
      </c>
      <c r="P35" s="73">
        <f>P34</f>
        <v>31</v>
      </c>
      <c r="Q35" s="74">
        <f>SUM(Q4:Q34)</f>
        <v>20332</v>
      </c>
      <c r="R35" s="75">
        <f>I35/Q35*100</f>
        <v>36.95652173913043</v>
      </c>
    </row>
    <row r="36" spans="1:18" x14ac:dyDescent="0.25">
      <c r="D36" s="15">
        <f>D35/31</f>
        <v>376264.67741935485</v>
      </c>
    </row>
    <row r="37" spans="1:18" x14ac:dyDescent="0.25">
      <c r="D37" s="16">
        <f>31*D36</f>
        <v>11664205</v>
      </c>
    </row>
    <row r="38" spans="1:18" ht="15.75" thickBot="1" x14ac:dyDescent="0.3">
      <c r="D38" s="17">
        <f>D37/U5*100%</f>
        <v>1.0603822727272727</v>
      </c>
    </row>
  </sheetData>
  <protectedRanges>
    <protectedRange sqref="A4:A34" name="Sales Value_1_1"/>
    <protectedRange sqref="B4:B34" name="Sales Value_2_1"/>
  </protectedRanges>
  <mergeCells count="34">
    <mergeCell ref="U19:V19"/>
    <mergeCell ref="U16:V16"/>
    <mergeCell ref="U17:V17"/>
    <mergeCell ref="U18:V18"/>
    <mergeCell ref="U10:V10"/>
    <mergeCell ref="U11:V11"/>
    <mergeCell ref="U12:V12"/>
    <mergeCell ref="U13:V13"/>
    <mergeCell ref="U14:V14"/>
    <mergeCell ref="U15:V15"/>
    <mergeCell ref="U9:V9"/>
    <mergeCell ref="M2:M3"/>
    <mergeCell ref="N2:N3"/>
    <mergeCell ref="O2:O3"/>
    <mergeCell ref="P2:P3"/>
    <mergeCell ref="Q2:Q3"/>
    <mergeCell ref="R2:R3"/>
    <mergeCell ref="T2:T3"/>
    <mergeCell ref="U4:V4"/>
    <mergeCell ref="U5:V5"/>
    <mergeCell ref="U6:V6"/>
    <mergeCell ref="U8:V8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M4:N35">
    <cfRule type="cellIs" dxfId="63" priority="5" operator="lessThan">
      <formula>0</formula>
    </cfRule>
  </conditionalFormatting>
  <conditionalFormatting sqref="U12:V12">
    <cfRule type="cellIs" dxfId="62" priority="4" operator="lessThan">
      <formula>0</formula>
    </cfRule>
  </conditionalFormatting>
  <conditionalFormatting sqref="G35">
    <cfRule type="cellIs" dxfId="61" priority="3" operator="lessThan">
      <formula>1</formula>
    </cfRule>
  </conditionalFormatting>
  <conditionalFormatting sqref="U15">
    <cfRule type="cellIs" dxfId="60" priority="2" operator="lessThan">
      <formula>0</formula>
    </cfRule>
  </conditionalFormatting>
  <conditionalFormatting sqref="G4:G34">
    <cfRule type="cellIs" dxfId="5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68</v>
      </c>
      <c r="C2" s="82" t="s">
        <v>1</v>
      </c>
      <c r="D2" s="86" t="s">
        <v>79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43922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43951</v>
      </c>
    </row>
    <row r="4" spans="1:22" ht="16.5" thickBot="1" x14ac:dyDescent="0.3">
      <c r="A4" s="57">
        <v>43922</v>
      </c>
      <c r="B4" s="76">
        <v>301015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30</v>
      </c>
      <c r="V4" s="98"/>
    </row>
    <row r="5" spans="1:22" ht="16.5" thickBot="1" x14ac:dyDescent="0.3">
      <c r="A5" s="57">
        <v>43923</v>
      </c>
      <c r="B5" s="76">
        <v>344370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43924</v>
      </c>
      <c r="B6" s="76">
        <v>360105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43925</v>
      </c>
      <c r="B7" s="76">
        <v>441455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43926</v>
      </c>
      <c r="B8" s="76">
        <v>411890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43927</v>
      </c>
      <c r="B9" s="76">
        <v>838660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43928</v>
      </c>
      <c r="B10" s="76">
        <v>716260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-1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43929</v>
      </c>
      <c r="B11" s="76">
        <v>228650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43930</v>
      </c>
      <c r="B12" s="76">
        <v>297415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43931</v>
      </c>
      <c r="B13" s="76">
        <v>258350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43932</v>
      </c>
      <c r="B14" s="76">
        <v>358090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43933</v>
      </c>
      <c r="B15" s="76">
        <v>434085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43934</v>
      </c>
      <c r="B16" s="76">
        <v>681495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43935</v>
      </c>
      <c r="B17" s="76">
        <v>703685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43936</v>
      </c>
      <c r="B18" s="76">
        <v>204970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43937</v>
      </c>
      <c r="B19" s="76">
        <v>275595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43938</v>
      </c>
      <c r="B20" s="76">
        <v>295210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43939</v>
      </c>
      <c r="B21" s="76">
        <v>314505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43940</v>
      </c>
      <c r="B22" s="76">
        <v>479420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43941</v>
      </c>
      <c r="B23" s="76">
        <v>388575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43942</v>
      </c>
      <c r="B24" s="76">
        <v>482295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43943</v>
      </c>
      <c r="B25" s="76">
        <v>228390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43944</v>
      </c>
      <c r="B26" s="76">
        <v>233230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43945</v>
      </c>
      <c r="B27" s="76">
        <v>210985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43946</v>
      </c>
      <c r="B28" s="76">
        <v>302915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43947</v>
      </c>
      <c r="B29" s="76">
        <v>388850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43948</v>
      </c>
      <c r="B30" s="76">
        <v>744485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43949</v>
      </c>
      <c r="B31" s="76">
        <v>606440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43950</v>
      </c>
      <c r="B32" s="76">
        <v>204125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43951</v>
      </c>
      <c r="B33" s="76">
        <v>222930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/>
      <c r="B34" s="64"/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0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11958445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18" priority="5" operator="lessThan">
      <formula>0</formula>
    </cfRule>
  </conditionalFormatting>
  <conditionalFormatting sqref="U12:V12">
    <cfRule type="cellIs" dxfId="17" priority="4" operator="lessThan">
      <formula>0</formula>
    </cfRule>
  </conditionalFormatting>
  <conditionalFormatting sqref="G35">
    <cfRule type="cellIs" dxfId="16" priority="3" operator="lessThan">
      <formula>1</formula>
    </cfRule>
  </conditionalFormatting>
  <conditionalFormatting sqref="U15">
    <cfRule type="cellIs" dxfId="15" priority="2" operator="lessThan">
      <formula>0</formula>
    </cfRule>
  </conditionalFormatting>
  <conditionalFormatting sqref="G4:G34">
    <cfRule type="cellIs" dxfId="1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69</v>
      </c>
      <c r="C2" s="82" t="s">
        <v>1</v>
      </c>
      <c r="D2" s="86" t="s">
        <v>80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43952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43982</v>
      </c>
    </row>
    <row r="4" spans="1:22" ht="16.5" thickBot="1" x14ac:dyDescent="0.3">
      <c r="A4" s="57">
        <v>43952</v>
      </c>
      <c r="B4" s="76">
        <v>430815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31</v>
      </c>
      <c r="V4" s="98"/>
    </row>
    <row r="5" spans="1:22" ht="16.5" thickBot="1" x14ac:dyDescent="0.3">
      <c r="A5" s="57">
        <v>43953</v>
      </c>
      <c r="B5" s="76">
        <v>230165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43954</v>
      </c>
      <c r="B6" s="76">
        <v>508315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43955</v>
      </c>
      <c r="B7" s="76">
        <v>758715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43956</v>
      </c>
      <c r="B8" s="76">
        <v>750110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43957</v>
      </c>
      <c r="B9" s="76">
        <v>277535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43958</v>
      </c>
      <c r="B10" s="76">
        <v>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0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43959</v>
      </c>
      <c r="B11" s="76">
        <v>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0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43960</v>
      </c>
      <c r="B12" s="76">
        <v>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0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43961</v>
      </c>
      <c r="B13" s="76">
        <v>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0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43962</v>
      </c>
      <c r="B14" s="76">
        <v>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0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43963</v>
      </c>
      <c r="B15" s="76">
        <v>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0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43964</v>
      </c>
      <c r="B16" s="76">
        <v>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0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43965</v>
      </c>
      <c r="B17" s="76">
        <v>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0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43966</v>
      </c>
      <c r="B18" s="76">
        <v>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0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43967</v>
      </c>
      <c r="B19" s="76">
        <v>0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0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43968</v>
      </c>
      <c r="B20" s="76">
        <v>952765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43969</v>
      </c>
      <c r="B21" s="76">
        <v>1279705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43970</v>
      </c>
      <c r="B22" s="76">
        <v>1144600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43971</v>
      </c>
      <c r="B23" s="76">
        <v>757175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43972</v>
      </c>
      <c r="B24" s="76">
        <v>786230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43973</v>
      </c>
      <c r="B25" s="76">
        <v>819760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43974</v>
      </c>
      <c r="B26" s="76">
        <v>885830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43975</v>
      </c>
      <c r="B27" s="76">
        <v>1002055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43976</v>
      </c>
      <c r="B28" s="76">
        <v>1318180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43977</v>
      </c>
      <c r="B29" s="76">
        <v>1201260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43978</v>
      </c>
      <c r="B30" s="76">
        <v>851420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43979</v>
      </c>
      <c r="B31" s="76">
        <v>944735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43980</v>
      </c>
      <c r="B32" s="76">
        <v>1255895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43981</v>
      </c>
      <c r="B33" s="76">
        <v>1017390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>
        <v>43982</v>
      </c>
      <c r="B34" s="64">
        <v>911280</v>
      </c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-1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18083935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13" priority="5" operator="lessThan">
      <formula>0</formula>
    </cfRule>
  </conditionalFormatting>
  <conditionalFormatting sqref="U12:V12">
    <cfRule type="cellIs" dxfId="12" priority="4" operator="lessThan">
      <formula>0</formula>
    </cfRule>
  </conditionalFormatting>
  <conditionalFormatting sqref="G35">
    <cfRule type="cellIs" dxfId="11" priority="3" operator="lessThan">
      <formula>1</formula>
    </cfRule>
  </conditionalFormatting>
  <conditionalFormatting sqref="U15">
    <cfRule type="cellIs" dxfId="10" priority="2" operator="lessThan">
      <formula>0</formula>
    </cfRule>
  </conditionalFormatting>
  <conditionalFormatting sqref="G4:G34">
    <cfRule type="cellIs" dxfId="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70</v>
      </c>
      <c r="C2" s="82" t="s">
        <v>1</v>
      </c>
      <c r="D2" s="86" t="s">
        <v>81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43983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44012</v>
      </c>
    </row>
    <row r="4" spans="1:22" ht="16.5" thickBot="1" x14ac:dyDescent="0.3">
      <c r="A4" s="57">
        <v>43983</v>
      </c>
      <c r="B4" s="76">
        <v>1105635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30</v>
      </c>
      <c r="V4" s="98"/>
    </row>
    <row r="5" spans="1:22" ht="16.5" thickBot="1" x14ac:dyDescent="0.3">
      <c r="A5" s="57">
        <v>43984</v>
      </c>
      <c r="B5" s="76">
        <v>1417170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43985</v>
      </c>
      <c r="B6" s="76">
        <v>1090055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43986</v>
      </c>
      <c r="B7" s="76">
        <v>945850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43987</v>
      </c>
      <c r="B8" s="76">
        <v>72610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43988</v>
      </c>
      <c r="B9" s="76">
        <v>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0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43989</v>
      </c>
      <c r="B10" s="76">
        <v>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0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43990</v>
      </c>
      <c r="B11" s="76">
        <v>356505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43991</v>
      </c>
      <c r="B12" s="76">
        <v>333670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43992</v>
      </c>
      <c r="B13" s="76">
        <v>271030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43993</v>
      </c>
      <c r="B14" s="76">
        <v>264080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43994</v>
      </c>
      <c r="B15" s="76">
        <v>233720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43995</v>
      </c>
      <c r="B16" s="76">
        <v>353760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43996</v>
      </c>
      <c r="B17" s="76">
        <v>335410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43997</v>
      </c>
      <c r="B18" s="76">
        <v>613575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43998</v>
      </c>
      <c r="B19" s="76">
        <v>433205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43999</v>
      </c>
      <c r="B20" s="76">
        <v>347500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44000</v>
      </c>
      <c r="B21" s="76">
        <v>348490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44001</v>
      </c>
      <c r="B22" s="76">
        <v>428975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44002</v>
      </c>
      <c r="B23" s="76">
        <v>420690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44003</v>
      </c>
      <c r="B24" s="76">
        <v>406970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44004</v>
      </c>
      <c r="B25" s="76">
        <v>600570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44005</v>
      </c>
      <c r="B26" s="76">
        <v>406715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44006</v>
      </c>
      <c r="B27" s="76">
        <v>240270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44007</v>
      </c>
      <c r="B28" s="76">
        <v>287975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44008</v>
      </c>
      <c r="B29" s="76">
        <v>214735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44009</v>
      </c>
      <c r="B30" s="76">
        <v>267545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44010</v>
      </c>
      <c r="B31" s="76">
        <v>223070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44011</v>
      </c>
      <c r="B32" s="76">
        <v>398810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44012</v>
      </c>
      <c r="B33" s="76">
        <v>335465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/>
      <c r="B34" s="64"/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0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12754055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8" priority="5" operator="lessThan">
      <formula>0</formula>
    </cfRule>
  </conditionalFormatting>
  <conditionalFormatting sqref="U12:V12">
    <cfRule type="cellIs" dxfId="7" priority="4" operator="lessThan">
      <formula>0</formula>
    </cfRule>
  </conditionalFormatting>
  <conditionalFormatting sqref="G35">
    <cfRule type="cellIs" dxfId="6" priority="3" operator="lessThan">
      <formula>1</formula>
    </cfRule>
  </conditionalFormatting>
  <conditionalFormatting sqref="U15">
    <cfRule type="cellIs" dxfId="5" priority="2" operator="lessThan">
      <formula>0</formula>
    </cfRule>
  </conditionalFormatting>
  <conditionalFormatting sqref="G4:G34">
    <cfRule type="cellIs" dxfId="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Normal="100" workbookViewId="0">
      <selection activeCell="D8" sqref="D8"/>
    </sheetView>
  </sheetViews>
  <sheetFormatPr defaultRowHeight="16.5" x14ac:dyDescent="0.25"/>
  <cols>
    <col min="2" max="2" width="17.42578125" bestFit="1" customWidth="1"/>
    <col min="3" max="3" width="13.42578125" customWidth="1"/>
    <col min="4" max="4" width="12" customWidth="1"/>
    <col min="5" max="5" width="14" bestFit="1" customWidth="1"/>
    <col min="6" max="6" width="13.28515625" customWidth="1"/>
    <col min="7" max="7" width="11.7109375" bestFit="1" customWidth="1"/>
    <col min="9" max="9" width="9.85546875" customWidth="1"/>
    <col min="10" max="10" width="13.140625" customWidth="1"/>
    <col min="11" max="11" width="14.28515625" customWidth="1"/>
    <col min="12" max="12" width="13.28515625" customWidth="1"/>
    <col min="13" max="13" width="12.140625" style="18" bestFit="1" customWidth="1"/>
    <col min="14" max="14" width="9.140625" style="19"/>
  </cols>
  <sheetData>
    <row r="1" spans="2:14" ht="17.25" thickBot="1" x14ac:dyDescent="0.3"/>
    <row r="2" spans="2:14" ht="15" x14ac:dyDescent="0.25">
      <c r="B2" s="20" t="s">
        <v>28</v>
      </c>
      <c r="C2" s="21">
        <f>SUBTOTAL(9,C4:C15)</f>
        <v>134915884</v>
      </c>
      <c r="D2" s="21">
        <f>SUBTOTAL(9,D4:D15)</f>
        <v>41998055</v>
      </c>
      <c r="E2" s="21">
        <f>SUBTOTAL(9,E4:E15)</f>
        <v>65496</v>
      </c>
      <c r="F2" s="21">
        <f>SUBTOTAL(9,F4:F15)</f>
        <v>23913</v>
      </c>
      <c r="G2" s="21">
        <f>IFERROR((D2/F2),0)</f>
        <v>1756.2854932463513</v>
      </c>
      <c r="H2" s="22">
        <f>IFERROR((E2/F2),0)</f>
        <v>2.7389286162338475</v>
      </c>
      <c r="I2" s="21">
        <f>SUBTOTAL(9,I4:I15)</f>
        <v>119</v>
      </c>
      <c r="J2" s="21">
        <f>SUBTOTAL(9,J4:J15)</f>
        <v>50300000</v>
      </c>
      <c r="K2" s="23">
        <f>IFERROR((D2/J2),0)</f>
        <v>0.83495139165009935</v>
      </c>
      <c r="L2" s="21">
        <f>IFERROR((D2/I2),0)</f>
        <v>352924.83193277312</v>
      </c>
      <c r="M2" s="24">
        <f>IFERROR(((D2-C2)/C2),0)</f>
        <v>-0.6887093368487287</v>
      </c>
      <c r="N2" s="25"/>
    </row>
    <row r="3" spans="2:14" ht="25.5" customHeight="1" x14ac:dyDescent="0.25">
      <c r="B3" s="26" t="s">
        <v>29</v>
      </c>
      <c r="C3" s="27" t="s">
        <v>58</v>
      </c>
      <c r="D3" s="27" t="s">
        <v>58</v>
      </c>
      <c r="E3" s="28" t="s">
        <v>30</v>
      </c>
      <c r="F3" s="28" t="s">
        <v>5</v>
      </c>
      <c r="G3" s="28" t="s">
        <v>6</v>
      </c>
      <c r="H3" s="28" t="s">
        <v>7</v>
      </c>
      <c r="I3" s="27" t="s">
        <v>31</v>
      </c>
      <c r="J3" s="28" t="s">
        <v>32</v>
      </c>
      <c r="K3" s="28" t="s">
        <v>33</v>
      </c>
      <c r="L3" s="28" t="s">
        <v>34</v>
      </c>
      <c r="M3" s="28" t="s">
        <v>9</v>
      </c>
      <c r="N3" s="29" t="s">
        <v>35</v>
      </c>
    </row>
    <row r="4" spans="2:14" ht="15" x14ac:dyDescent="0.25">
      <c r="B4" s="30" t="s">
        <v>44</v>
      </c>
      <c r="C4" s="31">
        <f>'July-19 '!B35</f>
        <v>9530710</v>
      </c>
      <c r="D4" s="31">
        <f>'July-19 '!D35</f>
        <v>11664205</v>
      </c>
      <c r="E4" s="31">
        <f>'July-19 '!H35</f>
        <v>23028</v>
      </c>
      <c r="F4" s="31">
        <f>'July-19 '!I35</f>
        <v>7514</v>
      </c>
      <c r="G4" s="31">
        <f t="shared" ref="G4:G15" si="0">IFERROR((D4/F4),0)</f>
        <v>1552.3296513175405</v>
      </c>
      <c r="H4" s="32">
        <f t="shared" ref="H4:H15" si="1">IFERROR((E4/F4),0)</f>
        <v>3.0646792653713071</v>
      </c>
      <c r="I4" s="31">
        <v>31</v>
      </c>
      <c r="J4" s="31">
        <v>11000000</v>
      </c>
      <c r="K4" s="37">
        <f t="shared" ref="K4:K15" si="2">IFERROR((D4/J4),0)</f>
        <v>1.0603822727272727</v>
      </c>
      <c r="L4" s="34">
        <f>IFERROR((D4/I4),0)</f>
        <v>376264.67741935485</v>
      </c>
      <c r="M4" s="35">
        <f t="shared" ref="M4:M15" si="3">IFERROR(((D4-C4)/C4),0)</f>
        <v>0.22385478101841311</v>
      </c>
      <c r="N4" s="36" t="s">
        <v>37</v>
      </c>
    </row>
    <row r="5" spans="2:14" ht="15" x14ac:dyDescent="0.25">
      <c r="B5" s="30" t="s">
        <v>45</v>
      </c>
      <c r="C5" s="31">
        <f>'August-19 '!B35</f>
        <v>10916860</v>
      </c>
      <c r="D5" s="31">
        <f>'August-19 '!D35</f>
        <v>13380965</v>
      </c>
      <c r="E5" s="31">
        <f>'August-19 '!H35</f>
        <v>19693</v>
      </c>
      <c r="F5" s="31">
        <f>'August-19 '!I35</f>
        <v>7283</v>
      </c>
      <c r="G5" s="31">
        <f t="shared" si="0"/>
        <v>1837.2875188795826</v>
      </c>
      <c r="H5" s="32">
        <f t="shared" si="1"/>
        <v>2.7039681449951942</v>
      </c>
      <c r="I5" s="31">
        <v>29</v>
      </c>
      <c r="J5" s="31">
        <v>13300000</v>
      </c>
      <c r="K5" s="37">
        <f t="shared" si="2"/>
        <v>1.0060875939849625</v>
      </c>
      <c r="L5" s="34">
        <f t="shared" ref="L5:L15" si="4">IFERROR((D5/I5),0)</f>
        <v>461412.58620689658</v>
      </c>
      <c r="M5" s="35">
        <f t="shared" si="3"/>
        <v>0.22571554457966853</v>
      </c>
      <c r="N5" s="36" t="s">
        <v>37</v>
      </c>
    </row>
    <row r="6" spans="2:14" ht="15" x14ac:dyDescent="0.25">
      <c r="B6" s="30" t="s">
        <v>46</v>
      </c>
      <c r="C6" s="31">
        <f>'September-19 '!B35</f>
        <v>7574790</v>
      </c>
      <c r="D6" s="31">
        <f>'September-19 '!D35</f>
        <v>8502245</v>
      </c>
      <c r="E6" s="31">
        <f>'September-19 '!H35</f>
        <v>12250</v>
      </c>
      <c r="F6" s="31">
        <f>'September-19 '!I35</f>
        <v>4949</v>
      </c>
      <c r="G6" s="31">
        <f>'September-19 '!J35</f>
        <v>1717.9723176399273</v>
      </c>
      <c r="H6" s="32">
        <f>'September-19 '!K35</f>
        <v>2.4752475247524752</v>
      </c>
      <c r="I6" s="31">
        <v>28</v>
      </c>
      <c r="J6" s="31">
        <v>13000000</v>
      </c>
      <c r="K6" s="33">
        <f t="shared" si="2"/>
        <v>0.6540188461538462</v>
      </c>
      <c r="L6" s="34">
        <f t="shared" si="4"/>
        <v>303651.60714285716</v>
      </c>
      <c r="M6" s="35">
        <f t="shared" si="3"/>
        <v>0.12243969799822833</v>
      </c>
      <c r="N6" s="36" t="s">
        <v>37</v>
      </c>
    </row>
    <row r="7" spans="2:14" ht="15" x14ac:dyDescent="0.25">
      <c r="B7" s="30" t="s">
        <v>47</v>
      </c>
      <c r="C7" s="31">
        <f>'Oct-19 '!B35</f>
        <v>10888438</v>
      </c>
      <c r="D7" s="31">
        <f>'Oct-19 '!D35</f>
        <v>8450640</v>
      </c>
      <c r="E7" s="31">
        <f>'Oct-19 '!H35</f>
        <v>10525</v>
      </c>
      <c r="F7" s="31">
        <f>'Oct-19 '!I35</f>
        <v>4167</v>
      </c>
      <c r="G7" s="31">
        <f>'Oct-19 '!J35</f>
        <v>2027.9913606911448</v>
      </c>
      <c r="H7" s="32">
        <f>'August-19 '!K35</f>
        <v>2.7039681449951942</v>
      </c>
      <c r="I7" s="31">
        <v>31</v>
      </c>
      <c r="J7" s="31">
        <v>13000000</v>
      </c>
      <c r="K7" s="38">
        <f t="shared" si="2"/>
        <v>0.65004923076923082</v>
      </c>
      <c r="L7" s="34">
        <f t="shared" si="4"/>
        <v>272601.29032258067</v>
      </c>
      <c r="M7" s="35">
        <f t="shared" si="3"/>
        <v>-0.22388867898223785</v>
      </c>
      <c r="N7" s="36" t="s">
        <v>42</v>
      </c>
    </row>
    <row r="8" spans="2:14" ht="15" x14ac:dyDescent="0.25">
      <c r="B8" s="30" t="s">
        <v>48</v>
      </c>
      <c r="C8" s="31">
        <f>'Nov-19  '!B35</f>
        <v>12279180</v>
      </c>
      <c r="D8" s="31">
        <f>'Nov-19  '!D35</f>
        <v>0</v>
      </c>
      <c r="E8" s="31">
        <f>'Nov-19  '!H35</f>
        <v>0</v>
      </c>
      <c r="F8" s="31">
        <f>'Nov-19  '!I35</f>
        <v>0</v>
      </c>
      <c r="G8" s="31">
        <f t="shared" si="0"/>
        <v>0</v>
      </c>
      <c r="H8" s="32">
        <f t="shared" si="1"/>
        <v>0</v>
      </c>
      <c r="I8" s="31"/>
      <c r="J8" s="31"/>
      <c r="K8" s="39">
        <f t="shared" si="2"/>
        <v>0</v>
      </c>
      <c r="L8" s="34">
        <f t="shared" si="4"/>
        <v>0</v>
      </c>
      <c r="M8" s="35">
        <f t="shared" si="3"/>
        <v>-1</v>
      </c>
      <c r="N8" s="36" t="s">
        <v>42</v>
      </c>
    </row>
    <row r="9" spans="2:14" ht="15" x14ac:dyDescent="0.25">
      <c r="B9" s="30" t="s">
        <v>49</v>
      </c>
      <c r="C9" s="31">
        <f>'Dec-19  '!B35</f>
        <v>15091140</v>
      </c>
      <c r="D9" s="31">
        <f>'Dec-19  '!D35</f>
        <v>0</v>
      </c>
      <c r="E9" s="31">
        <f>'Dec-19  '!H35</f>
        <v>0</v>
      </c>
      <c r="F9" s="31">
        <f>'Dec-19  '!I35</f>
        <v>0</v>
      </c>
      <c r="G9" s="31">
        <f t="shared" si="0"/>
        <v>0</v>
      </c>
      <c r="H9" s="32">
        <f t="shared" si="1"/>
        <v>0</v>
      </c>
      <c r="I9" s="31"/>
      <c r="J9" s="31"/>
      <c r="K9" s="37">
        <f t="shared" si="2"/>
        <v>0</v>
      </c>
      <c r="L9" s="34">
        <f t="shared" si="4"/>
        <v>0</v>
      </c>
      <c r="M9" s="35">
        <f t="shared" si="3"/>
        <v>-1</v>
      </c>
      <c r="N9" s="36" t="s">
        <v>42</v>
      </c>
    </row>
    <row r="10" spans="2:14" ht="15" x14ac:dyDescent="0.25">
      <c r="B10" s="30" t="s">
        <v>36</v>
      </c>
      <c r="C10" s="31">
        <f>'Jan-20 '!B35</f>
        <v>10034680</v>
      </c>
      <c r="D10" s="31">
        <f>'Jan-20 '!D35</f>
        <v>0</v>
      </c>
      <c r="E10" s="31">
        <f>'Jan-20 '!H35</f>
        <v>0</v>
      </c>
      <c r="F10" s="31">
        <f>'Jan-20 '!I35</f>
        <v>0</v>
      </c>
      <c r="G10" s="31">
        <f t="shared" si="0"/>
        <v>0</v>
      </c>
      <c r="H10" s="32">
        <f t="shared" si="1"/>
        <v>0</v>
      </c>
      <c r="I10" s="31"/>
      <c r="J10" s="31"/>
      <c r="K10" s="33">
        <f t="shared" si="2"/>
        <v>0</v>
      </c>
      <c r="L10" s="34">
        <f t="shared" si="4"/>
        <v>0</v>
      </c>
      <c r="M10" s="35">
        <f t="shared" si="3"/>
        <v>-1</v>
      </c>
      <c r="N10" s="36" t="s">
        <v>50</v>
      </c>
    </row>
    <row r="11" spans="2:14" ht="15" x14ac:dyDescent="0.25">
      <c r="B11" s="30" t="s">
        <v>38</v>
      </c>
      <c r="C11" s="31">
        <f>'Feb-20  '!B35</f>
        <v>7883450</v>
      </c>
      <c r="D11" s="31">
        <f>'Feb-20  '!D35</f>
        <v>0</v>
      </c>
      <c r="E11" s="31">
        <f>'Feb-20  '!H35</f>
        <v>0</v>
      </c>
      <c r="F11" s="31">
        <f>'Feb-20  '!I35</f>
        <v>0</v>
      </c>
      <c r="G11" s="31">
        <f t="shared" si="0"/>
        <v>0</v>
      </c>
      <c r="H11" s="32">
        <f t="shared" si="1"/>
        <v>0</v>
      </c>
      <c r="I11" s="31"/>
      <c r="J11" s="31"/>
      <c r="K11" s="33">
        <f t="shared" si="2"/>
        <v>0</v>
      </c>
      <c r="L11" s="34">
        <f t="shared" si="4"/>
        <v>0</v>
      </c>
      <c r="M11" s="35">
        <f t="shared" si="3"/>
        <v>-1</v>
      </c>
      <c r="N11" s="36" t="s">
        <v>50</v>
      </c>
    </row>
    <row r="12" spans="2:14" ht="15" x14ac:dyDescent="0.25">
      <c r="B12" s="30" t="s">
        <v>39</v>
      </c>
      <c r="C12" s="31">
        <f>'Mar-20 '!B35</f>
        <v>14045691</v>
      </c>
      <c r="D12" s="31">
        <f>'Mar-20 '!D35</f>
        <v>0</v>
      </c>
      <c r="E12" s="31">
        <f>'Mar-20 '!H35</f>
        <v>0</v>
      </c>
      <c r="F12" s="31">
        <f>'Mar-20 '!I35</f>
        <v>0</v>
      </c>
      <c r="G12" s="31">
        <f t="shared" si="0"/>
        <v>0</v>
      </c>
      <c r="H12" s="32">
        <f>IFERROR((E12/F12),0)</f>
        <v>0</v>
      </c>
      <c r="I12" s="31"/>
      <c r="J12" s="31"/>
      <c r="K12" s="33">
        <f t="shared" si="2"/>
        <v>0</v>
      </c>
      <c r="L12" s="34">
        <f t="shared" si="4"/>
        <v>0</v>
      </c>
      <c r="M12" s="35">
        <f>IFERROR(((D12-C12)/C12),0)</f>
        <v>-1</v>
      </c>
      <c r="N12" s="36" t="s">
        <v>50</v>
      </c>
    </row>
    <row r="13" spans="2:14" ht="18" customHeight="1" x14ac:dyDescent="0.25">
      <c r="B13" s="30" t="s">
        <v>40</v>
      </c>
      <c r="C13" s="31">
        <f>'Apr-20 '!B35</f>
        <v>11958445</v>
      </c>
      <c r="D13" s="31">
        <f>'Apr-20 '!D35</f>
        <v>0</v>
      </c>
      <c r="E13" s="31">
        <f>'Apr-20 '!H35</f>
        <v>0</v>
      </c>
      <c r="F13" s="31">
        <f>'Apr-20 '!I35</f>
        <v>0</v>
      </c>
      <c r="G13" s="31">
        <f t="shared" si="0"/>
        <v>0</v>
      </c>
      <c r="H13" s="32">
        <f t="shared" si="1"/>
        <v>0</v>
      </c>
      <c r="I13" s="31"/>
      <c r="J13" s="31"/>
      <c r="K13" s="33">
        <f t="shared" si="2"/>
        <v>0</v>
      </c>
      <c r="L13" s="34">
        <f t="shared" si="4"/>
        <v>0</v>
      </c>
      <c r="M13" s="35">
        <f t="shared" si="3"/>
        <v>-1</v>
      </c>
      <c r="N13" s="36" t="s">
        <v>51</v>
      </c>
    </row>
    <row r="14" spans="2:14" ht="15" x14ac:dyDescent="0.25">
      <c r="B14" s="30" t="s">
        <v>41</v>
      </c>
      <c r="C14" s="31">
        <f>'Apr-20 '!B35</f>
        <v>11958445</v>
      </c>
      <c r="D14" s="31">
        <f>'Apr-20 '!D35</f>
        <v>0</v>
      </c>
      <c r="E14" s="31">
        <f>'Apr-20 '!H35</f>
        <v>0</v>
      </c>
      <c r="F14" s="31">
        <f>'Apr-20 '!I35</f>
        <v>0</v>
      </c>
      <c r="G14" s="31">
        <f t="shared" si="0"/>
        <v>0</v>
      </c>
      <c r="H14" s="32">
        <f t="shared" si="1"/>
        <v>0</v>
      </c>
      <c r="I14" s="31"/>
      <c r="J14" s="31"/>
      <c r="K14" s="33">
        <f t="shared" si="2"/>
        <v>0</v>
      </c>
      <c r="L14" s="34">
        <f t="shared" si="4"/>
        <v>0</v>
      </c>
      <c r="M14" s="35">
        <f t="shared" si="3"/>
        <v>-1</v>
      </c>
      <c r="N14" s="36" t="s">
        <v>51</v>
      </c>
    </row>
    <row r="15" spans="2:14" ht="15" x14ac:dyDescent="0.25">
      <c r="B15" s="30" t="s">
        <v>43</v>
      </c>
      <c r="C15" s="31">
        <f>'June-20 '!B35</f>
        <v>12754055</v>
      </c>
      <c r="D15" s="31">
        <f>'June-20 '!D35</f>
        <v>0</v>
      </c>
      <c r="E15" s="31">
        <f>'June-20 '!H35</f>
        <v>0</v>
      </c>
      <c r="F15" s="31">
        <f>'June-20 '!I35</f>
        <v>0</v>
      </c>
      <c r="G15" s="31">
        <f t="shared" si="0"/>
        <v>0</v>
      </c>
      <c r="H15" s="32">
        <f t="shared" si="1"/>
        <v>0</v>
      </c>
      <c r="I15" s="31"/>
      <c r="J15" s="31"/>
      <c r="K15" s="33">
        <f t="shared" si="2"/>
        <v>0</v>
      </c>
      <c r="L15" s="34">
        <f t="shared" si="4"/>
        <v>0</v>
      </c>
      <c r="M15" s="35">
        <f t="shared" si="3"/>
        <v>-1</v>
      </c>
      <c r="N15" s="36" t="s">
        <v>51</v>
      </c>
    </row>
    <row r="16" spans="2:14" ht="15.75" thickBot="1" x14ac:dyDescent="0.3">
      <c r="B16" s="40" t="s">
        <v>52</v>
      </c>
      <c r="C16" s="41">
        <f>SUM(C4:C15)</f>
        <v>134915884</v>
      </c>
      <c r="D16" s="41">
        <f>SUM(D4:D15)</f>
        <v>41998055</v>
      </c>
      <c r="E16" s="41">
        <f>SUM(E4:E15)</f>
        <v>65496</v>
      </c>
      <c r="F16" s="41">
        <f>SUM(F4:F15)</f>
        <v>23913</v>
      </c>
      <c r="G16" s="41">
        <f>IFERROR((D16/F16),0)</f>
        <v>1756.2854932463513</v>
      </c>
      <c r="H16" s="41">
        <f>IFERROR((E16/F16),0)</f>
        <v>2.7389286162338475</v>
      </c>
      <c r="I16" s="41">
        <f>SUM(I4:I15)</f>
        <v>119</v>
      </c>
      <c r="J16" s="41">
        <f>SUM(J4:J15)</f>
        <v>50300000</v>
      </c>
      <c r="K16" s="42">
        <f>IFERROR((D16/J16),0)</f>
        <v>0.83495139165009935</v>
      </c>
      <c r="L16" s="43">
        <f>IFERROR((D16/I16),0)</f>
        <v>352924.83193277312</v>
      </c>
      <c r="M16" s="44">
        <f>IFERROR(((D16-C16)/C16),0)</f>
        <v>-0.6887093368487287</v>
      </c>
      <c r="N16" s="45"/>
    </row>
    <row r="18" spans="5:11" ht="17.25" thickBot="1" x14ac:dyDescent="0.3"/>
    <row r="19" spans="5:11" x14ac:dyDescent="0.25">
      <c r="E19" s="46" t="s">
        <v>53</v>
      </c>
      <c r="F19" s="47" t="s">
        <v>32</v>
      </c>
      <c r="G19" s="48" t="s">
        <v>54</v>
      </c>
      <c r="J19" s="49"/>
      <c r="K19" s="49"/>
    </row>
    <row r="20" spans="5:11" x14ac:dyDescent="0.25">
      <c r="E20" s="50">
        <f>SUBTOTAL(9,D10)</f>
        <v>0</v>
      </c>
      <c r="F20" s="51">
        <v>17000000</v>
      </c>
      <c r="G20" s="52">
        <v>43101</v>
      </c>
      <c r="J20" s="53"/>
      <c r="K20" s="53"/>
    </row>
    <row r="21" spans="5:11" x14ac:dyDescent="0.25">
      <c r="E21" s="50">
        <f>SUBTOTAL(9,D11)</f>
        <v>0</v>
      </c>
      <c r="F21" s="51">
        <v>8000000</v>
      </c>
      <c r="G21" s="52">
        <v>43132</v>
      </c>
      <c r="J21" s="53"/>
      <c r="K21" s="53"/>
    </row>
    <row r="22" spans="5:11" x14ac:dyDescent="0.25">
      <c r="E22" s="50">
        <f>SUBTOTAL(9,D12)</f>
        <v>0</v>
      </c>
      <c r="F22" s="51">
        <v>6500000</v>
      </c>
      <c r="G22" s="52">
        <v>43160</v>
      </c>
      <c r="J22" s="53"/>
      <c r="K22" s="53"/>
    </row>
    <row r="23" spans="5:11" x14ac:dyDescent="0.25">
      <c r="E23" s="54"/>
      <c r="F23" s="51"/>
      <c r="G23" s="52">
        <v>43191</v>
      </c>
      <c r="J23" s="49"/>
      <c r="K23" s="53"/>
    </row>
    <row r="24" spans="5:11" x14ac:dyDescent="0.25">
      <c r="E24" s="54"/>
      <c r="F24" s="51"/>
      <c r="G24" s="52">
        <v>43221</v>
      </c>
      <c r="J24" s="49"/>
      <c r="K24" s="53"/>
    </row>
    <row r="25" spans="5:11" ht="17.25" thickBot="1" x14ac:dyDescent="0.3">
      <c r="E25" s="55">
        <f>FORECAST(F25,E20:E24,F20:F24)</f>
        <v>0</v>
      </c>
      <c r="F25" s="56">
        <f>SUBTOTAL(9,F20:F24)</f>
        <v>31500000</v>
      </c>
      <c r="G25" s="55">
        <f>FORECAST(F25,G20:G24,F20:F24)</f>
        <v>43028.930232558138</v>
      </c>
      <c r="J25" s="53"/>
      <c r="K25" s="53"/>
    </row>
    <row r="27" spans="5:11" x14ac:dyDescent="0.25">
      <c r="G27" t="s">
        <v>55</v>
      </c>
    </row>
    <row r="32" spans="5:11" ht="20.25" customHeight="1" x14ac:dyDescent="0.25"/>
  </sheetData>
  <conditionalFormatting sqref="M4:M16">
    <cfRule type="cellIs" dxfId="3" priority="6" operator="greaterThan">
      <formula>0</formula>
    </cfRule>
    <cfRule type="cellIs" dxfId="2" priority="7" operator="lessThan">
      <formula>0</formula>
    </cfRule>
  </conditionalFormatting>
  <conditionalFormatting sqref="K2 K4:K16">
    <cfRule type="cellIs" dxfId="1" priority="5" operator="lessThan">
      <formula>0</formula>
    </cfRule>
  </conditionalFormatting>
  <conditionalFormatting sqref="M2 M4:M16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" style="2" customWidth="1"/>
    <col min="14" max="14" width="12.140625" style="2" hidden="1" customWidth="1"/>
    <col min="15" max="15" width="7.7109375" style="2" hidden="1" customWidth="1"/>
    <col min="16" max="16" width="0.140625" style="2" hidden="1" customWidth="1"/>
    <col min="17" max="17" width="7.7109375" style="2" customWidth="1"/>
    <col min="18" max="18" width="10.28515625" style="2" bestFit="1" customWidth="1"/>
    <col min="19" max="19" width="0.5703125" style="2" customWidth="1"/>
    <col min="20" max="20" width="18.42578125" style="2" bestFit="1" customWidth="1"/>
    <col min="21" max="21" width="6.42578125" style="2" bestFit="1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60</v>
      </c>
      <c r="C2" s="82" t="s">
        <v>1</v>
      </c>
      <c r="D2" s="86" t="s">
        <v>71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43678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43708</v>
      </c>
    </row>
    <row r="4" spans="1:22" ht="16.5" thickBot="1" x14ac:dyDescent="0.3">
      <c r="A4" s="57">
        <v>43678</v>
      </c>
      <c r="B4" s="76">
        <v>328050</v>
      </c>
      <c r="C4" s="58">
        <f>D4</f>
        <v>351015</v>
      </c>
      <c r="D4" s="58">
        <f>[2]DSR!F11</f>
        <v>351015</v>
      </c>
      <c r="E4" s="58">
        <f t="shared" ref="E4:E34" si="0">$U$6</f>
        <v>458620.68965517241</v>
      </c>
      <c r="F4" s="7">
        <f>D4/E4</f>
        <v>0.76537105263157901</v>
      </c>
      <c r="G4" s="8">
        <f t="shared" ref="G4:G34" si="1">IF(O4=1,F4,"-")</f>
        <v>0.76537105263157901</v>
      </c>
      <c r="H4" s="58">
        <f>[2]DSR!G11</f>
        <v>757</v>
      </c>
      <c r="I4" s="59">
        <f>32+185</f>
        <v>217</v>
      </c>
      <c r="J4" s="58">
        <f>IFERROR((D4/I4),0)</f>
        <v>1617.5806451612902</v>
      </c>
      <c r="K4" s="60">
        <f>IFERROR((H4/I4),0)</f>
        <v>3.4884792626728109</v>
      </c>
      <c r="L4" s="58">
        <f>D4/H4</f>
        <v>463.69220607661822</v>
      </c>
      <c r="M4" s="61">
        <f t="shared" ref="M4:M34" si="2">IFERROR(((D4-B4)/B4),0)</f>
        <v>7.0004572473708282E-2</v>
      </c>
      <c r="N4" s="58">
        <f t="shared" ref="N4:N34" si="3">B4*O4</f>
        <v>328050</v>
      </c>
      <c r="O4" s="9">
        <f t="shared" ref="O4:O34" si="4">IF(D4&gt;0,1,0)</f>
        <v>1</v>
      </c>
      <c r="P4" s="9">
        <f>O4</f>
        <v>1</v>
      </c>
      <c r="Q4" s="62">
        <v>563</v>
      </c>
      <c r="R4" s="63">
        <f t="shared" ref="R4:R34" si="5">I4/Q4*100</f>
        <v>38.543516873889878</v>
      </c>
      <c r="T4" s="6" t="s">
        <v>15</v>
      </c>
      <c r="U4" s="98">
        <v>29</v>
      </c>
      <c r="V4" s="98"/>
    </row>
    <row r="5" spans="1:22" ht="16.5" thickBot="1" x14ac:dyDescent="0.3">
      <c r="A5" s="57">
        <v>43679</v>
      </c>
      <c r="B5" s="76">
        <v>314550</v>
      </c>
      <c r="C5" s="58">
        <f t="shared" ref="C5:C34" si="6">D5</f>
        <v>474180</v>
      </c>
      <c r="D5" s="58">
        <f>[2]DSR!F12</f>
        <v>474180</v>
      </c>
      <c r="E5" s="58">
        <f t="shared" si="0"/>
        <v>458620.68965517241</v>
      </c>
      <c r="F5" s="7">
        <f t="shared" ref="F5:F34" si="7">D5/E5</f>
        <v>1.0339263157894738</v>
      </c>
      <c r="G5" s="8">
        <f t="shared" si="1"/>
        <v>1.0339263157894738</v>
      </c>
      <c r="H5" s="58">
        <f>[2]DSR!G12</f>
        <v>904</v>
      </c>
      <c r="I5" s="59">
        <f>108+165</f>
        <v>273</v>
      </c>
      <c r="J5" s="58">
        <f t="shared" ref="J5:J34" si="8">IFERROR((D5/I5),0)</f>
        <v>1736.9230769230769</v>
      </c>
      <c r="K5" s="60">
        <f t="shared" ref="K5:K34" si="9">IFERROR((H5/I5),0)</f>
        <v>3.3113553113553111</v>
      </c>
      <c r="L5" s="58">
        <f t="shared" ref="L5:L34" si="10">D5/H5</f>
        <v>524.5353982300885</v>
      </c>
      <c r="M5" s="61">
        <f t="shared" si="2"/>
        <v>0.50748688602765857</v>
      </c>
      <c r="N5" s="58">
        <f t="shared" si="3"/>
        <v>314550</v>
      </c>
      <c r="O5" s="9">
        <f t="shared" si="4"/>
        <v>1</v>
      </c>
      <c r="P5" s="9">
        <f t="shared" ref="P5:P34" si="11">P4+O5</f>
        <v>2</v>
      </c>
      <c r="Q5" s="62">
        <v>691</v>
      </c>
      <c r="R5" s="63">
        <f t="shared" si="5"/>
        <v>39.507959479015916</v>
      </c>
      <c r="T5" s="6" t="s">
        <v>16</v>
      </c>
      <c r="U5" s="99">
        <v>13300000</v>
      </c>
      <c r="V5" s="99"/>
    </row>
    <row r="6" spans="1:22" ht="16.5" thickBot="1" x14ac:dyDescent="0.3">
      <c r="A6" s="57">
        <v>43680</v>
      </c>
      <c r="B6" s="76">
        <v>301740</v>
      </c>
      <c r="C6" s="58">
        <f t="shared" si="6"/>
        <v>725750</v>
      </c>
      <c r="D6" s="58">
        <f>[2]DSR!F13</f>
        <v>725750</v>
      </c>
      <c r="E6" s="58">
        <f t="shared" si="0"/>
        <v>458620.68965517241</v>
      </c>
      <c r="F6" s="7">
        <f t="shared" si="7"/>
        <v>1.5824624060150376</v>
      </c>
      <c r="G6" s="8">
        <f t="shared" si="1"/>
        <v>1.5824624060150376</v>
      </c>
      <c r="H6" s="58">
        <f>[2]DSR!G13</f>
        <v>1199</v>
      </c>
      <c r="I6" s="59">
        <f>280+158</f>
        <v>438</v>
      </c>
      <c r="J6" s="58">
        <f t="shared" si="8"/>
        <v>1656.9634703196348</v>
      </c>
      <c r="K6" s="60">
        <f t="shared" si="9"/>
        <v>2.7374429223744294</v>
      </c>
      <c r="L6" s="58">
        <f t="shared" si="10"/>
        <v>605.29608006672231</v>
      </c>
      <c r="M6" s="61">
        <f t="shared" si="2"/>
        <v>1.4052164114800823</v>
      </c>
      <c r="N6" s="58">
        <f t="shared" si="3"/>
        <v>301740</v>
      </c>
      <c r="O6" s="9">
        <f t="shared" si="4"/>
        <v>1</v>
      </c>
      <c r="P6" s="9">
        <f t="shared" si="11"/>
        <v>3</v>
      </c>
      <c r="Q6" s="62">
        <v>1257</v>
      </c>
      <c r="R6" s="63">
        <f t="shared" si="5"/>
        <v>34.844868735083537</v>
      </c>
      <c r="T6" s="6" t="s">
        <v>17</v>
      </c>
      <c r="U6" s="100">
        <f>IFERROR((U5/U4),0)</f>
        <v>458620.68965517241</v>
      </c>
      <c r="V6" s="100"/>
    </row>
    <row r="7" spans="1:22" ht="16.5" thickBot="1" x14ac:dyDescent="0.3">
      <c r="A7" s="57">
        <v>43681</v>
      </c>
      <c r="B7" s="76">
        <v>613310</v>
      </c>
      <c r="C7" s="58">
        <f t="shared" si="6"/>
        <v>1131930</v>
      </c>
      <c r="D7" s="58">
        <f>[2]DSR!F14</f>
        <v>1131930</v>
      </c>
      <c r="E7" s="58">
        <f t="shared" si="0"/>
        <v>458620.68965517241</v>
      </c>
      <c r="F7" s="7">
        <f t="shared" si="7"/>
        <v>2.468118045112782</v>
      </c>
      <c r="G7" s="8">
        <f t="shared" si="1"/>
        <v>2.468118045112782</v>
      </c>
      <c r="H7" s="58">
        <f>[2]DSR!G14</f>
        <v>1663</v>
      </c>
      <c r="I7" s="59">
        <f>244+303</f>
        <v>547</v>
      </c>
      <c r="J7" s="58">
        <f t="shared" si="8"/>
        <v>2069.3418647166363</v>
      </c>
      <c r="K7" s="60">
        <f t="shared" si="9"/>
        <v>3.0402193784277878</v>
      </c>
      <c r="L7" s="58">
        <f t="shared" si="10"/>
        <v>680.65544197233919</v>
      </c>
      <c r="M7" s="61">
        <f t="shared" si="2"/>
        <v>0.84560825683585794</v>
      </c>
      <c r="N7" s="58">
        <f t="shared" si="3"/>
        <v>613310</v>
      </c>
      <c r="O7" s="9">
        <f t="shared" si="4"/>
        <v>1</v>
      </c>
      <c r="P7" s="9">
        <f t="shared" si="11"/>
        <v>4</v>
      </c>
      <c r="Q7" s="62">
        <v>1256</v>
      </c>
      <c r="R7" s="63">
        <f t="shared" si="5"/>
        <v>43.550955414012741</v>
      </c>
      <c r="T7" s="6" t="s">
        <v>18</v>
      </c>
      <c r="U7" s="10">
        <f>IFERROR((V7/U5),0)</f>
        <v>1.0060875939849625</v>
      </c>
      <c r="V7" s="11">
        <f>D35</f>
        <v>13380965</v>
      </c>
    </row>
    <row r="8" spans="1:22" ht="16.5" thickBot="1" x14ac:dyDescent="0.3">
      <c r="A8" s="57">
        <v>43682</v>
      </c>
      <c r="B8" s="76">
        <v>504010</v>
      </c>
      <c r="C8" s="58">
        <f t="shared" si="6"/>
        <v>468205</v>
      </c>
      <c r="D8" s="58">
        <f>[2]DSR!F15</f>
        <v>468205</v>
      </c>
      <c r="E8" s="58">
        <f t="shared" si="0"/>
        <v>458620.68965517241</v>
      </c>
      <c r="F8" s="7">
        <f t="shared" si="7"/>
        <v>1.0208981203007519</v>
      </c>
      <c r="G8" s="8">
        <f t="shared" si="1"/>
        <v>1.0208981203007519</v>
      </c>
      <c r="H8" s="58">
        <f>[2]DSR!G15</f>
        <v>674</v>
      </c>
      <c r="I8" s="59">
        <f>48+193</f>
        <v>241</v>
      </c>
      <c r="J8" s="58">
        <f t="shared" si="8"/>
        <v>1942.759336099585</v>
      </c>
      <c r="K8" s="60">
        <f t="shared" si="9"/>
        <v>2.796680497925311</v>
      </c>
      <c r="L8" s="58">
        <f t="shared" si="10"/>
        <v>694.66617210682489</v>
      </c>
      <c r="M8" s="61">
        <f t="shared" si="2"/>
        <v>-7.1040257137755206E-2</v>
      </c>
      <c r="N8" s="58">
        <f t="shared" si="3"/>
        <v>504010</v>
      </c>
      <c r="O8" s="9">
        <f t="shared" si="4"/>
        <v>1</v>
      </c>
      <c r="P8" s="9">
        <f t="shared" si="11"/>
        <v>5</v>
      </c>
      <c r="Q8" s="62">
        <v>593</v>
      </c>
      <c r="R8" s="63">
        <f t="shared" si="5"/>
        <v>40.640809443507585</v>
      </c>
      <c r="T8" s="6" t="s">
        <v>19</v>
      </c>
      <c r="U8" s="108">
        <f>IFERROR((U12*U4),0)</f>
        <v>13380965</v>
      </c>
      <c r="V8" s="109"/>
    </row>
    <row r="9" spans="1:22" ht="16.5" thickBot="1" x14ac:dyDescent="0.3">
      <c r="A9" s="57">
        <v>43683</v>
      </c>
      <c r="B9" s="76">
        <v>219460</v>
      </c>
      <c r="C9" s="58">
        <f t="shared" si="6"/>
        <v>647830</v>
      </c>
      <c r="D9" s="58">
        <f>[2]DSR!F16</f>
        <v>647830</v>
      </c>
      <c r="E9" s="58">
        <f t="shared" si="0"/>
        <v>458620.68965517241</v>
      </c>
      <c r="F9" s="7">
        <f t="shared" si="7"/>
        <v>1.4125616541353383</v>
      </c>
      <c r="G9" s="8">
        <f t="shared" si="1"/>
        <v>1.4125616541353383</v>
      </c>
      <c r="H9" s="58">
        <f>[2]DSR!G16</f>
        <v>999</v>
      </c>
      <c r="I9" s="59">
        <f>192+178</f>
        <v>370</v>
      </c>
      <c r="J9" s="58">
        <f t="shared" si="8"/>
        <v>1750.8918918918919</v>
      </c>
      <c r="K9" s="60">
        <f t="shared" si="9"/>
        <v>2.7</v>
      </c>
      <c r="L9" s="58">
        <f t="shared" si="10"/>
        <v>648.47847847847845</v>
      </c>
      <c r="M9" s="61">
        <f t="shared" si="2"/>
        <v>1.951927458306753</v>
      </c>
      <c r="N9" s="58">
        <f t="shared" si="3"/>
        <v>219460</v>
      </c>
      <c r="O9" s="9">
        <f t="shared" si="4"/>
        <v>1</v>
      </c>
      <c r="P9" s="9">
        <f t="shared" si="11"/>
        <v>6</v>
      </c>
      <c r="Q9" s="62">
        <v>864</v>
      </c>
      <c r="R9" s="63">
        <f t="shared" si="5"/>
        <v>42.824074074074076</v>
      </c>
      <c r="T9" s="6" t="s">
        <v>20</v>
      </c>
      <c r="U9" s="90">
        <f>H35</f>
        <v>19693</v>
      </c>
      <c r="V9" s="91"/>
    </row>
    <row r="10" spans="1:22" ht="16.5" thickBot="1" x14ac:dyDescent="0.3">
      <c r="A10" s="57">
        <v>43684</v>
      </c>
      <c r="B10" s="76">
        <v>218730</v>
      </c>
      <c r="C10" s="58">
        <f t="shared" si="6"/>
        <v>683450</v>
      </c>
      <c r="D10" s="58">
        <f>[2]DSR!F17</f>
        <v>683450</v>
      </c>
      <c r="E10" s="58">
        <f t="shared" si="0"/>
        <v>458620.68965517241</v>
      </c>
      <c r="F10" s="7">
        <f>D10/E10</f>
        <v>1.4902293233082706</v>
      </c>
      <c r="G10" s="8">
        <f t="shared" si="1"/>
        <v>1.4902293233082706</v>
      </c>
      <c r="H10" s="58">
        <f>[2]DSR!G17</f>
        <v>1136</v>
      </c>
      <c r="I10" s="59">
        <f>77+285</f>
        <v>362</v>
      </c>
      <c r="J10" s="58">
        <f>IFERROR((D10/I10),0)</f>
        <v>1887.9834254143645</v>
      </c>
      <c r="K10" s="60">
        <f t="shared" si="9"/>
        <v>3.1381215469613259</v>
      </c>
      <c r="L10" s="58">
        <f>D10/H10</f>
        <v>601.62852112676057</v>
      </c>
      <c r="M10" s="61">
        <f>IFERROR(((D10-B10)/B10),0)</f>
        <v>2.1246285374662826</v>
      </c>
      <c r="N10" s="58">
        <f t="shared" si="3"/>
        <v>218730</v>
      </c>
      <c r="O10" s="9">
        <f>IF(D10&gt;0,1,0)</f>
        <v>1</v>
      </c>
      <c r="P10" s="9">
        <f t="shared" si="11"/>
        <v>7</v>
      </c>
      <c r="Q10" s="62">
        <v>1032</v>
      </c>
      <c r="R10" s="63">
        <f t="shared" si="5"/>
        <v>35.077519379844965</v>
      </c>
      <c r="T10" s="6" t="s">
        <v>21</v>
      </c>
      <c r="U10" s="100">
        <f>IFERROR((U9/P35),0)</f>
        <v>679.06896551724139</v>
      </c>
      <c r="V10" s="100"/>
    </row>
    <row r="11" spans="1:22" ht="16.5" thickBot="1" x14ac:dyDescent="0.3">
      <c r="A11" s="57">
        <v>43685</v>
      </c>
      <c r="B11" s="76">
        <v>275320</v>
      </c>
      <c r="C11" s="58">
        <f t="shared" si="6"/>
        <v>752555</v>
      </c>
      <c r="D11" s="58">
        <f>[2]DSR!F18</f>
        <v>752555</v>
      </c>
      <c r="E11" s="58">
        <f t="shared" si="0"/>
        <v>458620.68965517241</v>
      </c>
      <c r="F11" s="7">
        <f t="shared" si="7"/>
        <v>1.6409093984962406</v>
      </c>
      <c r="G11" s="8">
        <f t="shared" si="1"/>
        <v>1.6409093984962406</v>
      </c>
      <c r="H11" s="58">
        <f>[2]DSR!G18</f>
        <v>1130</v>
      </c>
      <c r="I11" s="59">
        <f>346+84</f>
        <v>430</v>
      </c>
      <c r="J11" s="58">
        <f t="shared" si="8"/>
        <v>1750.1279069767443</v>
      </c>
      <c r="K11" s="60">
        <f t="shared" si="9"/>
        <v>2.6279069767441858</v>
      </c>
      <c r="L11" s="58">
        <f t="shared" si="10"/>
        <v>665.97787610619469</v>
      </c>
      <c r="M11" s="61">
        <f t="shared" si="2"/>
        <v>1.7333829725410432</v>
      </c>
      <c r="N11" s="58">
        <f t="shared" si="3"/>
        <v>275320</v>
      </c>
      <c r="O11" s="9">
        <f t="shared" si="4"/>
        <v>1</v>
      </c>
      <c r="P11" s="9">
        <f t="shared" si="11"/>
        <v>8</v>
      </c>
      <c r="Q11" s="62">
        <v>1352</v>
      </c>
      <c r="R11" s="63">
        <f t="shared" si="5"/>
        <v>31.804733727810653</v>
      </c>
      <c r="T11" s="6" t="s">
        <v>22</v>
      </c>
      <c r="U11" s="100">
        <f>D35</f>
        <v>13380965</v>
      </c>
      <c r="V11" s="100"/>
    </row>
    <row r="12" spans="1:22" ht="16.5" thickBot="1" x14ac:dyDescent="0.3">
      <c r="A12" s="57">
        <v>43686</v>
      </c>
      <c r="B12" s="76">
        <v>252120</v>
      </c>
      <c r="C12" s="58">
        <f t="shared" si="6"/>
        <v>818605</v>
      </c>
      <c r="D12" s="58">
        <f>[2]DSR!F19</f>
        <v>818605</v>
      </c>
      <c r="E12" s="58">
        <f t="shared" si="0"/>
        <v>458620.68965517241</v>
      </c>
      <c r="F12" s="7">
        <f t="shared" si="7"/>
        <v>1.7849281954887217</v>
      </c>
      <c r="G12" s="8">
        <f t="shared" si="1"/>
        <v>1.7849281954887217</v>
      </c>
      <c r="H12" s="58">
        <f>[2]DSR!G19</f>
        <v>1163</v>
      </c>
      <c r="I12" s="59">
        <f>186+295</f>
        <v>481</v>
      </c>
      <c r="J12" s="58">
        <f t="shared" si="8"/>
        <v>1701.8814968814968</v>
      </c>
      <c r="K12" s="60">
        <f t="shared" si="9"/>
        <v>2.4178794178794178</v>
      </c>
      <c r="L12" s="58">
        <f t="shared" si="10"/>
        <v>703.87360275150468</v>
      </c>
      <c r="M12" s="61">
        <f t="shared" si="2"/>
        <v>2.246886403300016</v>
      </c>
      <c r="N12" s="58">
        <f t="shared" si="3"/>
        <v>252120</v>
      </c>
      <c r="O12" s="9">
        <f t="shared" si="4"/>
        <v>1</v>
      </c>
      <c r="P12" s="9">
        <f t="shared" si="11"/>
        <v>9</v>
      </c>
      <c r="Q12" s="62">
        <v>1472</v>
      </c>
      <c r="R12" s="63">
        <f t="shared" si="5"/>
        <v>32.676630434782609</v>
      </c>
      <c r="T12" s="6" t="s">
        <v>23</v>
      </c>
      <c r="U12" s="90">
        <f>IFERROR((D35/P35),0)</f>
        <v>461412.58620689658</v>
      </c>
      <c r="V12" s="91"/>
    </row>
    <row r="13" spans="1:22" ht="16.5" thickBot="1" x14ac:dyDescent="0.3">
      <c r="A13" s="57">
        <v>43687</v>
      </c>
      <c r="B13" s="76">
        <v>320900</v>
      </c>
      <c r="C13" s="58">
        <f t="shared" si="6"/>
        <v>856165</v>
      </c>
      <c r="D13" s="58">
        <f>[2]DSR!F20</f>
        <v>856165</v>
      </c>
      <c r="E13" s="58">
        <f t="shared" si="0"/>
        <v>458620.68965517241</v>
      </c>
      <c r="F13" s="7">
        <f t="shared" si="7"/>
        <v>1.8668259398496241</v>
      </c>
      <c r="G13" s="8">
        <f t="shared" si="1"/>
        <v>1.8668259398496241</v>
      </c>
      <c r="H13" s="58">
        <f>[2]DSR!G20</f>
        <v>1213</v>
      </c>
      <c r="I13" s="59">
        <f>224+217</f>
        <v>441</v>
      </c>
      <c r="J13" s="58">
        <f t="shared" si="8"/>
        <v>1941.4172335600906</v>
      </c>
      <c r="K13" s="60">
        <f t="shared" si="9"/>
        <v>2.7505668934240362</v>
      </c>
      <c r="L13" s="58">
        <f t="shared" si="10"/>
        <v>705.82440230832651</v>
      </c>
      <c r="M13" s="61">
        <f t="shared" si="2"/>
        <v>1.6680118416952321</v>
      </c>
      <c r="N13" s="58">
        <f t="shared" si="3"/>
        <v>320900</v>
      </c>
      <c r="O13" s="9">
        <f t="shared" si="4"/>
        <v>1</v>
      </c>
      <c r="P13" s="9">
        <f t="shared" si="11"/>
        <v>10</v>
      </c>
      <c r="Q13" s="62">
        <v>1133</v>
      </c>
      <c r="R13" s="63">
        <f t="shared" si="5"/>
        <v>38.923212709620472</v>
      </c>
      <c r="T13" s="6" t="s">
        <v>24</v>
      </c>
      <c r="U13" s="100">
        <f>U5-D35</f>
        <v>-80965</v>
      </c>
      <c r="V13" s="100"/>
    </row>
    <row r="14" spans="1:22" ht="16.5" thickBot="1" x14ac:dyDescent="0.3">
      <c r="A14" s="57">
        <v>43688</v>
      </c>
      <c r="B14" s="76">
        <v>630660</v>
      </c>
      <c r="C14" s="58">
        <f t="shared" si="6"/>
        <v>333795</v>
      </c>
      <c r="D14" s="58">
        <f>[2]DSR!F21</f>
        <v>333795</v>
      </c>
      <c r="E14" s="58">
        <f t="shared" si="0"/>
        <v>458620.68965517241</v>
      </c>
      <c r="F14" s="7">
        <f t="shared" si="7"/>
        <v>0.72782368421052634</v>
      </c>
      <c r="G14" s="8">
        <f t="shared" si="1"/>
        <v>0.72782368421052634</v>
      </c>
      <c r="H14" s="58">
        <f>[2]DSR!G21</f>
        <v>438</v>
      </c>
      <c r="I14" s="59">
        <f>174+8</f>
        <v>182</v>
      </c>
      <c r="J14" s="58">
        <f t="shared" si="8"/>
        <v>1834.0384615384614</v>
      </c>
      <c r="K14" s="60">
        <f t="shared" si="9"/>
        <v>2.4065934065934065</v>
      </c>
      <c r="L14" s="58">
        <f t="shared" si="10"/>
        <v>762.08904109589037</v>
      </c>
      <c r="M14" s="61">
        <f t="shared" si="2"/>
        <v>-0.47072114927219105</v>
      </c>
      <c r="N14" s="58">
        <f t="shared" si="3"/>
        <v>630660</v>
      </c>
      <c r="O14" s="9">
        <f t="shared" si="4"/>
        <v>1</v>
      </c>
      <c r="P14" s="9">
        <f t="shared" si="11"/>
        <v>11</v>
      </c>
      <c r="Q14" s="62">
        <v>537</v>
      </c>
      <c r="R14" s="63">
        <f t="shared" si="5"/>
        <v>33.891992551210429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43689</v>
      </c>
      <c r="B15" s="76">
        <v>780260</v>
      </c>
      <c r="C15" s="58">
        <f t="shared" si="6"/>
        <v>0</v>
      </c>
      <c r="D15" s="58">
        <f>[2]DSR!F22</f>
        <v>0</v>
      </c>
      <c r="E15" s="58">
        <f t="shared" si="0"/>
        <v>458620.68965517241</v>
      </c>
      <c r="F15" s="7">
        <f t="shared" si="7"/>
        <v>0</v>
      </c>
      <c r="G15" s="8" t="str">
        <f t="shared" si="1"/>
        <v>-</v>
      </c>
      <c r="H15" s="58">
        <f>[2]DSR!G22</f>
        <v>0</v>
      </c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11</v>
      </c>
      <c r="Q15" s="62"/>
      <c r="R15" s="63" t="e">
        <f t="shared" si="5"/>
        <v>#DIV/0!</v>
      </c>
      <c r="T15" s="12" t="s">
        <v>6</v>
      </c>
      <c r="U15" s="100">
        <f>IFERROR((D35/I35),0)</f>
        <v>1837.2875188795826</v>
      </c>
      <c r="V15" s="100"/>
    </row>
    <row r="16" spans="1:22" ht="16.5" thickBot="1" x14ac:dyDescent="0.3">
      <c r="A16" s="57">
        <v>43690</v>
      </c>
      <c r="B16" s="76">
        <v>374300</v>
      </c>
      <c r="C16" s="58">
        <f t="shared" si="6"/>
        <v>0</v>
      </c>
      <c r="D16" s="58">
        <f>[2]DSR!F23</f>
        <v>0</v>
      </c>
      <c r="E16" s="58">
        <f t="shared" si="0"/>
        <v>458620.68965517241</v>
      </c>
      <c r="F16" s="7">
        <f t="shared" si="7"/>
        <v>0</v>
      </c>
      <c r="G16" s="8" t="str">
        <f t="shared" si="1"/>
        <v>-</v>
      </c>
      <c r="H16" s="58">
        <f>[2]DSR!G23</f>
        <v>0</v>
      </c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11</v>
      </c>
      <c r="Q16" s="62"/>
      <c r="R16" s="63" t="e">
        <f t="shared" si="5"/>
        <v>#DIV/0!</v>
      </c>
      <c r="T16" s="12" t="s">
        <v>7</v>
      </c>
      <c r="U16" s="104">
        <f>IFERROR((H35/I35),0)</f>
        <v>2.7039681449951942</v>
      </c>
      <c r="V16" s="104"/>
    </row>
    <row r="17" spans="1:25" ht="16.5" thickBot="1" x14ac:dyDescent="0.3">
      <c r="A17" s="57">
        <v>43691</v>
      </c>
      <c r="B17" s="76">
        <v>369410</v>
      </c>
      <c r="C17" s="58">
        <f t="shared" si="6"/>
        <v>216720</v>
      </c>
      <c r="D17" s="58">
        <f>[2]DSR!F24</f>
        <v>216720</v>
      </c>
      <c r="E17" s="58">
        <f t="shared" si="0"/>
        <v>458620.68965517241</v>
      </c>
      <c r="F17" s="7">
        <f t="shared" si="7"/>
        <v>0.47254736842105266</v>
      </c>
      <c r="G17" s="8">
        <f t="shared" si="1"/>
        <v>0.47254736842105266</v>
      </c>
      <c r="H17" s="58">
        <f>[2]DSR!G24</f>
        <v>295</v>
      </c>
      <c r="I17" s="59">
        <v>132</v>
      </c>
      <c r="J17" s="58">
        <f t="shared" si="8"/>
        <v>1641.8181818181818</v>
      </c>
      <c r="K17" s="60">
        <f t="shared" si="9"/>
        <v>2.2348484848484849</v>
      </c>
      <c r="L17" s="58">
        <f t="shared" si="10"/>
        <v>734.64406779661022</v>
      </c>
      <c r="M17" s="61">
        <f t="shared" si="2"/>
        <v>-0.41333477707696054</v>
      </c>
      <c r="N17" s="58">
        <f t="shared" si="3"/>
        <v>369410</v>
      </c>
      <c r="O17" s="9">
        <f t="shared" si="4"/>
        <v>1</v>
      </c>
      <c r="P17" s="9">
        <f t="shared" si="11"/>
        <v>12</v>
      </c>
      <c r="Q17" s="62">
        <v>426</v>
      </c>
      <c r="R17" s="63">
        <f t="shared" si="5"/>
        <v>30.985915492957744</v>
      </c>
      <c r="T17" s="12" t="s">
        <v>26</v>
      </c>
      <c r="U17" s="105">
        <f>U5/L35</f>
        <v>19573.842394774965</v>
      </c>
      <c r="V17" s="105"/>
    </row>
    <row r="18" spans="1:25" ht="16.5" thickBot="1" x14ac:dyDescent="0.3">
      <c r="A18" s="57">
        <v>43692</v>
      </c>
      <c r="B18" s="76">
        <v>259790</v>
      </c>
      <c r="C18" s="58">
        <f t="shared" si="6"/>
        <v>324990</v>
      </c>
      <c r="D18" s="58">
        <f>[2]DSR!F25</f>
        <v>324990</v>
      </c>
      <c r="E18" s="58">
        <f t="shared" si="0"/>
        <v>458620.68965517241</v>
      </c>
      <c r="F18" s="7">
        <f t="shared" si="7"/>
        <v>0.70862481203007521</v>
      </c>
      <c r="G18" s="8">
        <f t="shared" si="1"/>
        <v>0.70862481203007521</v>
      </c>
      <c r="H18" s="58">
        <f>[2]DSR!G25</f>
        <v>472</v>
      </c>
      <c r="I18" s="59">
        <f>163+40</f>
        <v>203</v>
      </c>
      <c r="J18" s="58">
        <f t="shared" si="8"/>
        <v>1600.9359605911329</v>
      </c>
      <c r="K18" s="60">
        <f t="shared" si="9"/>
        <v>2.3251231527093594</v>
      </c>
      <c r="L18" s="58">
        <f t="shared" si="10"/>
        <v>688.53813559322032</v>
      </c>
      <c r="M18" s="61">
        <f t="shared" si="2"/>
        <v>0.25097193887370567</v>
      </c>
      <c r="N18" s="58">
        <f t="shared" si="3"/>
        <v>259790</v>
      </c>
      <c r="O18" s="9">
        <f t="shared" si="4"/>
        <v>1</v>
      </c>
      <c r="P18" s="9">
        <f t="shared" si="11"/>
        <v>13</v>
      </c>
      <c r="Q18" s="62">
        <v>736</v>
      </c>
      <c r="R18" s="63">
        <f t="shared" si="5"/>
        <v>27.581521739130434</v>
      </c>
      <c r="T18" s="13" t="s">
        <v>27</v>
      </c>
      <c r="U18" s="110">
        <f>U17-H35</f>
        <v>-119.15760522503479</v>
      </c>
      <c r="V18" s="111"/>
    </row>
    <row r="19" spans="1:25" ht="16.5" thickBot="1" x14ac:dyDescent="0.3">
      <c r="A19" s="57">
        <v>43693</v>
      </c>
      <c r="B19" s="76">
        <v>329410</v>
      </c>
      <c r="C19" s="58">
        <f t="shared" si="6"/>
        <v>390745</v>
      </c>
      <c r="D19" s="58">
        <f>[2]DSR!F26</f>
        <v>390745</v>
      </c>
      <c r="E19" s="58">
        <f t="shared" si="0"/>
        <v>458620.68965517241</v>
      </c>
      <c r="F19" s="7">
        <f t="shared" si="7"/>
        <v>0.85200037593984967</v>
      </c>
      <c r="G19" s="8">
        <f t="shared" si="1"/>
        <v>0.85200037593984967</v>
      </c>
      <c r="H19" s="58">
        <f>[2]DSR!G26</f>
        <v>519</v>
      </c>
      <c r="I19" s="59">
        <f>74+123</f>
        <v>197</v>
      </c>
      <c r="J19" s="58">
        <f t="shared" si="8"/>
        <v>1983.4771573604062</v>
      </c>
      <c r="K19" s="60">
        <f t="shared" si="9"/>
        <v>2.6345177664974617</v>
      </c>
      <c r="L19" s="58">
        <f t="shared" si="10"/>
        <v>752.88053949903656</v>
      </c>
      <c r="M19" s="61">
        <f t="shared" si="2"/>
        <v>0.18619653319571355</v>
      </c>
      <c r="N19" s="58">
        <f t="shared" si="3"/>
        <v>329410</v>
      </c>
      <c r="O19" s="9">
        <f t="shared" si="4"/>
        <v>1</v>
      </c>
      <c r="P19" s="9">
        <f t="shared" si="11"/>
        <v>14</v>
      </c>
      <c r="Q19" s="62">
        <v>685</v>
      </c>
      <c r="R19" s="63">
        <f t="shared" si="5"/>
        <v>28.759124087591243</v>
      </c>
      <c r="T19" s="12" t="s">
        <v>57</v>
      </c>
      <c r="U19" s="112">
        <f>D37/U5*100%</f>
        <v>1.0060875939849625</v>
      </c>
      <c r="V19" s="113"/>
    </row>
    <row r="20" spans="1:25" ht="16.5" thickBot="1" x14ac:dyDescent="0.3">
      <c r="A20" s="57">
        <v>43694</v>
      </c>
      <c r="B20" s="76">
        <v>399500</v>
      </c>
      <c r="C20" s="58">
        <f t="shared" si="6"/>
        <v>432080</v>
      </c>
      <c r="D20" s="58">
        <f>[2]DSR!F27</f>
        <v>432080</v>
      </c>
      <c r="E20" s="58">
        <f t="shared" si="0"/>
        <v>458620.68965517241</v>
      </c>
      <c r="F20" s="7">
        <f t="shared" si="7"/>
        <v>0.94212932330827071</v>
      </c>
      <c r="G20" s="8">
        <f t="shared" si="1"/>
        <v>0.94212932330827071</v>
      </c>
      <c r="H20" s="58">
        <f>[2]DSR!G27</f>
        <v>640</v>
      </c>
      <c r="I20" s="59">
        <f>141+118</f>
        <v>259</v>
      </c>
      <c r="J20" s="58">
        <f t="shared" si="8"/>
        <v>1668.2625482625483</v>
      </c>
      <c r="K20" s="60">
        <f t="shared" si="9"/>
        <v>2.471042471042471</v>
      </c>
      <c r="L20" s="58">
        <f t="shared" si="10"/>
        <v>675.125</v>
      </c>
      <c r="M20" s="61">
        <f t="shared" si="2"/>
        <v>8.1551939924906128E-2</v>
      </c>
      <c r="N20" s="58">
        <f t="shared" si="3"/>
        <v>399500</v>
      </c>
      <c r="O20" s="9">
        <f t="shared" si="4"/>
        <v>1</v>
      </c>
      <c r="P20" s="9">
        <f t="shared" si="11"/>
        <v>15</v>
      </c>
      <c r="Q20" s="62">
        <v>863</v>
      </c>
      <c r="R20" s="63">
        <f t="shared" si="5"/>
        <v>30.011587485515644</v>
      </c>
      <c r="T20" s="12" t="s">
        <v>8</v>
      </c>
      <c r="U20" s="108">
        <f>D35/H35</f>
        <v>679.47824099933985</v>
      </c>
      <c r="V20" s="109"/>
      <c r="Y20" s="14"/>
    </row>
    <row r="21" spans="1:25" x14ac:dyDescent="0.25">
      <c r="A21" s="57">
        <v>43695</v>
      </c>
      <c r="B21" s="76">
        <v>646580</v>
      </c>
      <c r="C21" s="58">
        <f t="shared" si="6"/>
        <v>447795</v>
      </c>
      <c r="D21" s="58">
        <f>[2]DSR!F28</f>
        <v>447795</v>
      </c>
      <c r="E21" s="58">
        <f t="shared" si="0"/>
        <v>458620.68965517241</v>
      </c>
      <c r="F21" s="7">
        <f t="shared" si="7"/>
        <v>0.9763951127819549</v>
      </c>
      <c r="G21" s="8">
        <f t="shared" si="1"/>
        <v>0.9763951127819549</v>
      </c>
      <c r="H21" s="58">
        <f>[2]DSR!G28</f>
        <v>600</v>
      </c>
      <c r="I21" s="59">
        <f>65+168</f>
        <v>233</v>
      </c>
      <c r="J21" s="58">
        <f t="shared" si="8"/>
        <v>1921.8669527896996</v>
      </c>
      <c r="K21" s="60">
        <f t="shared" si="9"/>
        <v>2.5751072961373391</v>
      </c>
      <c r="L21" s="58">
        <f t="shared" si="10"/>
        <v>746.32500000000005</v>
      </c>
      <c r="M21" s="61">
        <f t="shared" si="2"/>
        <v>-0.30744068792724799</v>
      </c>
      <c r="N21" s="58">
        <f t="shared" si="3"/>
        <v>646580</v>
      </c>
      <c r="O21" s="9">
        <f t="shared" si="4"/>
        <v>1</v>
      </c>
      <c r="P21" s="9">
        <f t="shared" si="11"/>
        <v>16</v>
      </c>
      <c r="Q21" s="62">
        <v>922</v>
      </c>
      <c r="R21" s="63">
        <f t="shared" si="5"/>
        <v>25.271149674620393</v>
      </c>
    </row>
    <row r="22" spans="1:25" x14ac:dyDescent="0.25">
      <c r="A22" s="57">
        <v>43696</v>
      </c>
      <c r="B22" s="76">
        <v>673420</v>
      </c>
      <c r="C22" s="58">
        <f t="shared" si="6"/>
        <v>221025</v>
      </c>
      <c r="D22" s="58">
        <f>[2]DSR!F29</f>
        <v>221025</v>
      </c>
      <c r="E22" s="58">
        <f t="shared" si="0"/>
        <v>458620.68965517241</v>
      </c>
      <c r="F22" s="7">
        <f t="shared" si="7"/>
        <v>0.4819342105263158</v>
      </c>
      <c r="G22" s="8">
        <f t="shared" si="1"/>
        <v>0.4819342105263158</v>
      </c>
      <c r="H22" s="58">
        <f>[2]DSR!G29</f>
        <v>300</v>
      </c>
      <c r="I22" s="59">
        <v>119</v>
      </c>
      <c r="J22" s="58">
        <f t="shared" si="8"/>
        <v>1857.3529411764705</v>
      </c>
      <c r="K22" s="60">
        <f t="shared" si="9"/>
        <v>2.5210084033613445</v>
      </c>
      <c r="L22" s="58">
        <f t="shared" si="10"/>
        <v>736.75</v>
      </c>
      <c r="M22" s="61">
        <f t="shared" si="2"/>
        <v>-0.67178729470464194</v>
      </c>
      <c r="N22" s="58">
        <f t="shared" si="3"/>
        <v>673420</v>
      </c>
      <c r="O22" s="9">
        <f t="shared" si="4"/>
        <v>1</v>
      </c>
      <c r="P22" s="9">
        <f t="shared" si="11"/>
        <v>17</v>
      </c>
      <c r="Q22" s="62">
        <v>551</v>
      </c>
      <c r="R22" s="63">
        <f t="shared" si="5"/>
        <v>21.597096188747731</v>
      </c>
    </row>
    <row r="23" spans="1:25" x14ac:dyDescent="0.25">
      <c r="A23" s="57">
        <v>43697</v>
      </c>
      <c r="B23" s="76">
        <v>538790</v>
      </c>
      <c r="C23" s="58">
        <f t="shared" si="6"/>
        <v>253665</v>
      </c>
      <c r="D23" s="58">
        <f>[2]DSR!F30</f>
        <v>253665</v>
      </c>
      <c r="E23" s="58">
        <f t="shared" si="0"/>
        <v>458620.68965517241</v>
      </c>
      <c r="F23" s="7">
        <f t="shared" si="7"/>
        <v>0.5531041353383459</v>
      </c>
      <c r="G23" s="8">
        <f t="shared" si="1"/>
        <v>0.5531041353383459</v>
      </c>
      <c r="H23" s="58">
        <f>[2]DSR!G30</f>
        <v>332</v>
      </c>
      <c r="I23" s="59">
        <f>12+129</f>
        <v>141</v>
      </c>
      <c r="J23" s="58">
        <f t="shared" si="8"/>
        <v>1799.0425531914893</v>
      </c>
      <c r="K23" s="60">
        <f t="shared" si="9"/>
        <v>2.354609929078014</v>
      </c>
      <c r="L23" s="58">
        <f t="shared" si="10"/>
        <v>764.05120481927713</v>
      </c>
      <c r="M23" s="61">
        <f t="shared" si="2"/>
        <v>-0.5291950481634774</v>
      </c>
      <c r="N23" s="58">
        <f t="shared" si="3"/>
        <v>538790</v>
      </c>
      <c r="O23" s="9">
        <f t="shared" si="4"/>
        <v>1</v>
      </c>
      <c r="P23" s="9">
        <f t="shared" si="11"/>
        <v>18</v>
      </c>
      <c r="Q23" s="62">
        <v>572</v>
      </c>
      <c r="R23" s="63">
        <f t="shared" si="5"/>
        <v>24.65034965034965</v>
      </c>
    </row>
    <row r="24" spans="1:25" x14ac:dyDescent="0.25">
      <c r="A24" s="57">
        <v>43698</v>
      </c>
      <c r="B24" s="76">
        <v>731630</v>
      </c>
      <c r="C24" s="58">
        <f t="shared" si="6"/>
        <v>261945</v>
      </c>
      <c r="D24" s="58">
        <f>[2]DSR!F31</f>
        <v>261945</v>
      </c>
      <c r="E24" s="58">
        <f t="shared" si="0"/>
        <v>458620.68965517241</v>
      </c>
      <c r="F24" s="7">
        <f t="shared" si="7"/>
        <v>0.57115827067669178</v>
      </c>
      <c r="G24" s="8">
        <f t="shared" si="1"/>
        <v>0.57115827067669178</v>
      </c>
      <c r="H24" s="58">
        <f>[2]DSR!G31</f>
        <v>344</v>
      </c>
      <c r="I24" s="59">
        <v>144</v>
      </c>
      <c r="J24" s="58">
        <f t="shared" si="8"/>
        <v>1819.0625</v>
      </c>
      <c r="K24" s="60">
        <f t="shared" si="9"/>
        <v>2.3888888888888888</v>
      </c>
      <c r="L24" s="58">
        <f t="shared" si="10"/>
        <v>761.46802325581393</v>
      </c>
      <c r="M24" s="61">
        <f t="shared" si="2"/>
        <v>-0.64197066823394333</v>
      </c>
      <c r="N24" s="58">
        <f t="shared" si="3"/>
        <v>731630</v>
      </c>
      <c r="O24" s="9">
        <f t="shared" si="4"/>
        <v>1</v>
      </c>
      <c r="P24" s="9">
        <f t="shared" si="11"/>
        <v>19</v>
      </c>
      <c r="Q24" s="62">
        <v>593</v>
      </c>
      <c r="R24" s="63">
        <f t="shared" si="5"/>
        <v>24.283305227655987</v>
      </c>
    </row>
    <row r="25" spans="1:25" x14ac:dyDescent="0.25">
      <c r="A25" s="57">
        <v>43699</v>
      </c>
      <c r="B25" s="76">
        <v>0</v>
      </c>
      <c r="C25" s="58">
        <f t="shared" si="6"/>
        <v>242810</v>
      </c>
      <c r="D25" s="58">
        <f>[2]DSR!F32</f>
        <v>242810</v>
      </c>
      <c r="E25" s="58">
        <f t="shared" si="0"/>
        <v>458620.68965517241</v>
      </c>
      <c r="F25" s="7">
        <f t="shared" si="7"/>
        <v>0.52943533834586465</v>
      </c>
      <c r="G25" s="8">
        <f t="shared" si="1"/>
        <v>0.52943533834586465</v>
      </c>
      <c r="H25" s="58">
        <f>[2]DSR!G32</f>
        <v>313</v>
      </c>
      <c r="I25" s="59">
        <v>147</v>
      </c>
      <c r="J25" s="58">
        <f t="shared" si="8"/>
        <v>1651.7687074829932</v>
      </c>
      <c r="K25" s="60">
        <f t="shared" si="9"/>
        <v>2.129251700680272</v>
      </c>
      <c r="L25" s="58">
        <f t="shared" si="10"/>
        <v>775.75079872204469</v>
      </c>
      <c r="M25" s="61">
        <f t="shared" si="2"/>
        <v>0</v>
      </c>
      <c r="N25" s="58">
        <f t="shared" si="3"/>
        <v>0</v>
      </c>
      <c r="O25" s="9">
        <f t="shared" si="4"/>
        <v>1</v>
      </c>
      <c r="P25" s="9">
        <f t="shared" si="11"/>
        <v>20</v>
      </c>
      <c r="Q25" s="62">
        <v>551</v>
      </c>
      <c r="R25" s="63">
        <f t="shared" si="5"/>
        <v>26.678765880217785</v>
      </c>
    </row>
    <row r="26" spans="1:25" x14ac:dyDescent="0.25">
      <c r="A26" s="57">
        <v>43700</v>
      </c>
      <c r="B26" s="76">
        <v>0</v>
      </c>
      <c r="C26" s="58">
        <f t="shared" si="6"/>
        <v>267420</v>
      </c>
      <c r="D26" s="58">
        <f>[2]DSR!F33</f>
        <v>267420</v>
      </c>
      <c r="E26" s="58">
        <f t="shared" si="0"/>
        <v>458620.68965517241</v>
      </c>
      <c r="F26" s="7">
        <f t="shared" si="7"/>
        <v>0.58309624060150378</v>
      </c>
      <c r="G26" s="8">
        <f t="shared" si="1"/>
        <v>0.58309624060150378</v>
      </c>
      <c r="H26" s="58">
        <f>[2]DSR!G33</f>
        <v>396</v>
      </c>
      <c r="I26" s="59">
        <f>68+83</f>
        <v>151</v>
      </c>
      <c r="J26" s="58">
        <f t="shared" si="8"/>
        <v>1770.9933774834437</v>
      </c>
      <c r="K26" s="60">
        <f t="shared" si="9"/>
        <v>2.6225165562913908</v>
      </c>
      <c r="L26" s="58">
        <f t="shared" si="10"/>
        <v>675.30303030303025</v>
      </c>
      <c r="M26" s="61">
        <f t="shared" si="2"/>
        <v>0</v>
      </c>
      <c r="N26" s="58">
        <f t="shared" si="3"/>
        <v>0</v>
      </c>
      <c r="O26" s="9">
        <f t="shared" si="4"/>
        <v>1</v>
      </c>
      <c r="P26" s="9">
        <f t="shared" si="11"/>
        <v>21</v>
      </c>
      <c r="Q26" s="62">
        <v>560</v>
      </c>
      <c r="R26" s="63">
        <f t="shared" si="5"/>
        <v>26.964285714285712</v>
      </c>
    </row>
    <row r="27" spans="1:25" x14ac:dyDescent="0.25">
      <c r="A27" s="57">
        <v>43701</v>
      </c>
      <c r="B27" s="76">
        <v>0</v>
      </c>
      <c r="C27" s="58">
        <f t="shared" si="6"/>
        <v>622875</v>
      </c>
      <c r="D27" s="58">
        <f>[2]DSR!F34</f>
        <v>622875</v>
      </c>
      <c r="E27" s="58">
        <f t="shared" si="0"/>
        <v>458620.68965517241</v>
      </c>
      <c r="F27" s="7">
        <f t="shared" si="7"/>
        <v>1.3581484962406016</v>
      </c>
      <c r="G27" s="8">
        <f t="shared" si="1"/>
        <v>1.3581484962406016</v>
      </c>
      <c r="H27" s="58">
        <f>[2]DSR!G34</f>
        <v>846</v>
      </c>
      <c r="I27" s="59">
        <f>209+107</f>
        <v>316</v>
      </c>
      <c r="J27" s="58">
        <f t="shared" si="8"/>
        <v>1971.123417721519</v>
      </c>
      <c r="K27" s="60">
        <f t="shared" si="9"/>
        <v>2.6772151898734178</v>
      </c>
      <c r="L27" s="58">
        <f t="shared" si="10"/>
        <v>736.25886524822693</v>
      </c>
      <c r="M27" s="61">
        <f t="shared" si="2"/>
        <v>0</v>
      </c>
      <c r="N27" s="58">
        <f t="shared" si="3"/>
        <v>0</v>
      </c>
      <c r="O27" s="9">
        <f t="shared" si="4"/>
        <v>1</v>
      </c>
      <c r="P27" s="9">
        <f t="shared" si="11"/>
        <v>22</v>
      </c>
      <c r="Q27" s="62">
        <v>1218</v>
      </c>
      <c r="R27" s="63">
        <f t="shared" si="5"/>
        <v>25.94417077175698</v>
      </c>
    </row>
    <row r="28" spans="1:25" x14ac:dyDescent="0.25">
      <c r="A28" s="57">
        <v>43702</v>
      </c>
      <c r="B28" s="76">
        <v>302590</v>
      </c>
      <c r="C28" s="58">
        <f t="shared" si="6"/>
        <v>494410</v>
      </c>
      <c r="D28" s="58">
        <f>[2]DSR!F35</f>
        <v>494410</v>
      </c>
      <c r="E28" s="58">
        <f t="shared" si="0"/>
        <v>458620.68965517241</v>
      </c>
      <c r="F28" s="7">
        <f t="shared" si="7"/>
        <v>1.0780368421052631</v>
      </c>
      <c r="G28" s="8">
        <f t="shared" si="1"/>
        <v>1.0780368421052631</v>
      </c>
      <c r="H28" s="58">
        <f>[2]DSR!G35</f>
        <v>740</v>
      </c>
      <c r="I28" s="59">
        <f>104+155</f>
        <v>259</v>
      </c>
      <c r="J28" s="58">
        <f t="shared" si="8"/>
        <v>1908.918918918919</v>
      </c>
      <c r="K28" s="60">
        <f t="shared" si="9"/>
        <v>2.8571428571428572</v>
      </c>
      <c r="L28" s="58">
        <f t="shared" si="10"/>
        <v>668.12162162162167</v>
      </c>
      <c r="M28" s="61">
        <f t="shared" si="2"/>
        <v>0.63392709607059061</v>
      </c>
      <c r="N28" s="58">
        <f t="shared" si="3"/>
        <v>302590</v>
      </c>
      <c r="O28" s="9">
        <f t="shared" si="4"/>
        <v>1</v>
      </c>
      <c r="P28" s="9">
        <f t="shared" si="11"/>
        <v>23</v>
      </c>
      <c r="Q28" s="62">
        <v>1183</v>
      </c>
      <c r="R28" s="63">
        <f t="shared" si="5"/>
        <v>21.893491124260358</v>
      </c>
    </row>
    <row r="29" spans="1:25" x14ac:dyDescent="0.25">
      <c r="A29" s="57">
        <v>43703</v>
      </c>
      <c r="B29" s="76">
        <v>242180</v>
      </c>
      <c r="C29" s="58">
        <f t="shared" si="6"/>
        <v>271325</v>
      </c>
      <c r="D29" s="58">
        <f>[2]DSR!F36</f>
        <v>271325</v>
      </c>
      <c r="E29" s="58">
        <f t="shared" si="0"/>
        <v>458620.68965517241</v>
      </c>
      <c r="F29" s="7">
        <f t="shared" si="7"/>
        <v>0.59161090225563906</v>
      </c>
      <c r="G29" s="8">
        <f t="shared" si="1"/>
        <v>0.59161090225563906</v>
      </c>
      <c r="H29" s="58">
        <f>[2]DSR!G36</f>
        <v>366</v>
      </c>
      <c r="I29" s="59">
        <f>46+97</f>
        <v>143</v>
      </c>
      <c r="J29" s="58">
        <f t="shared" si="8"/>
        <v>1897.3776223776224</v>
      </c>
      <c r="K29" s="60">
        <f t="shared" si="9"/>
        <v>2.5594405594405596</v>
      </c>
      <c r="L29" s="58">
        <f t="shared" si="10"/>
        <v>741.32513661202188</v>
      </c>
      <c r="M29" s="61">
        <f t="shared" si="2"/>
        <v>0.1203443719547444</v>
      </c>
      <c r="N29" s="58">
        <f t="shared" si="3"/>
        <v>242180</v>
      </c>
      <c r="O29" s="9">
        <f t="shared" si="4"/>
        <v>1</v>
      </c>
      <c r="P29" s="9">
        <f t="shared" si="11"/>
        <v>24</v>
      </c>
      <c r="Q29" s="62">
        <v>612</v>
      </c>
      <c r="R29" s="63">
        <f t="shared" si="5"/>
        <v>23.366013071895424</v>
      </c>
    </row>
    <row r="30" spans="1:25" x14ac:dyDescent="0.25">
      <c r="A30" s="57">
        <v>43704</v>
      </c>
      <c r="B30" s="76">
        <v>160060</v>
      </c>
      <c r="C30" s="58">
        <f t="shared" si="6"/>
        <v>290220</v>
      </c>
      <c r="D30" s="58">
        <f>[2]DSR!F37</f>
        <v>290220</v>
      </c>
      <c r="E30" s="58">
        <f t="shared" si="0"/>
        <v>458620.68965517241</v>
      </c>
      <c r="F30" s="7">
        <f t="shared" si="7"/>
        <v>0.63281052631578949</v>
      </c>
      <c r="G30" s="8">
        <f t="shared" si="1"/>
        <v>0.63281052631578949</v>
      </c>
      <c r="H30" s="58">
        <f>[2]DSR!G37</f>
        <v>386</v>
      </c>
      <c r="I30" s="59">
        <v>151</v>
      </c>
      <c r="J30" s="58">
        <f t="shared" si="8"/>
        <v>1921.9867549668875</v>
      </c>
      <c r="K30" s="60">
        <f t="shared" si="9"/>
        <v>2.556291390728477</v>
      </c>
      <c r="L30" s="58">
        <f t="shared" si="10"/>
        <v>751.86528497409324</v>
      </c>
      <c r="M30" s="61">
        <f t="shared" si="2"/>
        <v>0.81319505185555419</v>
      </c>
      <c r="N30" s="58">
        <f t="shared" si="3"/>
        <v>160060</v>
      </c>
      <c r="O30" s="9">
        <f t="shared" si="4"/>
        <v>1</v>
      </c>
      <c r="P30" s="9">
        <f t="shared" si="11"/>
        <v>25</v>
      </c>
      <c r="Q30" s="62">
        <v>741</v>
      </c>
      <c r="R30" s="63">
        <f t="shared" si="5"/>
        <v>20.3778677462888</v>
      </c>
    </row>
    <row r="31" spans="1:25" x14ac:dyDescent="0.25">
      <c r="A31" s="57">
        <v>43705</v>
      </c>
      <c r="B31" s="76">
        <v>262390</v>
      </c>
      <c r="C31" s="58">
        <f t="shared" si="6"/>
        <v>260565</v>
      </c>
      <c r="D31" s="58">
        <f>[2]DSR!F38</f>
        <v>260565</v>
      </c>
      <c r="E31" s="58">
        <f t="shared" si="0"/>
        <v>458620.68965517241</v>
      </c>
      <c r="F31" s="7">
        <f t="shared" si="7"/>
        <v>0.56814924812030076</v>
      </c>
      <c r="G31" s="8">
        <f t="shared" si="1"/>
        <v>0.56814924812030076</v>
      </c>
      <c r="H31" s="58">
        <f>[2]DSR!G38</f>
        <v>369</v>
      </c>
      <c r="I31" s="59">
        <v>119</v>
      </c>
      <c r="J31" s="58">
        <f t="shared" si="8"/>
        <v>2189.6218487394958</v>
      </c>
      <c r="K31" s="60">
        <f t="shared" si="9"/>
        <v>3.1008403361344539</v>
      </c>
      <c r="L31" s="58">
        <f t="shared" si="10"/>
        <v>706.13821138211381</v>
      </c>
      <c r="M31" s="61">
        <f t="shared" si="2"/>
        <v>-6.9552955524219669E-3</v>
      </c>
      <c r="N31" s="58">
        <f t="shared" si="3"/>
        <v>262390</v>
      </c>
      <c r="O31" s="9">
        <f t="shared" si="4"/>
        <v>1</v>
      </c>
      <c r="P31" s="9">
        <f t="shared" si="11"/>
        <v>26</v>
      </c>
      <c r="Q31" s="62">
        <v>586</v>
      </c>
      <c r="R31" s="63">
        <f t="shared" si="5"/>
        <v>20.30716723549488</v>
      </c>
      <c r="T31" s="14"/>
      <c r="V31" s="78"/>
    </row>
    <row r="32" spans="1:25" x14ac:dyDescent="0.25">
      <c r="A32" s="57">
        <v>43706</v>
      </c>
      <c r="B32" s="76">
        <v>305610</v>
      </c>
      <c r="C32" s="58">
        <f t="shared" si="6"/>
        <v>200490</v>
      </c>
      <c r="D32" s="58">
        <f>[2]DSR!F39</f>
        <v>200490</v>
      </c>
      <c r="E32" s="58">
        <f t="shared" si="0"/>
        <v>458620.68965517241</v>
      </c>
      <c r="F32" s="7">
        <f t="shared" si="7"/>
        <v>0.43715864661654136</v>
      </c>
      <c r="G32" s="8">
        <f t="shared" si="1"/>
        <v>0.43715864661654136</v>
      </c>
      <c r="H32" s="58">
        <f>[2]DSR!G39</f>
        <v>268</v>
      </c>
      <c r="I32" s="59">
        <v>112</v>
      </c>
      <c r="J32" s="58">
        <f t="shared" si="8"/>
        <v>1790.0892857142858</v>
      </c>
      <c r="K32" s="60">
        <f t="shared" si="9"/>
        <v>2.3928571428571428</v>
      </c>
      <c r="L32" s="58">
        <f t="shared" si="10"/>
        <v>748.09701492537317</v>
      </c>
      <c r="M32" s="61">
        <f t="shared" si="2"/>
        <v>-0.34396780210071659</v>
      </c>
      <c r="N32" s="58">
        <f t="shared" si="3"/>
        <v>305610</v>
      </c>
      <c r="O32" s="9">
        <f t="shared" si="4"/>
        <v>1</v>
      </c>
      <c r="P32" s="9">
        <f t="shared" si="11"/>
        <v>27</v>
      </c>
      <c r="Q32" s="62">
        <v>480</v>
      </c>
      <c r="R32" s="63">
        <f t="shared" si="5"/>
        <v>23.333333333333332</v>
      </c>
    </row>
    <row r="33" spans="1:18" x14ac:dyDescent="0.25">
      <c r="A33" s="57">
        <v>43707</v>
      </c>
      <c r="B33" s="76">
        <v>237970</v>
      </c>
      <c r="C33" s="58">
        <f t="shared" si="6"/>
        <v>327990</v>
      </c>
      <c r="D33" s="58">
        <f>[2]DSR!F40</f>
        <v>327990</v>
      </c>
      <c r="E33" s="58">
        <f t="shared" si="0"/>
        <v>458620.68965517241</v>
      </c>
      <c r="F33" s="7">
        <f t="shared" si="7"/>
        <v>0.71516616541353384</v>
      </c>
      <c r="G33" s="8">
        <f t="shared" si="1"/>
        <v>0.71516616541353384</v>
      </c>
      <c r="H33" s="58">
        <f>[2]DSR!G40</f>
        <v>454</v>
      </c>
      <c r="I33" s="59">
        <f>93+78</f>
        <v>171</v>
      </c>
      <c r="J33" s="58">
        <f t="shared" si="8"/>
        <v>1918.0701754385964</v>
      </c>
      <c r="K33" s="60">
        <f t="shared" si="9"/>
        <v>2.6549707602339181</v>
      </c>
      <c r="L33" s="58">
        <f t="shared" si="10"/>
        <v>722.4449339207049</v>
      </c>
      <c r="M33" s="61">
        <f t="shared" si="2"/>
        <v>0.37828297684582091</v>
      </c>
      <c r="N33" s="58">
        <f t="shared" si="3"/>
        <v>237970</v>
      </c>
      <c r="O33" s="9">
        <f t="shared" si="4"/>
        <v>1</v>
      </c>
      <c r="P33" s="9">
        <f t="shared" si="11"/>
        <v>28</v>
      </c>
      <c r="Q33" s="62">
        <v>812</v>
      </c>
      <c r="R33" s="63">
        <f t="shared" si="5"/>
        <v>21.059113300492609</v>
      </c>
    </row>
    <row r="34" spans="1:18" x14ac:dyDescent="0.25">
      <c r="A34" s="57">
        <v>43708</v>
      </c>
      <c r="B34" s="64">
        <v>324120</v>
      </c>
      <c r="C34" s="58">
        <f t="shared" si="6"/>
        <v>610415</v>
      </c>
      <c r="D34" s="58">
        <f>[2]DSR!F41</f>
        <v>610415</v>
      </c>
      <c r="E34" s="58">
        <f t="shared" si="0"/>
        <v>458620.68965517241</v>
      </c>
      <c r="F34" s="7">
        <f t="shared" si="7"/>
        <v>1.3309800751879699</v>
      </c>
      <c r="G34" s="8">
        <f t="shared" si="1"/>
        <v>1.3309800751879699</v>
      </c>
      <c r="H34" s="58">
        <f>[2]DSR!G41</f>
        <v>777</v>
      </c>
      <c r="I34" s="59">
        <f>93+211</f>
        <v>304</v>
      </c>
      <c r="J34" s="58">
        <f t="shared" si="8"/>
        <v>2007.9440789473683</v>
      </c>
      <c r="K34" s="60">
        <f t="shared" si="9"/>
        <v>2.5559210526315788</v>
      </c>
      <c r="L34" s="58">
        <f t="shared" si="10"/>
        <v>785.60489060489056</v>
      </c>
      <c r="M34" s="61">
        <f t="shared" si="2"/>
        <v>0.88329939528569668</v>
      </c>
      <c r="N34" s="58">
        <f t="shared" si="3"/>
        <v>324120</v>
      </c>
      <c r="O34" s="9">
        <f t="shared" si="4"/>
        <v>1</v>
      </c>
      <c r="P34" s="9">
        <f t="shared" si="11"/>
        <v>29</v>
      </c>
      <c r="Q34" s="62">
        <v>1416</v>
      </c>
      <c r="R34" s="63">
        <f t="shared" si="5"/>
        <v>21.468926553672315</v>
      </c>
    </row>
    <row r="35" spans="1:18" ht="16.5" thickBot="1" x14ac:dyDescent="0.3">
      <c r="A35" s="65"/>
      <c r="B35" s="66">
        <f>SUM(B4:B34)</f>
        <v>10916860</v>
      </c>
      <c r="C35" s="66">
        <f>SUBTOTAL(9,C4:C34)</f>
        <v>13380965</v>
      </c>
      <c r="D35" s="66">
        <f>SUBTOTAL(9,D4:D34)</f>
        <v>13380965</v>
      </c>
      <c r="E35" s="66">
        <f>SUBTOTAL(9,E4:E34)</f>
        <v>14217241.37931034</v>
      </c>
      <c r="F35" s="67"/>
      <c r="G35" s="67">
        <f>IFERROR(AVERAGE(G4:G34),0)</f>
        <v>1.0060875939849623</v>
      </c>
      <c r="H35" s="66">
        <f>SUBTOTAL(9,H4:H34)</f>
        <v>19693</v>
      </c>
      <c r="I35" s="66">
        <f>SUBTOTAL(9,I4:I34)</f>
        <v>7283</v>
      </c>
      <c r="J35" s="66">
        <f>IFERROR((D35/I35),0)</f>
        <v>1837.2875188795826</v>
      </c>
      <c r="K35" s="68">
        <f>IFERROR((H35/I35),0)</f>
        <v>2.7039681449951942</v>
      </c>
      <c r="L35" s="69">
        <f>D35/H35</f>
        <v>679.47824099933985</v>
      </c>
      <c r="M35" s="70">
        <f>IFERROR(((D35-N35)/N35),0)</f>
        <v>0.37067750427665613</v>
      </c>
      <c r="N35" s="71">
        <f>SUM(N4:N34)</f>
        <v>9762300</v>
      </c>
      <c r="O35" s="72">
        <f>SUM(O4:O34)</f>
        <v>29</v>
      </c>
      <c r="P35" s="73">
        <f>P34</f>
        <v>29</v>
      </c>
      <c r="Q35" s="79">
        <f>SUM(Q4:Q34)</f>
        <v>24257</v>
      </c>
      <c r="R35" s="80">
        <f>I35/Q35*100</f>
        <v>30.024322875870883</v>
      </c>
    </row>
    <row r="36" spans="1:18" x14ac:dyDescent="0.25">
      <c r="D36" s="15">
        <f>D35/P35</f>
        <v>461412.58620689658</v>
      </c>
    </row>
    <row r="37" spans="1:18" x14ac:dyDescent="0.25">
      <c r="D37" s="16">
        <f>U4*D36</f>
        <v>13380965</v>
      </c>
    </row>
    <row r="38" spans="1:18" ht="15.75" thickBot="1" x14ac:dyDescent="0.3">
      <c r="D38" s="17">
        <f>D37/U5*100%</f>
        <v>1.0060875939849625</v>
      </c>
    </row>
  </sheetData>
  <protectedRanges>
    <protectedRange sqref="A4:A34" name="Sales Value_1_1"/>
    <protectedRange sqref="B4:B34" name="Sales Value_2_1"/>
  </protectedRanges>
  <mergeCells count="35">
    <mergeCell ref="U16:V16"/>
    <mergeCell ref="U20:V20"/>
    <mergeCell ref="U17:V17"/>
    <mergeCell ref="U18:V18"/>
    <mergeCell ref="U19:V19"/>
    <mergeCell ref="O2:O3"/>
    <mergeCell ref="P2:P3"/>
    <mergeCell ref="Q2:Q3"/>
    <mergeCell ref="R2:R3"/>
    <mergeCell ref="T2:T3"/>
    <mergeCell ref="U9:V9"/>
    <mergeCell ref="U15:V15"/>
    <mergeCell ref="U4:V4"/>
    <mergeCell ref="U5:V5"/>
    <mergeCell ref="U6:V6"/>
    <mergeCell ref="U10:V10"/>
    <mergeCell ref="U11:V11"/>
    <mergeCell ref="U12:V12"/>
    <mergeCell ref="U13:V13"/>
    <mergeCell ref="U14:V14"/>
    <mergeCell ref="U8:V8"/>
    <mergeCell ref="M2:M3"/>
    <mergeCell ref="N2:N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M4:N35">
    <cfRule type="cellIs" dxfId="58" priority="5" operator="lessThan">
      <formula>0</formula>
    </cfRule>
  </conditionalFormatting>
  <conditionalFormatting sqref="U12:V12">
    <cfRule type="cellIs" dxfId="57" priority="4" operator="lessThan">
      <formula>0</formula>
    </cfRule>
  </conditionalFormatting>
  <conditionalFormatting sqref="G35">
    <cfRule type="cellIs" dxfId="56" priority="3" operator="lessThan">
      <formula>1</formula>
    </cfRule>
  </conditionalFormatting>
  <conditionalFormatting sqref="U15">
    <cfRule type="cellIs" dxfId="55" priority="2" operator="lessThan">
      <formula>0</formula>
    </cfRule>
  </conditionalFormatting>
  <conditionalFormatting sqref="G4:G34">
    <cfRule type="cellIs" dxfId="54" priority="1" operator="lessThan">
      <formula>1</formula>
    </cfRule>
  </conditionalFormatting>
  <pageMargins left="0" right="0" top="0" bottom="0" header="0" footer="0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D36" sqref="D36"/>
    </sheetView>
  </sheetViews>
  <sheetFormatPr defaultRowHeight="15" x14ac:dyDescent="0.25"/>
  <cols>
    <col min="1" max="1" width="26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.85546875" style="2" bestFit="1" customWidth="1"/>
    <col min="13" max="13" width="7" style="2" customWidth="1"/>
    <col min="14" max="14" width="12.140625" style="2" hidden="1" customWidth="1"/>
    <col min="15" max="15" width="7.7109375" style="2" hidden="1" customWidth="1"/>
    <col min="16" max="16" width="0.140625" style="2" hidden="1" customWidth="1"/>
    <col min="17" max="17" width="7.7109375" style="2" customWidth="1"/>
    <col min="18" max="18" width="10.28515625" style="2" bestFit="1" customWidth="1"/>
    <col min="19" max="19" width="0.5703125" style="2" customWidth="1"/>
    <col min="20" max="20" width="18.42578125" style="2" bestFit="1" customWidth="1"/>
    <col min="21" max="21" width="8.140625" style="2" bestFit="1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customHeight="1" thickBot="1" x14ac:dyDescent="0.3">
      <c r="A2" s="84" t="s">
        <v>0</v>
      </c>
      <c r="B2" s="86" t="s">
        <v>59</v>
      </c>
      <c r="C2" s="82" t="s">
        <v>1</v>
      </c>
      <c r="D2" s="86" t="s">
        <v>72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43709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43738</v>
      </c>
    </row>
    <row r="4" spans="1:22" ht="16.5" thickBot="1" x14ac:dyDescent="0.3">
      <c r="A4" s="57">
        <v>43709</v>
      </c>
      <c r="B4" s="76">
        <v>434430</v>
      </c>
      <c r="C4" s="58">
        <f>D4</f>
        <v>303845</v>
      </c>
      <c r="D4" s="58">
        <f>[3]DSR!F11</f>
        <v>303845</v>
      </c>
      <c r="E4" s="58">
        <f t="shared" ref="E4:E34" si="0">$U$6</f>
        <v>464285.71428571426</v>
      </c>
      <c r="F4" s="7">
        <f>D4/E4</f>
        <v>0.65443538461538464</v>
      </c>
      <c r="G4" s="8">
        <f t="shared" ref="G4:G34" si="1">IF(O4=1,F4,"-")</f>
        <v>0.65443538461538464</v>
      </c>
      <c r="H4" s="58">
        <f>[3]DSR!G11</f>
        <v>396</v>
      </c>
      <c r="I4" s="59">
        <v>151</v>
      </c>
      <c r="J4" s="58">
        <f>IFERROR((D4/I4),0)</f>
        <v>2012.2185430463576</v>
      </c>
      <c r="K4" s="60">
        <f>IFERROR((H4/I4),0)</f>
        <v>2.6225165562913908</v>
      </c>
      <c r="L4" s="58">
        <f>D4/H4</f>
        <v>767.28535353535358</v>
      </c>
      <c r="M4" s="61">
        <f>IFERROR(((D4-B4)/B4),0)</f>
        <v>-0.30058927790438045</v>
      </c>
      <c r="N4" s="58">
        <f t="shared" ref="N4:N34" si="2">B4*O4</f>
        <v>434430</v>
      </c>
      <c r="O4" s="9">
        <f t="shared" ref="O4:O34" si="3">IF(D4&gt;0,1,0)</f>
        <v>1</v>
      </c>
      <c r="P4" s="9">
        <f>O4</f>
        <v>1</v>
      </c>
      <c r="Q4" s="62">
        <v>754</v>
      </c>
      <c r="R4" s="63">
        <f t="shared" ref="R4:R34" si="4">I4/Q4*100</f>
        <v>20.026525198938991</v>
      </c>
      <c r="T4" s="6" t="s">
        <v>15</v>
      </c>
      <c r="U4" s="98">
        <v>28</v>
      </c>
      <c r="V4" s="98"/>
    </row>
    <row r="5" spans="1:22" ht="16.5" thickBot="1" x14ac:dyDescent="0.3">
      <c r="A5" s="57">
        <v>43710</v>
      </c>
      <c r="B5" s="76">
        <v>314430</v>
      </c>
      <c r="C5" s="58">
        <f t="shared" ref="C5:C34" si="5">D5</f>
        <v>230255</v>
      </c>
      <c r="D5" s="58">
        <f>[3]DSR!F12</f>
        <v>230255</v>
      </c>
      <c r="E5" s="58">
        <f t="shared" si="0"/>
        <v>464285.71428571426</v>
      </c>
      <c r="F5" s="7">
        <f t="shared" ref="F5:F34" si="6">D5/E5</f>
        <v>0.49593384615384617</v>
      </c>
      <c r="G5" s="8">
        <f t="shared" si="1"/>
        <v>0.49593384615384617</v>
      </c>
      <c r="H5" s="58">
        <f>[3]DSR!G12</f>
        <v>322</v>
      </c>
      <c r="I5" s="59">
        <f>10+115</f>
        <v>125</v>
      </c>
      <c r="J5" s="58">
        <f t="shared" ref="J5:J34" si="7">IFERROR((D5/I5),0)</f>
        <v>1842.04</v>
      </c>
      <c r="K5" s="60">
        <f t="shared" ref="K5:K34" si="8">IFERROR((H5/I5),0)</f>
        <v>2.5760000000000001</v>
      </c>
      <c r="L5" s="58">
        <f t="shared" ref="L5:L34" si="9">D5/H5</f>
        <v>715.07763975155285</v>
      </c>
      <c r="M5" s="61">
        <f t="shared" ref="M5:M34" si="10">IFERROR(((D5-B5)/B5),0)</f>
        <v>-0.26770664376808828</v>
      </c>
      <c r="N5" s="58">
        <f t="shared" si="2"/>
        <v>314430</v>
      </c>
      <c r="O5" s="9">
        <f t="shared" si="3"/>
        <v>1</v>
      </c>
      <c r="P5" s="9">
        <f t="shared" ref="P5:P34" si="11">P4+O5</f>
        <v>2</v>
      </c>
      <c r="Q5" s="62">
        <v>617</v>
      </c>
      <c r="R5" s="63">
        <f t="shared" si="4"/>
        <v>20.25931928687196</v>
      </c>
      <c r="T5" s="6" t="s">
        <v>16</v>
      </c>
      <c r="U5" s="99">
        <v>13000000</v>
      </c>
      <c r="V5" s="99"/>
    </row>
    <row r="6" spans="1:22" ht="16.5" thickBot="1" x14ac:dyDescent="0.3">
      <c r="A6" s="57">
        <v>43711</v>
      </c>
      <c r="B6" s="76">
        <v>208650</v>
      </c>
      <c r="C6" s="58">
        <f t="shared" si="5"/>
        <v>269080</v>
      </c>
      <c r="D6" s="58">
        <f>[3]DSR!F13</f>
        <v>269080</v>
      </c>
      <c r="E6" s="58">
        <f t="shared" si="0"/>
        <v>464285.71428571426</v>
      </c>
      <c r="F6" s="7">
        <f t="shared" si="6"/>
        <v>0.57955692307692308</v>
      </c>
      <c r="G6" s="8">
        <f t="shared" si="1"/>
        <v>0.57955692307692308</v>
      </c>
      <c r="H6" s="58">
        <f>[3]DSR!G13</f>
        <v>370</v>
      </c>
      <c r="I6" s="59">
        <f>12+125</f>
        <v>137</v>
      </c>
      <c r="J6" s="58">
        <f t="shared" si="7"/>
        <v>1964.087591240876</v>
      </c>
      <c r="K6" s="60">
        <f t="shared" si="8"/>
        <v>2.7007299270072993</v>
      </c>
      <c r="L6" s="58">
        <f t="shared" si="9"/>
        <v>727.24324324324323</v>
      </c>
      <c r="M6" s="61">
        <f t="shared" si="10"/>
        <v>0.28962377186676252</v>
      </c>
      <c r="N6" s="58">
        <f t="shared" si="2"/>
        <v>208650</v>
      </c>
      <c r="O6" s="9">
        <f t="shared" si="3"/>
        <v>1</v>
      </c>
      <c r="P6" s="9">
        <f t="shared" si="11"/>
        <v>3</v>
      </c>
      <c r="Q6" s="62">
        <v>651</v>
      </c>
      <c r="R6" s="63">
        <f t="shared" si="4"/>
        <v>21.044546850998465</v>
      </c>
      <c r="T6" s="6" t="s">
        <v>17</v>
      </c>
      <c r="U6" s="100">
        <f>IFERROR((U5/U4),0)</f>
        <v>464285.71428571426</v>
      </c>
      <c r="V6" s="100"/>
    </row>
    <row r="7" spans="1:22" ht="16.5" thickBot="1" x14ac:dyDescent="0.3">
      <c r="A7" s="57">
        <v>43712</v>
      </c>
      <c r="B7" s="76">
        <v>229900</v>
      </c>
      <c r="C7" s="58">
        <f t="shared" si="5"/>
        <v>304635</v>
      </c>
      <c r="D7" s="58">
        <f>[3]DSR!F14</f>
        <v>304635</v>
      </c>
      <c r="E7" s="58">
        <f t="shared" si="0"/>
        <v>464285.71428571426</v>
      </c>
      <c r="F7" s="7">
        <f t="shared" si="6"/>
        <v>0.65613692307692306</v>
      </c>
      <c r="G7" s="8">
        <f t="shared" si="1"/>
        <v>0.65613692307692306</v>
      </c>
      <c r="H7" s="58">
        <f>[3]DSR!G14</f>
        <v>389</v>
      </c>
      <c r="I7" s="59">
        <f>110+40</f>
        <v>150</v>
      </c>
      <c r="J7" s="58">
        <f t="shared" si="7"/>
        <v>2030.9</v>
      </c>
      <c r="K7" s="60">
        <f t="shared" si="8"/>
        <v>2.5933333333333333</v>
      </c>
      <c r="L7" s="58">
        <f t="shared" si="9"/>
        <v>783.12339331619535</v>
      </c>
      <c r="M7" s="61">
        <f t="shared" si="10"/>
        <v>0.3250761200521966</v>
      </c>
      <c r="N7" s="58">
        <f t="shared" si="2"/>
        <v>229900</v>
      </c>
      <c r="O7" s="9">
        <f t="shared" si="3"/>
        <v>1</v>
      </c>
      <c r="P7" s="9">
        <f t="shared" si="11"/>
        <v>4</v>
      </c>
      <c r="Q7" s="62">
        <v>769</v>
      </c>
      <c r="R7" s="63">
        <f t="shared" si="4"/>
        <v>19.505851755526656</v>
      </c>
      <c r="T7" s="6" t="s">
        <v>18</v>
      </c>
      <c r="U7" s="10">
        <f>IFERROR((V7/U5),0)</f>
        <v>0.6540188461538462</v>
      </c>
      <c r="V7" s="11">
        <f>D35</f>
        <v>8502245</v>
      </c>
    </row>
    <row r="8" spans="1:22" ht="16.5" thickBot="1" x14ac:dyDescent="0.3">
      <c r="A8" s="57">
        <v>43713</v>
      </c>
      <c r="B8" s="76">
        <v>166580</v>
      </c>
      <c r="C8" s="58">
        <f t="shared" si="5"/>
        <v>234440</v>
      </c>
      <c r="D8" s="58">
        <f>[3]DSR!F15</f>
        <v>234440</v>
      </c>
      <c r="E8" s="58">
        <f t="shared" si="0"/>
        <v>464285.71428571426</v>
      </c>
      <c r="F8" s="7">
        <f t="shared" si="6"/>
        <v>0.50494769230769232</v>
      </c>
      <c r="G8" s="8">
        <f t="shared" si="1"/>
        <v>0.50494769230769232</v>
      </c>
      <c r="H8" s="58">
        <f>[3]DSR!G15</f>
        <v>312</v>
      </c>
      <c r="I8" s="59">
        <v>135</v>
      </c>
      <c r="J8" s="58">
        <f t="shared" si="7"/>
        <v>1736.5925925925926</v>
      </c>
      <c r="K8" s="60">
        <f t="shared" si="8"/>
        <v>2.3111111111111109</v>
      </c>
      <c r="L8" s="58">
        <f t="shared" si="9"/>
        <v>751.41025641025647</v>
      </c>
      <c r="M8" s="61">
        <f t="shared" si="10"/>
        <v>0.40737183335334376</v>
      </c>
      <c r="N8" s="58">
        <f t="shared" si="2"/>
        <v>166580</v>
      </c>
      <c r="O8" s="9">
        <f t="shared" si="3"/>
        <v>1</v>
      </c>
      <c r="P8" s="9">
        <f t="shared" si="11"/>
        <v>5</v>
      </c>
      <c r="Q8" s="62">
        <v>495</v>
      </c>
      <c r="R8" s="63">
        <f t="shared" si="4"/>
        <v>27.27272727272727</v>
      </c>
      <c r="T8" s="6" t="s">
        <v>19</v>
      </c>
      <c r="U8" s="108">
        <f>IFERROR((U12*U4),0)</f>
        <v>8502245</v>
      </c>
      <c r="V8" s="109"/>
    </row>
    <row r="9" spans="1:22" ht="16.5" thickBot="1" x14ac:dyDescent="0.3">
      <c r="A9" s="57">
        <v>43714</v>
      </c>
      <c r="B9" s="76">
        <v>243740</v>
      </c>
      <c r="C9" s="58">
        <f t="shared" si="5"/>
        <v>479425</v>
      </c>
      <c r="D9" s="58">
        <f>[3]DSR!F16</f>
        <v>479425</v>
      </c>
      <c r="E9" s="58">
        <f t="shared" si="0"/>
        <v>464285.71428571426</v>
      </c>
      <c r="F9" s="7">
        <f t="shared" si="6"/>
        <v>1.0326076923076923</v>
      </c>
      <c r="G9" s="8">
        <f t="shared" si="1"/>
        <v>1.0326076923076923</v>
      </c>
      <c r="H9" s="58">
        <f>[3]DSR!G16</f>
        <v>700</v>
      </c>
      <c r="I9" s="59">
        <f>97+175</f>
        <v>272</v>
      </c>
      <c r="J9" s="58">
        <f t="shared" si="7"/>
        <v>1762.5919117647059</v>
      </c>
      <c r="K9" s="60">
        <f t="shared" si="8"/>
        <v>2.5735294117647061</v>
      </c>
      <c r="L9" s="58">
        <f t="shared" si="9"/>
        <v>684.89285714285711</v>
      </c>
      <c r="M9" s="61">
        <f t="shared" si="10"/>
        <v>0.96695249035857878</v>
      </c>
      <c r="N9" s="58">
        <f t="shared" si="2"/>
        <v>243740</v>
      </c>
      <c r="O9" s="9">
        <f t="shared" si="3"/>
        <v>1</v>
      </c>
      <c r="P9" s="9">
        <f t="shared" si="11"/>
        <v>6</v>
      </c>
      <c r="Q9" s="62">
        <v>1037</v>
      </c>
      <c r="R9" s="63">
        <f t="shared" si="4"/>
        <v>26.229508196721312</v>
      </c>
      <c r="T9" s="6" t="s">
        <v>20</v>
      </c>
      <c r="U9" s="90">
        <f>H35</f>
        <v>12250</v>
      </c>
      <c r="V9" s="91"/>
    </row>
    <row r="10" spans="1:22" ht="16.5" thickBot="1" x14ac:dyDescent="0.3">
      <c r="A10" s="57">
        <v>43715</v>
      </c>
      <c r="B10" s="76">
        <v>206400</v>
      </c>
      <c r="C10" s="58">
        <f t="shared" si="5"/>
        <v>511395</v>
      </c>
      <c r="D10" s="58">
        <f>[3]DSR!F17</f>
        <v>511395</v>
      </c>
      <c r="E10" s="58">
        <f t="shared" si="0"/>
        <v>464285.71428571426</v>
      </c>
      <c r="F10" s="7">
        <f>D10/E10</f>
        <v>1.1014661538461539</v>
      </c>
      <c r="G10" s="8">
        <f t="shared" si="1"/>
        <v>1.1014661538461539</v>
      </c>
      <c r="H10" s="58">
        <f>[3]DSR!G17</f>
        <v>770</v>
      </c>
      <c r="I10" s="59">
        <f>90+232</f>
        <v>322</v>
      </c>
      <c r="J10" s="58">
        <f>IFERROR((D10/I10),0)</f>
        <v>1588.1832298136646</v>
      </c>
      <c r="K10" s="60">
        <f t="shared" si="8"/>
        <v>2.3913043478260869</v>
      </c>
      <c r="L10" s="58">
        <f>D10/H10</f>
        <v>664.14935064935059</v>
      </c>
      <c r="M10" s="61">
        <f>IFERROR(((D10-B10)/B10),0)</f>
        <v>1.4776889534883721</v>
      </c>
      <c r="N10" s="58">
        <f t="shared" si="2"/>
        <v>206400</v>
      </c>
      <c r="O10" s="9">
        <f>IF(D10&gt;0,1,0)</f>
        <v>1</v>
      </c>
      <c r="P10" s="9">
        <f t="shared" si="11"/>
        <v>7</v>
      </c>
      <c r="Q10" s="62">
        <v>1312</v>
      </c>
      <c r="R10" s="63">
        <f t="shared" si="4"/>
        <v>24.542682926829269</v>
      </c>
      <c r="T10" s="6" t="s">
        <v>21</v>
      </c>
      <c r="U10" s="100">
        <f>IFERROR((U9/P35),0)</f>
        <v>437.5</v>
      </c>
      <c r="V10" s="100"/>
    </row>
    <row r="11" spans="1:22" ht="16.5" thickBot="1" x14ac:dyDescent="0.3">
      <c r="A11" s="57">
        <v>43716</v>
      </c>
      <c r="B11" s="76">
        <v>392390</v>
      </c>
      <c r="C11" s="58">
        <f t="shared" si="5"/>
        <v>253340</v>
      </c>
      <c r="D11" s="58">
        <f>[3]DSR!F18</f>
        <v>253340</v>
      </c>
      <c r="E11" s="58">
        <f t="shared" si="0"/>
        <v>464285.71428571426</v>
      </c>
      <c r="F11" s="7">
        <f t="shared" si="6"/>
        <v>0.54565538461538465</v>
      </c>
      <c r="G11" s="8">
        <f t="shared" si="1"/>
        <v>0.54565538461538465</v>
      </c>
      <c r="H11" s="58">
        <f>[3]DSR!G18</f>
        <v>393</v>
      </c>
      <c r="I11" s="59">
        <v>146</v>
      </c>
      <c r="J11" s="58">
        <f t="shared" si="7"/>
        <v>1735.2054794520548</v>
      </c>
      <c r="K11" s="60">
        <f t="shared" si="8"/>
        <v>2.6917808219178081</v>
      </c>
      <c r="L11" s="58">
        <f t="shared" si="9"/>
        <v>644.63104325699749</v>
      </c>
      <c r="M11" s="61">
        <f t="shared" si="10"/>
        <v>-0.35436682892020693</v>
      </c>
      <c r="N11" s="58">
        <f t="shared" si="2"/>
        <v>392390</v>
      </c>
      <c r="O11" s="9">
        <f t="shared" si="3"/>
        <v>1</v>
      </c>
      <c r="P11" s="9">
        <f t="shared" si="11"/>
        <v>8</v>
      </c>
      <c r="Q11" s="62">
        <v>659</v>
      </c>
      <c r="R11" s="63">
        <f t="shared" si="4"/>
        <v>22.154779969650988</v>
      </c>
      <c r="T11" s="6" t="s">
        <v>22</v>
      </c>
      <c r="U11" s="100">
        <f>D35</f>
        <v>8502245</v>
      </c>
      <c r="V11" s="100"/>
    </row>
    <row r="12" spans="1:22" ht="16.5" thickBot="1" x14ac:dyDescent="0.3">
      <c r="A12" s="57">
        <v>43717</v>
      </c>
      <c r="B12" s="76">
        <v>410390</v>
      </c>
      <c r="C12" s="58">
        <f t="shared" si="5"/>
        <v>0</v>
      </c>
      <c r="D12" s="58">
        <f>[3]DSR!F19</f>
        <v>0</v>
      </c>
      <c r="E12" s="58">
        <f t="shared" si="0"/>
        <v>464285.71428571426</v>
      </c>
      <c r="F12" s="7">
        <f t="shared" si="6"/>
        <v>0</v>
      </c>
      <c r="G12" s="8" t="str">
        <f t="shared" si="1"/>
        <v>-</v>
      </c>
      <c r="H12" s="58">
        <f>[3]DSR!G19</f>
        <v>0</v>
      </c>
      <c r="I12" s="59"/>
      <c r="J12" s="58">
        <f t="shared" si="7"/>
        <v>0</v>
      </c>
      <c r="K12" s="60">
        <f t="shared" si="8"/>
        <v>0</v>
      </c>
      <c r="L12" s="58" t="e">
        <f t="shared" si="9"/>
        <v>#DIV/0!</v>
      </c>
      <c r="M12" s="61">
        <f t="shared" si="10"/>
        <v>-1</v>
      </c>
      <c r="N12" s="58">
        <f t="shared" si="2"/>
        <v>0</v>
      </c>
      <c r="O12" s="9">
        <f t="shared" si="3"/>
        <v>0</v>
      </c>
      <c r="P12" s="9">
        <f t="shared" si="11"/>
        <v>8</v>
      </c>
      <c r="Q12" s="62">
        <v>561</v>
      </c>
      <c r="R12" s="63">
        <f t="shared" si="4"/>
        <v>0</v>
      </c>
      <c r="T12" s="6" t="s">
        <v>23</v>
      </c>
      <c r="U12" s="90">
        <f>IFERROR((D35/P35),0)</f>
        <v>303651.60714285716</v>
      </c>
      <c r="V12" s="91"/>
    </row>
    <row r="13" spans="1:22" ht="16.5" thickBot="1" x14ac:dyDescent="0.3">
      <c r="A13" s="57">
        <v>43718</v>
      </c>
      <c r="B13" s="76">
        <v>173450</v>
      </c>
      <c r="C13" s="58">
        <f t="shared" si="5"/>
        <v>0</v>
      </c>
      <c r="D13" s="58">
        <f>[3]DSR!F20</f>
        <v>0</v>
      </c>
      <c r="E13" s="58">
        <f t="shared" si="0"/>
        <v>464285.71428571426</v>
      </c>
      <c r="F13" s="7">
        <f t="shared" si="6"/>
        <v>0</v>
      </c>
      <c r="G13" s="8" t="str">
        <f t="shared" si="1"/>
        <v>-</v>
      </c>
      <c r="H13" s="58">
        <f>[3]DSR!G20</f>
        <v>0</v>
      </c>
      <c r="I13" s="59"/>
      <c r="J13" s="58">
        <f t="shared" si="7"/>
        <v>0</v>
      </c>
      <c r="K13" s="60">
        <f t="shared" si="8"/>
        <v>0</v>
      </c>
      <c r="L13" s="58" t="e">
        <f t="shared" si="9"/>
        <v>#DIV/0!</v>
      </c>
      <c r="M13" s="61">
        <f t="shared" si="10"/>
        <v>-1</v>
      </c>
      <c r="N13" s="58">
        <f t="shared" si="2"/>
        <v>0</v>
      </c>
      <c r="O13" s="9">
        <f t="shared" si="3"/>
        <v>0</v>
      </c>
      <c r="P13" s="9">
        <f t="shared" si="11"/>
        <v>8</v>
      </c>
      <c r="Q13" s="62"/>
      <c r="R13" s="63" t="e">
        <f t="shared" si="4"/>
        <v>#DIV/0!</v>
      </c>
      <c r="T13" s="6" t="s">
        <v>24</v>
      </c>
      <c r="U13" s="100">
        <f>U5-D35</f>
        <v>4497755</v>
      </c>
      <c r="V13" s="100"/>
    </row>
    <row r="14" spans="1:22" ht="16.5" thickBot="1" x14ac:dyDescent="0.3">
      <c r="A14" s="57">
        <v>43719</v>
      </c>
      <c r="B14" s="76">
        <v>198100</v>
      </c>
      <c r="C14" s="58">
        <f t="shared" si="5"/>
        <v>292770</v>
      </c>
      <c r="D14" s="58">
        <f>[3]DSR!F21</f>
        <v>292770</v>
      </c>
      <c r="E14" s="58">
        <f t="shared" si="0"/>
        <v>464285.71428571426</v>
      </c>
      <c r="F14" s="7">
        <f t="shared" si="6"/>
        <v>0.63058153846153853</v>
      </c>
      <c r="G14" s="8">
        <f t="shared" si="1"/>
        <v>0.63058153846153853</v>
      </c>
      <c r="H14" s="58">
        <f>[3]DSR!G21</f>
        <v>403</v>
      </c>
      <c r="I14" s="59">
        <v>176</v>
      </c>
      <c r="J14" s="58">
        <f t="shared" si="7"/>
        <v>1663.465909090909</v>
      </c>
      <c r="K14" s="60">
        <f t="shared" si="8"/>
        <v>2.2897727272727271</v>
      </c>
      <c r="L14" s="58">
        <f t="shared" si="9"/>
        <v>726.47642679900741</v>
      </c>
      <c r="M14" s="61">
        <f t="shared" si="10"/>
        <v>0.47788995456839978</v>
      </c>
      <c r="N14" s="58">
        <f t="shared" si="2"/>
        <v>198100</v>
      </c>
      <c r="O14" s="9">
        <f t="shared" si="3"/>
        <v>1</v>
      </c>
      <c r="P14" s="9">
        <f t="shared" si="11"/>
        <v>9</v>
      </c>
      <c r="Q14" s="62">
        <v>666</v>
      </c>
      <c r="R14" s="63">
        <f t="shared" si="4"/>
        <v>26.426426426426424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43720</v>
      </c>
      <c r="B15" s="76">
        <v>165970</v>
      </c>
      <c r="C15" s="58">
        <f t="shared" si="5"/>
        <v>237515</v>
      </c>
      <c r="D15" s="58">
        <f>[3]DSR!F22</f>
        <v>237515</v>
      </c>
      <c r="E15" s="58">
        <f t="shared" si="0"/>
        <v>464285.71428571426</v>
      </c>
      <c r="F15" s="7">
        <f t="shared" si="6"/>
        <v>0.51157076923076927</v>
      </c>
      <c r="G15" s="8">
        <f t="shared" si="1"/>
        <v>0.51157076923076927</v>
      </c>
      <c r="H15" s="58">
        <f>[3]DSR!G22</f>
        <v>397</v>
      </c>
      <c r="I15" s="59">
        <v>159</v>
      </c>
      <c r="J15" s="58">
        <f t="shared" si="7"/>
        <v>1493.8050314465409</v>
      </c>
      <c r="K15" s="60">
        <f t="shared" si="8"/>
        <v>2.4968553459119498</v>
      </c>
      <c r="L15" s="58">
        <f t="shared" si="9"/>
        <v>598.2745591939547</v>
      </c>
      <c r="M15" s="61">
        <f t="shared" si="10"/>
        <v>0.43107188046032413</v>
      </c>
      <c r="N15" s="58">
        <f t="shared" si="2"/>
        <v>165970</v>
      </c>
      <c r="O15" s="9">
        <f t="shared" si="3"/>
        <v>1</v>
      </c>
      <c r="P15" s="9">
        <f t="shared" si="11"/>
        <v>10</v>
      </c>
      <c r="Q15" s="62">
        <v>581</v>
      </c>
      <c r="R15" s="63">
        <f t="shared" si="4"/>
        <v>27.366609294320138</v>
      </c>
      <c r="T15" s="12" t="s">
        <v>6</v>
      </c>
      <c r="U15" s="100">
        <f>IFERROR((D35/I35),0)</f>
        <v>1717.9723176399273</v>
      </c>
      <c r="V15" s="100"/>
    </row>
    <row r="16" spans="1:22" ht="16.5" thickBot="1" x14ac:dyDescent="0.3">
      <c r="A16" s="57">
        <v>43721</v>
      </c>
      <c r="B16" s="76">
        <v>185240</v>
      </c>
      <c r="C16" s="58">
        <f t="shared" si="5"/>
        <v>389935</v>
      </c>
      <c r="D16" s="58">
        <f>[3]DSR!F23</f>
        <v>389935</v>
      </c>
      <c r="E16" s="58">
        <f t="shared" si="0"/>
        <v>464285.71428571426</v>
      </c>
      <c r="F16" s="7">
        <f t="shared" si="6"/>
        <v>0.83986000000000005</v>
      </c>
      <c r="G16" s="8">
        <f t="shared" si="1"/>
        <v>0.83986000000000005</v>
      </c>
      <c r="H16" s="58">
        <f>[3]DSR!G23</f>
        <v>674</v>
      </c>
      <c r="I16" s="59">
        <f>81+164</f>
        <v>245</v>
      </c>
      <c r="J16" s="58">
        <f t="shared" si="7"/>
        <v>1591.5714285714287</v>
      </c>
      <c r="K16" s="60">
        <f t="shared" si="8"/>
        <v>2.7510204081632654</v>
      </c>
      <c r="L16" s="58">
        <f t="shared" si="9"/>
        <v>578.53857566765578</v>
      </c>
      <c r="M16" s="61">
        <f t="shared" si="10"/>
        <v>1.1050259123299504</v>
      </c>
      <c r="N16" s="58">
        <f t="shared" si="2"/>
        <v>185240</v>
      </c>
      <c r="O16" s="9">
        <f t="shared" si="3"/>
        <v>1</v>
      </c>
      <c r="P16" s="9">
        <f t="shared" si="11"/>
        <v>11</v>
      </c>
      <c r="Q16" s="62">
        <v>1044</v>
      </c>
      <c r="R16" s="63">
        <f t="shared" si="4"/>
        <v>23.467432950191572</v>
      </c>
      <c r="T16" s="12" t="s">
        <v>7</v>
      </c>
      <c r="U16" s="104">
        <f>IFERROR((H35/I35),0)</f>
        <v>2.4752475247524752</v>
      </c>
      <c r="V16" s="104"/>
    </row>
    <row r="17" spans="1:25" ht="16.5" thickBot="1" x14ac:dyDescent="0.3">
      <c r="A17" s="57">
        <v>43722</v>
      </c>
      <c r="B17" s="76">
        <v>270950</v>
      </c>
      <c r="C17" s="58">
        <f t="shared" si="5"/>
        <v>651400</v>
      </c>
      <c r="D17" s="58">
        <f>[3]DSR!F24</f>
        <v>651400</v>
      </c>
      <c r="E17" s="58">
        <f t="shared" si="0"/>
        <v>464285.71428571426</v>
      </c>
      <c r="F17" s="7">
        <f t="shared" si="6"/>
        <v>1.4030153846153848</v>
      </c>
      <c r="G17" s="8">
        <f t="shared" si="1"/>
        <v>1.4030153846153848</v>
      </c>
      <c r="H17" s="58">
        <f>[3]DSR!G24</f>
        <v>1014</v>
      </c>
      <c r="I17" s="59">
        <f>176+224</f>
        <v>400</v>
      </c>
      <c r="J17" s="58">
        <f t="shared" si="7"/>
        <v>1628.5</v>
      </c>
      <c r="K17" s="60">
        <f t="shared" si="8"/>
        <v>2.5350000000000001</v>
      </c>
      <c r="L17" s="58">
        <f t="shared" si="9"/>
        <v>642.40631163708088</v>
      </c>
      <c r="M17" s="61">
        <f t="shared" si="10"/>
        <v>1.4041336039859753</v>
      </c>
      <c r="N17" s="58">
        <f t="shared" si="2"/>
        <v>270950</v>
      </c>
      <c r="O17" s="9">
        <f t="shared" si="3"/>
        <v>1</v>
      </c>
      <c r="P17" s="9">
        <f t="shared" si="11"/>
        <v>12</v>
      </c>
      <c r="Q17" s="62">
        <v>1502</v>
      </c>
      <c r="R17" s="63">
        <f t="shared" si="4"/>
        <v>26.631158455392811</v>
      </c>
      <c r="T17" s="12" t="s">
        <v>26</v>
      </c>
      <c r="U17" s="105">
        <f>U5/L35</f>
        <v>18730.347102441767</v>
      </c>
      <c r="V17" s="105"/>
    </row>
    <row r="18" spans="1:25" ht="16.5" thickBot="1" x14ac:dyDescent="0.3">
      <c r="A18" s="57">
        <v>43723</v>
      </c>
      <c r="B18" s="76">
        <v>419070</v>
      </c>
      <c r="C18" s="58">
        <f t="shared" si="5"/>
        <v>545865</v>
      </c>
      <c r="D18" s="58">
        <f>[3]DSR!F25</f>
        <v>545865</v>
      </c>
      <c r="E18" s="58">
        <f t="shared" si="0"/>
        <v>464285.71428571426</v>
      </c>
      <c r="F18" s="7">
        <f t="shared" si="6"/>
        <v>1.1757092307692307</v>
      </c>
      <c r="G18" s="8">
        <f t="shared" si="1"/>
        <v>1.1757092307692307</v>
      </c>
      <c r="H18" s="58">
        <f>[3]DSR!G25</f>
        <v>751</v>
      </c>
      <c r="I18" s="59">
        <f>140+162</f>
        <v>302</v>
      </c>
      <c r="J18" s="58">
        <f t="shared" si="7"/>
        <v>1807.5</v>
      </c>
      <c r="K18" s="60">
        <f t="shared" si="8"/>
        <v>2.4867549668874172</v>
      </c>
      <c r="L18" s="58">
        <f t="shared" si="9"/>
        <v>726.85086551264976</v>
      </c>
      <c r="M18" s="61">
        <f t="shared" si="10"/>
        <v>0.30256281766769277</v>
      </c>
      <c r="N18" s="58">
        <f t="shared" si="2"/>
        <v>419070</v>
      </c>
      <c r="O18" s="9">
        <f t="shared" si="3"/>
        <v>1</v>
      </c>
      <c r="P18" s="9">
        <f t="shared" si="11"/>
        <v>13</v>
      </c>
      <c r="Q18" s="62">
        <v>1153</v>
      </c>
      <c r="R18" s="63">
        <f t="shared" si="4"/>
        <v>26.192541196877713</v>
      </c>
      <c r="T18" s="13" t="s">
        <v>27</v>
      </c>
      <c r="U18" s="110">
        <f>U17-H35</f>
        <v>6480.3471024417668</v>
      </c>
      <c r="V18" s="111"/>
    </row>
    <row r="19" spans="1:25" ht="16.5" thickBot="1" x14ac:dyDescent="0.3">
      <c r="A19" s="57">
        <v>43724</v>
      </c>
      <c r="B19" s="76">
        <v>367860</v>
      </c>
      <c r="C19" s="58">
        <f t="shared" si="5"/>
        <v>162770</v>
      </c>
      <c r="D19" s="58">
        <f>[3]DSR!F26</f>
        <v>162770</v>
      </c>
      <c r="E19" s="58">
        <f t="shared" si="0"/>
        <v>464285.71428571426</v>
      </c>
      <c r="F19" s="7">
        <f t="shared" si="6"/>
        <v>0.3505815384615385</v>
      </c>
      <c r="G19" s="8">
        <f t="shared" si="1"/>
        <v>0.3505815384615385</v>
      </c>
      <c r="H19" s="58">
        <f>[3]DSR!G26</f>
        <v>202</v>
      </c>
      <c r="I19" s="59">
        <v>113</v>
      </c>
      <c r="J19" s="58">
        <f t="shared" si="7"/>
        <v>1440.4424778761063</v>
      </c>
      <c r="K19" s="60">
        <f t="shared" si="8"/>
        <v>1.7876106194690264</v>
      </c>
      <c r="L19" s="58">
        <f t="shared" si="9"/>
        <v>805.79207920792078</v>
      </c>
      <c r="M19" s="61">
        <f t="shared" si="10"/>
        <v>-0.55752188332517805</v>
      </c>
      <c r="N19" s="58">
        <f t="shared" si="2"/>
        <v>367860</v>
      </c>
      <c r="O19" s="9">
        <f t="shared" si="3"/>
        <v>1</v>
      </c>
      <c r="P19" s="9">
        <f t="shared" si="11"/>
        <v>14</v>
      </c>
      <c r="Q19" s="62">
        <v>412</v>
      </c>
      <c r="R19" s="63">
        <f t="shared" si="4"/>
        <v>27.427184466019416</v>
      </c>
      <c r="T19" s="12" t="s">
        <v>57</v>
      </c>
      <c r="U19" s="112">
        <f>D37/U5*100%</f>
        <v>0.6540188461538462</v>
      </c>
      <c r="V19" s="113"/>
    </row>
    <row r="20" spans="1:25" ht="16.5" thickBot="1" x14ac:dyDescent="0.3">
      <c r="A20" s="57">
        <v>43725</v>
      </c>
      <c r="B20" s="76">
        <v>214120</v>
      </c>
      <c r="C20" s="58">
        <f t="shared" si="5"/>
        <v>183010</v>
      </c>
      <c r="D20" s="58">
        <f>[3]DSR!F27</f>
        <v>183010</v>
      </c>
      <c r="E20" s="58">
        <f t="shared" si="0"/>
        <v>464285.71428571426</v>
      </c>
      <c r="F20" s="7">
        <f t="shared" si="6"/>
        <v>0.39417538461538465</v>
      </c>
      <c r="G20" s="8">
        <f t="shared" si="1"/>
        <v>0.39417538461538465</v>
      </c>
      <c r="H20" s="58">
        <f>[3]DSR!G27</f>
        <v>255</v>
      </c>
      <c r="I20" s="59">
        <v>123</v>
      </c>
      <c r="J20" s="58">
        <f t="shared" si="7"/>
        <v>1487.8861788617887</v>
      </c>
      <c r="K20" s="60">
        <f t="shared" si="8"/>
        <v>2.0731707317073171</v>
      </c>
      <c r="L20" s="58">
        <f t="shared" si="9"/>
        <v>717.68627450980387</v>
      </c>
      <c r="M20" s="61">
        <f t="shared" si="10"/>
        <v>-0.14529235942462171</v>
      </c>
      <c r="N20" s="58">
        <f t="shared" si="2"/>
        <v>214120</v>
      </c>
      <c r="O20" s="9">
        <f t="shared" si="3"/>
        <v>1</v>
      </c>
      <c r="P20" s="9">
        <f t="shared" si="11"/>
        <v>15</v>
      </c>
      <c r="Q20" s="62">
        <v>598</v>
      </c>
      <c r="R20" s="63">
        <f t="shared" si="4"/>
        <v>20.568561872909701</v>
      </c>
      <c r="T20" s="12" t="s">
        <v>8</v>
      </c>
      <c r="U20" s="108">
        <f>D35/H35</f>
        <v>694.06081632653058</v>
      </c>
      <c r="V20" s="109"/>
      <c r="Y20" s="14"/>
    </row>
    <row r="21" spans="1:25" x14ac:dyDescent="0.25">
      <c r="A21" s="57">
        <v>43726</v>
      </c>
      <c r="B21" s="76">
        <v>198160</v>
      </c>
      <c r="C21" s="58">
        <f t="shared" si="5"/>
        <v>200750</v>
      </c>
      <c r="D21" s="58">
        <f>[3]DSR!F28</f>
        <v>200750</v>
      </c>
      <c r="E21" s="58">
        <f t="shared" si="0"/>
        <v>464285.71428571426</v>
      </c>
      <c r="F21" s="7">
        <f t="shared" si="6"/>
        <v>0.43238461538461542</v>
      </c>
      <c r="G21" s="8">
        <f t="shared" si="1"/>
        <v>0.43238461538461542</v>
      </c>
      <c r="H21" s="58">
        <f>[3]DSR!G28</f>
        <v>301</v>
      </c>
      <c r="I21" s="59">
        <v>122</v>
      </c>
      <c r="J21" s="58">
        <f t="shared" si="7"/>
        <v>1645.4918032786886</v>
      </c>
      <c r="K21" s="60">
        <f t="shared" si="8"/>
        <v>2.4672131147540983</v>
      </c>
      <c r="L21" s="58">
        <f t="shared" si="9"/>
        <v>666.9435215946844</v>
      </c>
      <c r="M21" s="61">
        <f t="shared" si="10"/>
        <v>1.3070246265643924E-2</v>
      </c>
      <c r="N21" s="58">
        <f t="shared" si="2"/>
        <v>198160</v>
      </c>
      <c r="O21" s="9">
        <f t="shared" si="3"/>
        <v>1</v>
      </c>
      <c r="P21" s="9">
        <f t="shared" si="11"/>
        <v>16</v>
      </c>
      <c r="Q21" s="62">
        <v>627</v>
      </c>
      <c r="R21" s="63">
        <f t="shared" si="4"/>
        <v>19.457735247208934</v>
      </c>
    </row>
    <row r="22" spans="1:25" x14ac:dyDescent="0.25">
      <c r="A22" s="57">
        <v>43727</v>
      </c>
      <c r="B22" s="76">
        <v>0</v>
      </c>
      <c r="C22" s="58">
        <f t="shared" si="5"/>
        <v>209295</v>
      </c>
      <c r="D22" s="58">
        <f>[3]DSR!F29</f>
        <v>209295</v>
      </c>
      <c r="E22" s="58">
        <f t="shared" si="0"/>
        <v>464285.71428571426</v>
      </c>
      <c r="F22" s="7">
        <f t="shared" si="6"/>
        <v>0.45078923076923078</v>
      </c>
      <c r="G22" s="8">
        <f t="shared" si="1"/>
        <v>0.45078923076923078</v>
      </c>
      <c r="H22" s="58">
        <f>[3]DSR!G29</f>
        <v>292</v>
      </c>
      <c r="I22" s="59">
        <v>111</v>
      </c>
      <c r="J22" s="58">
        <f t="shared" si="7"/>
        <v>1885.5405405405406</v>
      </c>
      <c r="K22" s="60">
        <f t="shared" si="8"/>
        <v>2.6306306306306309</v>
      </c>
      <c r="L22" s="58">
        <f t="shared" si="9"/>
        <v>716.76369863013701</v>
      </c>
      <c r="M22" s="61">
        <f t="shared" si="10"/>
        <v>0</v>
      </c>
      <c r="N22" s="58">
        <f t="shared" si="2"/>
        <v>0</v>
      </c>
      <c r="O22" s="9">
        <f t="shared" si="3"/>
        <v>1</v>
      </c>
      <c r="P22" s="9">
        <f t="shared" si="11"/>
        <v>17</v>
      </c>
      <c r="Q22" s="62">
        <v>598</v>
      </c>
      <c r="R22" s="63">
        <f t="shared" si="4"/>
        <v>18.561872909698995</v>
      </c>
    </row>
    <row r="23" spans="1:25" x14ac:dyDescent="0.25">
      <c r="A23" s="57">
        <v>43728</v>
      </c>
      <c r="B23" s="76">
        <v>0</v>
      </c>
      <c r="C23" s="58">
        <f t="shared" si="5"/>
        <v>274535</v>
      </c>
      <c r="D23" s="58">
        <f>[3]DSR!F30</f>
        <v>274535</v>
      </c>
      <c r="E23" s="58">
        <f t="shared" si="0"/>
        <v>464285.71428571426</v>
      </c>
      <c r="F23" s="7">
        <f t="shared" si="6"/>
        <v>0.59130615384615393</v>
      </c>
      <c r="G23" s="8">
        <f t="shared" si="1"/>
        <v>0.59130615384615393</v>
      </c>
      <c r="H23" s="58">
        <f>[3]DSR!G30</f>
        <v>369</v>
      </c>
      <c r="I23" s="59">
        <f>8+153</f>
        <v>161</v>
      </c>
      <c r="J23" s="58">
        <f t="shared" si="7"/>
        <v>1705.1863354037266</v>
      </c>
      <c r="K23" s="60">
        <f t="shared" si="8"/>
        <v>2.2919254658385095</v>
      </c>
      <c r="L23" s="58">
        <f t="shared" si="9"/>
        <v>743.99728997289969</v>
      </c>
      <c r="M23" s="61">
        <f t="shared" si="10"/>
        <v>0</v>
      </c>
      <c r="N23" s="58">
        <f t="shared" si="2"/>
        <v>0</v>
      </c>
      <c r="O23" s="9">
        <f t="shared" si="3"/>
        <v>1</v>
      </c>
      <c r="P23" s="9">
        <f t="shared" si="11"/>
        <v>18</v>
      </c>
      <c r="Q23" s="62">
        <v>738</v>
      </c>
      <c r="R23" s="63">
        <f t="shared" si="4"/>
        <v>21.815718157181571</v>
      </c>
    </row>
    <row r="24" spans="1:25" x14ac:dyDescent="0.25">
      <c r="A24" s="57">
        <v>43729</v>
      </c>
      <c r="B24" s="76">
        <v>0</v>
      </c>
      <c r="C24" s="58">
        <f t="shared" si="5"/>
        <v>391410</v>
      </c>
      <c r="D24" s="58">
        <f>[3]DSR!F31</f>
        <v>391410</v>
      </c>
      <c r="E24" s="58">
        <f t="shared" si="0"/>
        <v>464285.71428571426</v>
      </c>
      <c r="F24" s="7">
        <f t="shared" si="6"/>
        <v>0.84303692307692313</v>
      </c>
      <c r="G24" s="8">
        <f t="shared" si="1"/>
        <v>0.84303692307692313</v>
      </c>
      <c r="H24" s="58">
        <f>[3]DSR!G31</f>
        <v>547</v>
      </c>
      <c r="I24" s="59">
        <f>78+151</f>
        <v>229</v>
      </c>
      <c r="J24" s="58">
        <f t="shared" si="7"/>
        <v>1709.2139737991267</v>
      </c>
      <c r="K24" s="60">
        <f t="shared" si="8"/>
        <v>2.3886462882096069</v>
      </c>
      <c r="L24" s="58">
        <f t="shared" si="9"/>
        <v>715.55758683729437</v>
      </c>
      <c r="M24" s="61">
        <f t="shared" si="10"/>
        <v>0</v>
      </c>
      <c r="N24" s="58">
        <f t="shared" si="2"/>
        <v>0</v>
      </c>
      <c r="O24" s="9">
        <f t="shared" si="3"/>
        <v>1</v>
      </c>
      <c r="P24" s="9">
        <f t="shared" si="11"/>
        <v>19</v>
      </c>
      <c r="Q24" s="62">
        <v>1354</v>
      </c>
      <c r="R24" s="63">
        <f t="shared" si="4"/>
        <v>16.912850812407683</v>
      </c>
    </row>
    <row r="25" spans="1:25" x14ac:dyDescent="0.25">
      <c r="A25" s="57">
        <v>43730</v>
      </c>
      <c r="B25" s="76">
        <v>437450</v>
      </c>
      <c r="C25" s="58">
        <f t="shared" si="5"/>
        <v>482475</v>
      </c>
      <c r="D25" s="58">
        <f>[3]DSR!F32</f>
        <v>482475</v>
      </c>
      <c r="E25" s="58">
        <f t="shared" si="0"/>
        <v>464285.71428571426</v>
      </c>
      <c r="F25" s="7">
        <f t="shared" si="6"/>
        <v>1.0391769230769232</v>
      </c>
      <c r="G25" s="8">
        <f t="shared" si="1"/>
        <v>1.0391769230769232</v>
      </c>
      <c r="H25" s="58">
        <f>[3]DSR!G32</f>
        <v>643</v>
      </c>
      <c r="I25" s="59">
        <f>68+185</f>
        <v>253</v>
      </c>
      <c r="J25" s="58">
        <f t="shared" si="7"/>
        <v>1907.0158102766798</v>
      </c>
      <c r="K25" s="60">
        <f t="shared" si="8"/>
        <v>2.541501976284585</v>
      </c>
      <c r="L25" s="58">
        <f t="shared" si="9"/>
        <v>750.34992223950235</v>
      </c>
      <c r="M25" s="61">
        <f t="shared" si="10"/>
        <v>0.102926048691279</v>
      </c>
      <c r="N25" s="58">
        <f t="shared" si="2"/>
        <v>437450</v>
      </c>
      <c r="O25" s="9">
        <f t="shared" si="3"/>
        <v>1</v>
      </c>
      <c r="P25" s="9">
        <f t="shared" si="11"/>
        <v>20</v>
      </c>
      <c r="Q25" s="62">
        <v>1605</v>
      </c>
      <c r="R25" s="63">
        <f t="shared" si="4"/>
        <v>15.763239875389409</v>
      </c>
    </row>
    <row r="26" spans="1:25" x14ac:dyDescent="0.25">
      <c r="A26" s="57">
        <v>43731</v>
      </c>
      <c r="B26" s="76">
        <v>271630</v>
      </c>
      <c r="C26" s="58">
        <f t="shared" si="5"/>
        <v>134220</v>
      </c>
      <c r="D26" s="58">
        <f>[3]DSR!F33</f>
        <v>134220</v>
      </c>
      <c r="E26" s="58">
        <f t="shared" si="0"/>
        <v>464285.71428571426</v>
      </c>
      <c r="F26" s="7">
        <f t="shared" si="6"/>
        <v>0.28908923076923077</v>
      </c>
      <c r="G26" s="8">
        <f t="shared" si="1"/>
        <v>0.28908923076923077</v>
      </c>
      <c r="H26" s="58">
        <f>[3]DSR!G33</f>
        <v>194</v>
      </c>
      <c r="I26" s="59">
        <v>90</v>
      </c>
      <c r="J26" s="58">
        <f t="shared" si="7"/>
        <v>1491.3333333333333</v>
      </c>
      <c r="K26" s="60">
        <f t="shared" si="8"/>
        <v>2.1555555555555554</v>
      </c>
      <c r="L26" s="58">
        <f t="shared" si="9"/>
        <v>691.85567010309273</v>
      </c>
      <c r="M26" s="61">
        <f t="shared" si="10"/>
        <v>-0.50587195817840447</v>
      </c>
      <c r="N26" s="58">
        <f t="shared" si="2"/>
        <v>271630</v>
      </c>
      <c r="O26" s="9">
        <f t="shared" si="3"/>
        <v>1</v>
      </c>
      <c r="P26" s="9">
        <f t="shared" si="11"/>
        <v>21</v>
      </c>
      <c r="Q26" s="62">
        <v>588</v>
      </c>
      <c r="R26" s="63">
        <f t="shared" si="4"/>
        <v>15.306122448979592</v>
      </c>
    </row>
    <row r="27" spans="1:25" x14ac:dyDescent="0.25">
      <c r="A27" s="57">
        <v>43732</v>
      </c>
      <c r="B27" s="76">
        <v>178910</v>
      </c>
      <c r="C27" s="58">
        <f t="shared" si="5"/>
        <v>93175</v>
      </c>
      <c r="D27" s="58">
        <f>[3]DSR!F34</f>
        <v>93175</v>
      </c>
      <c r="E27" s="58">
        <f t="shared" si="0"/>
        <v>464285.71428571426</v>
      </c>
      <c r="F27" s="7">
        <f t="shared" si="6"/>
        <v>0.20068461538461541</v>
      </c>
      <c r="G27" s="8">
        <f t="shared" si="1"/>
        <v>0.20068461538461541</v>
      </c>
      <c r="H27" s="58">
        <f>[3]DSR!G34</f>
        <v>151</v>
      </c>
      <c r="I27" s="59">
        <v>66</v>
      </c>
      <c r="J27" s="58">
        <f t="shared" si="7"/>
        <v>1411.7424242424242</v>
      </c>
      <c r="K27" s="60">
        <f t="shared" si="8"/>
        <v>2.2878787878787881</v>
      </c>
      <c r="L27" s="58">
        <f t="shared" si="9"/>
        <v>617.05298013245033</v>
      </c>
      <c r="M27" s="61">
        <f t="shared" si="10"/>
        <v>-0.47920742272651051</v>
      </c>
      <c r="N27" s="58">
        <f t="shared" si="2"/>
        <v>178910</v>
      </c>
      <c r="O27" s="9">
        <f t="shared" si="3"/>
        <v>1</v>
      </c>
      <c r="P27" s="9">
        <f t="shared" si="11"/>
        <v>22</v>
      </c>
      <c r="Q27" s="62">
        <v>342</v>
      </c>
      <c r="R27" s="63">
        <f t="shared" si="4"/>
        <v>19.298245614035086</v>
      </c>
    </row>
    <row r="28" spans="1:25" x14ac:dyDescent="0.25">
      <c r="A28" s="57">
        <v>43733</v>
      </c>
      <c r="B28" s="76">
        <v>158790</v>
      </c>
      <c r="C28" s="58">
        <f t="shared" si="5"/>
        <v>137865</v>
      </c>
      <c r="D28" s="58">
        <f>[3]DSR!F35</f>
        <v>137865</v>
      </c>
      <c r="E28" s="58">
        <f t="shared" si="0"/>
        <v>464285.71428571426</v>
      </c>
      <c r="F28" s="7">
        <f t="shared" si="6"/>
        <v>0.29694000000000004</v>
      </c>
      <c r="G28" s="8">
        <f t="shared" si="1"/>
        <v>0.29694000000000004</v>
      </c>
      <c r="H28" s="58">
        <f>[3]DSR!G35</f>
        <v>223</v>
      </c>
      <c r="I28" s="59">
        <v>69</v>
      </c>
      <c r="J28" s="58">
        <f t="shared" si="7"/>
        <v>1998.0434782608695</v>
      </c>
      <c r="K28" s="60">
        <f t="shared" si="8"/>
        <v>3.2318840579710146</v>
      </c>
      <c r="L28" s="58">
        <f t="shared" si="9"/>
        <v>618.22869955156955</v>
      </c>
      <c r="M28" s="61">
        <f t="shared" si="10"/>
        <v>-0.13177781976194974</v>
      </c>
      <c r="N28" s="58">
        <f t="shared" si="2"/>
        <v>158790</v>
      </c>
      <c r="O28" s="9">
        <f t="shared" si="3"/>
        <v>1</v>
      </c>
      <c r="P28" s="9">
        <f t="shared" si="11"/>
        <v>23</v>
      </c>
      <c r="Q28" s="62">
        <v>491</v>
      </c>
      <c r="R28" s="63">
        <f t="shared" si="4"/>
        <v>14.052953156822811</v>
      </c>
    </row>
    <row r="29" spans="1:25" x14ac:dyDescent="0.25">
      <c r="A29" s="57">
        <v>43734</v>
      </c>
      <c r="B29" s="76">
        <v>209340</v>
      </c>
      <c r="C29" s="58">
        <f t="shared" si="5"/>
        <v>175985</v>
      </c>
      <c r="D29" s="58">
        <f>[3]DSR!F36</f>
        <v>175985</v>
      </c>
      <c r="E29" s="58">
        <f t="shared" si="0"/>
        <v>464285.71428571426</v>
      </c>
      <c r="F29" s="7">
        <f t="shared" si="6"/>
        <v>0.37904461538461542</v>
      </c>
      <c r="G29" s="8">
        <f t="shared" si="1"/>
        <v>0.37904461538461542</v>
      </c>
      <c r="H29" s="58">
        <f>[3]DSR!G36</f>
        <v>271</v>
      </c>
      <c r="I29" s="59">
        <v>113</v>
      </c>
      <c r="J29" s="58">
        <f t="shared" si="7"/>
        <v>1557.3893805309735</v>
      </c>
      <c r="K29" s="60">
        <f t="shared" si="8"/>
        <v>2.3982300884955752</v>
      </c>
      <c r="L29" s="58">
        <f t="shared" si="9"/>
        <v>649.39114391143914</v>
      </c>
      <c r="M29" s="61">
        <f t="shared" si="10"/>
        <v>-0.15933409764020254</v>
      </c>
      <c r="N29" s="58">
        <f t="shared" si="2"/>
        <v>209340</v>
      </c>
      <c r="O29" s="9">
        <f t="shared" si="3"/>
        <v>1</v>
      </c>
      <c r="P29" s="9">
        <f t="shared" si="11"/>
        <v>24</v>
      </c>
      <c r="Q29" s="62">
        <v>538</v>
      </c>
      <c r="R29" s="63">
        <f t="shared" si="4"/>
        <v>21.003717472118961</v>
      </c>
    </row>
    <row r="30" spans="1:25" x14ac:dyDescent="0.25">
      <c r="A30" s="57">
        <v>43735</v>
      </c>
      <c r="B30" s="76">
        <v>224600</v>
      </c>
      <c r="C30" s="58">
        <f t="shared" si="5"/>
        <v>133360</v>
      </c>
      <c r="D30" s="58">
        <f>[3]DSR!F37</f>
        <v>133360</v>
      </c>
      <c r="E30" s="58">
        <f t="shared" si="0"/>
        <v>464285.71428571426</v>
      </c>
      <c r="F30" s="7">
        <f t="shared" si="6"/>
        <v>0.28723692307692311</v>
      </c>
      <c r="G30" s="8">
        <f t="shared" si="1"/>
        <v>0.28723692307692311</v>
      </c>
      <c r="H30" s="58">
        <f>[3]DSR!G37</f>
        <v>205</v>
      </c>
      <c r="I30" s="59">
        <v>90</v>
      </c>
      <c r="J30" s="58">
        <f t="shared" si="7"/>
        <v>1481.7777777777778</v>
      </c>
      <c r="K30" s="60">
        <f t="shared" si="8"/>
        <v>2.2777777777777777</v>
      </c>
      <c r="L30" s="58">
        <f t="shared" si="9"/>
        <v>650.53658536585363</v>
      </c>
      <c r="M30" s="61">
        <f t="shared" si="10"/>
        <v>-0.40623330365093502</v>
      </c>
      <c r="N30" s="58">
        <f t="shared" si="2"/>
        <v>224600</v>
      </c>
      <c r="O30" s="9">
        <f t="shared" si="3"/>
        <v>1</v>
      </c>
      <c r="P30" s="9">
        <f t="shared" si="11"/>
        <v>25</v>
      </c>
      <c r="Q30" s="62">
        <v>412</v>
      </c>
      <c r="R30" s="63">
        <f t="shared" si="4"/>
        <v>21.844660194174757</v>
      </c>
    </row>
    <row r="31" spans="1:25" x14ac:dyDescent="0.25">
      <c r="A31" s="57">
        <v>43736</v>
      </c>
      <c r="B31" s="76">
        <v>275240</v>
      </c>
      <c r="C31" s="58">
        <f t="shared" si="5"/>
        <v>483060</v>
      </c>
      <c r="D31" s="58">
        <f>[3]DSR!F38</f>
        <v>483060</v>
      </c>
      <c r="E31" s="58">
        <f t="shared" si="0"/>
        <v>464285.71428571426</v>
      </c>
      <c r="F31" s="7">
        <f t="shared" si="6"/>
        <v>1.040436923076923</v>
      </c>
      <c r="G31" s="8">
        <f t="shared" si="1"/>
        <v>1.040436923076923</v>
      </c>
      <c r="H31" s="58">
        <f>[3]DSR!G38</f>
        <v>684</v>
      </c>
      <c r="I31" s="59">
        <f>110+164</f>
        <v>274</v>
      </c>
      <c r="J31" s="58">
        <f t="shared" si="7"/>
        <v>1762.992700729927</v>
      </c>
      <c r="K31" s="60">
        <f t="shared" si="8"/>
        <v>2.4963503649635035</v>
      </c>
      <c r="L31" s="58">
        <f t="shared" si="9"/>
        <v>706.22807017543857</v>
      </c>
      <c r="M31" s="61">
        <f t="shared" si="10"/>
        <v>0.75505013806132826</v>
      </c>
      <c r="N31" s="58">
        <f t="shared" si="2"/>
        <v>275240</v>
      </c>
      <c r="O31" s="9">
        <f t="shared" si="3"/>
        <v>1</v>
      </c>
      <c r="P31" s="9">
        <f t="shared" si="11"/>
        <v>26</v>
      </c>
      <c r="Q31" s="62">
        <v>1515</v>
      </c>
      <c r="R31" s="63">
        <f t="shared" si="4"/>
        <v>18.085808580858085</v>
      </c>
      <c r="T31" s="14"/>
      <c r="V31" s="78"/>
    </row>
    <row r="32" spans="1:25" x14ac:dyDescent="0.25">
      <c r="A32" s="57">
        <v>43737</v>
      </c>
      <c r="B32" s="76">
        <v>522260</v>
      </c>
      <c r="C32" s="58">
        <f t="shared" si="5"/>
        <v>506545</v>
      </c>
      <c r="D32" s="58">
        <f>[3]DSR!F39</f>
        <v>506545</v>
      </c>
      <c r="E32" s="58">
        <f t="shared" si="0"/>
        <v>464285.71428571426</v>
      </c>
      <c r="F32" s="7">
        <f t="shared" si="6"/>
        <v>1.0910200000000001</v>
      </c>
      <c r="G32" s="8">
        <f t="shared" si="1"/>
        <v>1.0910200000000001</v>
      </c>
      <c r="H32" s="58">
        <f>[3]DSR!G39</f>
        <v>723</v>
      </c>
      <c r="I32" s="59">
        <f>111+182</f>
        <v>293</v>
      </c>
      <c r="J32" s="58">
        <f t="shared" si="7"/>
        <v>1728.8225255972695</v>
      </c>
      <c r="K32" s="60">
        <f t="shared" si="8"/>
        <v>2.4675767918088738</v>
      </c>
      <c r="L32" s="58">
        <f t="shared" si="9"/>
        <v>700.61549100968193</v>
      </c>
      <c r="M32" s="61">
        <f t="shared" si="10"/>
        <v>-3.0090376440853214E-2</v>
      </c>
      <c r="N32" s="58">
        <f t="shared" si="2"/>
        <v>522260</v>
      </c>
      <c r="O32" s="9">
        <f t="shared" si="3"/>
        <v>1</v>
      </c>
      <c r="P32" s="9">
        <f t="shared" si="11"/>
        <v>27</v>
      </c>
      <c r="Q32" s="62">
        <v>1609</v>
      </c>
      <c r="R32" s="63">
        <f t="shared" si="4"/>
        <v>18.210068365444375</v>
      </c>
    </row>
    <row r="33" spans="1:20" x14ac:dyDescent="0.25">
      <c r="A33" s="57">
        <v>43738</v>
      </c>
      <c r="B33" s="76">
        <v>496740</v>
      </c>
      <c r="C33" s="58">
        <f t="shared" si="5"/>
        <v>229890</v>
      </c>
      <c r="D33" s="58">
        <f>[3]DSR!F40</f>
        <v>229890</v>
      </c>
      <c r="E33" s="58">
        <f t="shared" si="0"/>
        <v>464285.71428571426</v>
      </c>
      <c r="F33" s="7">
        <f t="shared" si="6"/>
        <v>0.49514769230769234</v>
      </c>
      <c r="G33" s="8">
        <f t="shared" si="1"/>
        <v>0.49514769230769234</v>
      </c>
      <c r="H33" s="58">
        <f>[3]DSR!G40</f>
        <v>299</v>
      </c>
      <c r="I33" s="59">
        <v>122</v>
      </c>
      <c r="J33" s="58">
        <f t="shared" si="7"/>
        <v>1884.344262295082</v>
      </c>
      <c r="K33" s="60">
        <f t="shared" si="8"/>
        <v>2.4508196721311477</v>
      </c>
      <c r="L33" s="58">
        <f t="shared" si="9"/>
        <v>768.86287625418061</v>
      </c>
      <c r="M33" s="61">
        <f t="shared" si="10"/>
        <v>-0.53720256069573624</v>
      </c>
      <c r="N33" s="58">
        <f t="shared" si="2"/>
        <v>496740</v>
      </c>
      <c r="O33" s="9">
        <f t="shared" si="3"/>
        <v>1</v>
      </c>
      <c r="P33" s="9">
        <f t="shared" si="11"/>
        <v>28</v>
      </c>
      <c r="Q33" s="62">
        <v>613</v>
      </c>
      <c r="R33" s="63">
        <f t="shared" si="4"/>
        <v>19.902120717781401</v>
      </c>
    </row>
    <row r="34" spans="1:20" x14ac:dyDescent="0.25">
      <c r="A34" s="57"/>
      <c r="B34" s="64"/>
      <c r="C34" s="58">
        <f t="shared" si="5"/>
        <v>0</v>
      </c>
      <c r="D34" s="58">
        <f>[4]DSR!F41</f>
        <v>0</v>
      </c>
      <c r="E34" s="58">
        <f t="shared" si="0"/>
        <v>464285.71428571426</v>
      </c>
      <c r="F34" s="7">
        <f t="shared" si="6"/>
        <v>0</v>
      </c>
      <c r="G34" s="8" t="str">
        <f t="shared" si="1"/>
        <v>-</v>
      </c>
      <c r="H34" s="58">
        <f>[4]DSR!G41</f>
        <v>0</v>
      </c>
      <c r="I34" s="59"/>
      <c r="J34" s="58">
        <f t="shared" si="7"/>
        <v>0</v>
      </c>
      <c r="K34" s="60">
        <f t="shared" si="8"/>
        <v>0</v>
      </c>
      <c r="L34" s="58" t="e">
        <f t="shared" si="9"/>
        <v>#DIV/0!</v>
      </c>
      <c r="M34" s="61">
        <f t="shared" si="10"/>
        <v>0</v>
      </c>
      <c r="N34" s="58">
        <f t="shared" si="2"/>
        <v>0</v>
      </c>
      <c r="O34" s="9">
        <f t="shared" si="3"/>
        <v>0</v>
      </c>
      <c r="P34" s="9">
        <f t="shared" si="11"/>
        <v>28</v>
      </c>
      <c r="Q34" s="62"/>
      <c r="R34" s="63" t="e">
        <f t="shared" si="4"/>
        <v>#DIV/0!</v>
      </c>
    </row>
    <row r="35" spans="1:20" ht="16.5" thickBot="1" x14ac:dyDescent="0.3">
      <c r="A35" s="65"/>
      <c r="B35" s="66">
        <f>SUM(B4:B34)</f>
        <v>7574790</v>
      </c>
      <c r="C35" s="66">
        <f>SUBTOTAL(9,C4:C34)</f>
        <v>8502245</v>
      </c>
      <c r="D35" s="66">
        <f>SUBTOTAL(9,D4:D34)</f>
        <v>8502245</v>
      </c>
      <c r="E35" s="66">
        <f>SUBTOTAL(9,E4:E34)</f>
        <v>14392857.142857147</v>
      </c>
      <c r="F35" s="67"/>
      <c r="G35" s="67">
        <f>IFERROR(AVERAGE(G4:G34),0)</f>
        <v>0.6540188461538462</v>
      </c>
      <c r="H35" s="66">
        <f>SUBTOTAL(9,H4:H34)</f>
        <v>12250</v>
      </c>
      <c r="I35" s="66">
        <f>SUBTOTAL(9,I4:I34)</f>
        <v>4949</v>
      </c>
      <c r="J35" s="66">
        <f>IFERROR((D35/I35),0)</f>
        <v>1717.9723176399273</v>
      </c>
      <c r="K35" s="68">
        <f>IFERROR((H35/I35),0)</f>
        <v>2.4752475247524752</v>
      </c>
      <c r="L35" s="69">
        <f>D35/H35</f>
        <v>694.06081632653058</v>
      </c>
      <c r="M35" s="70">
        <f>D35/B35-1</f>
        <v>0.12243969799822829</v>
      </c>
      <c r="N35" s="71">
        <f>SUM(N4:N34)</f>
        <v>6990950</v>
      </c>
      <c r="O35" s="72">
        <f>SUM(O4:O34)</f>
        <v>28</v>
      </c>
      <c r="P35" s="73">
        <f>P34</f>
        <v>28</v>
      </c>
      <c r="Q35" s="79">
        <f>SUM(Q4:Q34)</f>
        <v>23841</v>
      </c>
      <c r="R35" s="80">
        <f>I35/Q35*100</f>
        <v>20.758357451449182</v>
      </c>
      <c r="T35" s="81"/>
    </row>
    <row r="36" spans="1:20" x14ac:dyDescent="0.25">
      <c r="D36" s="15">
        <f>D35/P35</f>
        <v>303651.60714285716</v>
      </c>
    </row>
    <row r="37" spans="1:20" x14ac:dyDescent="0.25">
      <c r="D37" s="16">
        <f>U4*D36</f>
        <v>8502245</v>
      </c>
    </row>
    <row r="38" spans="1:20" ht="15.75" thickBot="1" x14ac:dyDescent="0.3">
      <c r="D38" s="17">
        <f>D37/U5*100%</f>
        <v>0.6540188461538462</v>
      </c>
    </row>
  </sheetData>
  <protectedRanges>
    <protectedRange sqref="A4:A34" name="Sales Value_1_1_1"/>
    <protectedRange sqref="B4:B34" name="Sales Value_2_1_1"/>
  </protectedRanges>
  <mergeCells count="35">
    <mergeCell ref="U20:V20"/>
    <mergeCell ref="U17:V17"/>
    <mergeCell ref="U18:V18"/>
    <mergeCell ref="U10:V10"/>
    <mergeCell ref="U11:V11"/>
    <mergeCell ref="U12:V12"/>
    <mergeCell ref="U13:V13"/>
    <mergeCell ref="U14:V14"/>
    <mergeCell ref="U15:V15"/>
    <mergeCell ref="U19:V19"/>
    <mergeCell ref="U4:V4"/>
    <mergeCell ref="U5:V5"/>
    <mergeCell ref="U6:V6"/>
    <mergeCell ref="U8:V8"/>
    <mergeCell ref="U16:V16"/>
    <mergeCell ref="U9:V9"/>
    <mergeCell ref="O2:O3"/>
    <mergeCell ref="P2:P3"/>
    <mergeCell ref="Q2:Q3"/>
    <mergeCell ref="R2:R3"/>
    <mergeCell ref="T2:T3"/>
    <mergeCell ref="M2:M3"/>
    <mergeCell ref="N2:N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M4:N35">
    <cfRule type="cellIs" dxfId="53" priority="5" operator="lessThan">
      <formula>0</formula>
    </cfRule>
  </conditionalFormatting>
  <conditionalFormatting sqref="U12:V12">
    <cfRule type="cellIs" dxfId="52" priority="4" operator="lessThan">
      <formula>0</formula>
    </cfRule>
  </conditionalFormatting>
  <conditionalFormatting sqref="G35">
    <cfRule type="cellIs" dxfId="51" priority="3" operator="lessThan">
      <formula>1</formula>
    </cfRule>
  </conditionalFormatting>
  <conditionalFormatting sqref="U15">
    <cfRule type="cellIs" dxfId="50" priority="2" operator="lessThan">
      <formula>0</formula>
    </cfRule>
  </conditionalFormatting>
  <conditionalFormatting sqref="G4:G34">
    <cfRule type="cellIs" dxfId="4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:V8"/>
    </sheetView>
  </sheetViews>
  <sheetFormatPr defaultRowHeight="15" x14ac:dyDescent="0.25"/>
  <cols>
    <col min="1" max="1" width="24.140625" style="1" bestFit="1" customWidth="1"/>
    <col min="2" max="2" width="13.42578125" style="2" bestFit="1" customWidth="1"/>
    <col min="3" max="3" width="12.140625" style="2" bestFit="1" customWidth="1"/>
    <col min="4" max="4" width="14.28515625" style="2" bestFit="1" customWidth="1"/>
    <col min="5" max="5" width="13.42578125" style="2" bestFit="1" customWidth="1"/>
    <col min="6" max="7" width="11.7109375" style="2" bestFit="1" customWidth="1"/>
    <col min="8" max="8" width="9" style="2" bestFit="1" customWidth="1"/>
    <col min="9" max="9" width="8.28515625" style="2" bestFit="1" customWidth="1"/>
    <col min="10" max="10" width="7.85546875" style="2" bestFit="1" customWidth="1"/>
    <col min="11" max="11" width="5.5703125" style="2" bestFit="1" customWidth="1"/>
    <col min="12" max="12" width="7.85546875" style="2" bestFit="1" customWidth="1"/>
    <col min="13" max="13" width="7.5703125" style="2" customWidth="1"/>
    <col min="14" max="14" width="10.28515625" style="2" hidden="1" customWidth="1"/>
    <col min="15" max="15" width="0.28515625" style="2" hidden="1" customWidth="1"/>
    <col min="16" max="16" width="7.7109375" style="2" hidden="1" customWidth="1"/>
    <col min="17" max="17" width="8.5703125" style="2" customWidth="1"/>
    <col min="18" max="18" width="10.28515625" style="2" bestFit="1" customWidth="1"/>
    <col min="19" max="19" width="1" style="2" customWidth="1"/>
    <col min="20" max="20" width="19" style="2" bestFit="1" customWidth="1"/>
    <col min="21" max="21" width="6.140625" style="2" bestFit="1" customWidth="1"/>
    <col min="22" max="22" width="12.14062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62</v>
      </c>
      <c r="C2" s="82" t="s">
        <v>1</v>
      </c>
      <c r="D2" s="86" t="s">
        <v>73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43739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43769</v>
      </c>
    </row>
    <row r="4" spans="1:22" ht="16.5" thickBot="1" x14ac:dyDescent="0.3">
      <c r="A4" s="57">
        <v>43739</v>
      </c>
      <c r="B4" s="76">
        <v>242020</v>
      </c>
      <c r="C4" s="58">
        <f>D4</f>
        <v>267370</v>
      </c>
      <c r="D4" s="58">
        <f>[5]DSR!F11</f>
        <v>267370</v>
      </c>
      <c r="E4" s="58">
        <f t="shared" ref="E4:E34" si="0">$U$6</f>
        <v>419354.83870967739</v>
      </c>
      <c r="F4" s="7">
        <f>D4/E4</f>
        <v>0.63757461538461546</v>
      </c>
      <c r="G4" s="8">
        <f t="shared" ref="G4:G34" si="1">IF(O4=1,F4,"-")</f>
        <v>0.63757461538461546</v>
      </c>
      <c r="H4" s="58">
        <f>[5]DSR!G11</f>
        <v>375</v>
      </c>
      <c r="I4" s="59">
        <f>151+2</f>
        <v>153</v>
      </c>
      <c r="J4" s="58">
        <f>IFERROR((D4/I4),0)</f>
        <v>1747.516339869281</v>
      </c>
      <c r="K4" s="60">
        <f>IFERROR((H4/I4),0)</f>
        <v>2.4509803921568629</v>
      </c>
      <c r="L4" s="58">
        <f>D4/H4</f>
        <v>712.98666666666668</v>
      </c>
      <c r="M4" s="61">
        <f t="shared" ref="M4:M34" si="2">IFERROR(((D4-B4)/B4),0)</f>
        <v>0.1047434096355673</v>
      </c>
      <c r="N4" s="58">
        <f t="shared" ref="N4:N34" si="3">B4*O4</f>
        <v>242020</v>
      </c>
      <c r="O4" s="9">
        <f t="shared" ref="O4:O34" si="4">IF(D4&gt;0,1,0)</f>
        <v>1</v>
      </c>
      <c r="P4" s="9">
        <f>O4</f>
        <v>1</v>
      </c>
      <c r="Q4" s="62">
        <v>683</v>
      </c>
      <c r="R4" s="63">
        <f t="shared" ref="R4:R34" si="5">I4/Q4*100</f>
        <v>22.401171303074673</v>
      </c>
      <c r="T4" s="6" t="s">
        <v>15</v>
      </c>
      <c r="U4" s="98">
        <v>31</v>
      </c>
      <c r="V4" s="98"/>
    </row>
    <row r="5" spans="1:22" ht="16.5" thickBot="1" x14ac:dyDescent="0.3">
      <c r="A5" s="57">
        <v>43740</v>
      </c>
      <c r="B5" s="76">
        <v>283430</v>
      </c>
      <c r="C5" s="58">
        <f t="shared" ref="C5:C34" si="6">D5</f>
        <v>380565</v>
      </c>
      <c r="D5" s="58">
        <f>[5]DSR!F12</f>
        <v>380565</v>
      </c>
      <c r="E5" s="58">
        <f t="shared" si="0"/>
        <v>419354.83870967739</v>
      </c>
      <c r="F5" s="7">
        <f t="shared" ref="F5:F34" si="7">D5/E5</f>
        <v>0.90750115384615393</v>
      </c>
      <c r="G5" s="8">
        <f t="shared" si="1"/>
        <v>0.90750115384615393</v>
      </c>
      <c r="H5" s="58">
        <f>[5]DSR!G12</f>
        <v>528</v>
      </c>
      <c r="I5" s="59">
        <v>198</v>
      </c>
      <c r="J5" s="58">
        <f t="shared" ref="J5:J34" si="8">IFERROR((D5/I5),0)</f>
        <v>1922.0454545454545</v>
      </c>
      <c r="K5" s="60">
        <f t="shared" ref="K5:K34" si="9">IFERROR((H5/I5),0)</f>
        <v>2.6666666666666665</v>
      </c>
      <c r="L5" s="58">
        <f t="shared" ref="L5:L34" si="10">D5/H5</f>
        <v>720.7670454545455</v>
      </c>
      <c r="M5" s="61">
        <f t="shared" si="2"/>
        <v>0.3427124863281939</v>
      </c>
      <c r="N5" s="58">
        <f t="shared" si="3"/>
        <v>283430</v>
      </c>
      <c r="O5" s="9">
        <f t="shared" si="4"/>
        <v>1</v>
      </c>
      <c r="P5" s="9">
        <f t="shared" ref="P5:P34" si="11">P4+O5</f>
        <v>2</v>
      </c>
      <c r="Q5" s="62">
        <v>836</v>
      </c>
      <c r="R5" s="63">
        <f t="shared" si="5"/>
        <v>23.684210526315788</v>
      </c>
      <c r="T5" s="6" t="s">
        <v>16</v>
      </c>
      <c r="U5" s="99">
        <v>13000000</v>
      </c>
      <c r="V5" s="99"/>
    </row>
    <row r="6" spans="1:22" ht="16.5" thickBot="1" x14ac:dyDescent="0.3">
      <c r="A6" s="57">
        <v>43741</v>
      </c>
      <c r="B6" s="76">
        <v>287640</v>
      </c>
      <c r="C6" s="58">
        <f t="shared" si="6"/>
        <v>371240</v>
      </c>
      <c r="D6" s="58">
        <f>[5]DSR!F13</f>
        <v>371240</v>
      </c>
      <c r="E6" s="58">
        <f t="shared" si="0"/>
        <v>419354.83870967739</v>
      </c>
      <c r="F6" s="7">
        <f t="shared" si="7"/>
        <v>0.88526461538461543</v>
      </c>
      <c r="G6" s="8">
        <f t="shared" si="1"/>
        <v>0.88526461538461543</v>
      </c>
      <c r="H6" s="58">
        <f>[5]DSR!G13</f>
        <v>522</v>
      </c>
      <c r="I6" s="59">
        <f>89+132</f>
        <v>221</v>
      </c>
      <c r="J6" s="58">
        <f t="shared" si="8"/>
        <v>1679.8190045248869</v>
      </c>
      <c r="K6" s="60">
        <f t="shared" si="9"/>
        <v>2.3619909502262444</v>
      </c>
      <c r="L6" s="58">
        <f t="shared" si="10"/>
        <v>711.18773946360159</v>
      </c>
      <c r="M6" s="61">
        <f t="shared" si="2"/>
        <v>0.29064107912668613</v>
      </c>
      <c r="N6" s="58">
        <f t="shared" si="3"/>
        <v>287640</v>
      </c>
      <c r="O6" s="9">
        <f t="shared" si="4"/>
        <v>1</v>
      </c>
      <c r="P6" s="9">
        <f t="shared" si="11"/>
        <v>3</v>
      </c>
      <c r="Q6" s="62">
        <v>1017</v>
      </c>
      <c r="R6" s="63">
        <f t="shared" si="5"/>
        <v>21.730580137659782</v>
      </c>
      <c r="T6" s="6" t="s">
        <v>17</v>
      </c>
      <c r="U6" s="100">
        <f>IFERROR((U5/U4),0)</f>
        <v>419354.83870967739</v>
      </c>
      <c r="V6" s="100"/>
    </row>
    <row r="7" spans="1:22" ht="16.5" thickBot="1" x14ac:dyDescent="0.3">
      <c r="A7" s="57">
        <v>43742</v>
      </c>
      <c r="B7" s="76">
        <v>292480</v>
      </c>
      <c r="C7" s="58">
        <f t="shared" si="6"/>
        <v>691270</v>
      </c>
      <c r="D7" s="58">
        <f>[5]DSR!F14</f>
        <v>691270</v>
      </c>
      <c r="E7" s="58">
        <f t="shared" si="0"/>
        <v>419354.83870967739</v>
      </c>
      <c r="F7" s="7">
        <f t="shared" si="7"/>
        <v>1.6484130769230769</v>
      </c>
      <c r="G7" s="8">
        <f t="shared" si="1"/>
        <v>1.6484130769230769</v>
      </c>
      <c r="H7" s="58">
        <f>[5]DSR!G14</f>
        <v>986</v>
      </c>
      <c r="I7" s="59">
        <f>197+164</f>
        <v>361</v>
      </c>
      <c r="J7" s="58">
        <f t="shared" si="8"/>
        <v>1914.8753462603879</v>
      </c>
      <c r="K7" s="60">
        <f t="shared" si="9"/>
        <v>2.7313019390581719</v>
      </c>
      <c r="L7" s="58">
        <f t="shared" si="10"/>
        <v>701.08519269776878</v>
      </c>
      <c r="M7" s="61">
        <f t="shared" si="2"/>
        <v>1.3634778446389497</v>
      </c>
      <c r="N7" s="58">
        <f t="shared" si="3"/>
        <v>292480</v>
      </c>
      <c r="O7" s="9">
        <f t="shared" si="4"/>
        <v>1</v>
      </c>
      <c r="P7" s="9">
        <f t="shared" si="11"/>
        <v>4</v>
      </c>
      <c r="Q7" s="62">
        <v>1821</v>
      </c>
      <c r="R7" s="63">
        <f t="shared" si="5"/>
        <v>19.824272377814385</v>
      </c>
      <c r="T7" s="6" t="s">
        <v>18</v>
      </c>
      <c r="U7" s="10">
        <f>IFERROR((V7/U5),0)</f>
        <v>0.65004923076923082</v>
      </c>
      <c r="V7" s="11">
        <f>D35</f>
        <v>8450640</v>
      </c>
    </row>
    <row r="8" spans="1:22" ht="16.5" thickBot="1" x14ac:dyDescent="0.3">
      <c r="A8" s="57">
        <v>43743</v>
      </c>
      <c r="B8" s="76">
        <v>308770</v>
      </c>
      <c r="C8" s="58">
        <f t="shared" si="6"/>
        <v>1140710</v>
      </c>
      <c r="D8" s="58">
        <f>[5]DSR!F15</f>
        <v>1140710</v>
      </c>
      <c r="E8" s="58">
        <f t="shared" si="0"/>
        <v>419354.83870967739</v>
      </c>
      <c r="F8" s="7">
        <f t="shared" si="7"/>
        <v>2.7201546153846157</v>
      </c>
      <c r="G8" s="8">
        <f t="shared" si="1"/>
        <v>2.7201546153846157</v>
      </c>
      <c r="H8" s="58">
        <f>[5]DSR!G15</f>
        <v>1479</v>
      </c>
      <c r="I8" s="59">
        <f>238+286</f>
        <v>524</v>
      </c>
      <c r="J8" s="58">
        <f t="shared" si="8"/>
        <v>2176.9274809160306</v>
      </c>
      <c r="K8" s="60">
        <f t="shared" si="9"/>
        <v>2.8225190839694658</v>
      </c>
      <c r="L8" s="58">
        <f t="shared" si="10"/>
        <v>771.27112914131169</v>
      </c>
      <c r="M8" s="61">
        <f t="shared" si="2"/>
        <v>2.6943679761634876</v>
      </c>
      <c r="N8" s="58">
        <f t="shared" si="3"/>
        <v>308770</v>
      </c>
      <c r="O8" s="9">
        <f t="shared" si="4"/>
        <v>1</v>
      </c>
      <c r="P8" s="9">
        <f t="shared" si="11"/>
        <v>5</v>
      </c>
      <c r="Q8" s="62">
        <v>2108</v>
      </c>
      <c r="R8" s="63">
        <f t="shared" si="5"/>
        <v>24.857685009487664</v>
      </c>
      <c r="T8" s="6" t="s">
        <v>19</v>
      </c>
      <c r="U8" s="101">
        <f>IFERROR((U12*U4),0)</f>
        <v>17464656</v>
      </c>
      <c r="V8" s="101"/>
    </row>
    <row r="9" spans="1:22" ht="16.5" thickBot="1" x14ac:dyDescent="0.3">
      <c r="A9" s="57">
        <v>43744</v>
      </c>
      <c r="B9" s="76">
        <v>550450</v>
      </c>
      <c r="C9" s="58">
        <f t="shared" si="6"/>
        <v>1046895</v>
      </c>
      <c r="D9" s="58">
        <f>[5]DSR!F16</f>
        <v>1046895</v>
      </c>
      <c r="E9" s="58">
        <f t="shared" si="0"/>
        <v>419354.83870967739</v>
      </c>
      <c r="F9" s="7">
        <f t="shared" si="7"/>
        <v>2.4964419230769233</v>
      </c>
      <c r="G9" s="8">
        <f t="shared" si="1"/>
        <v>2.4964419230769233</v>
      </c>
      <c r="H9" s="58">
        <f>[5]DSR!G16</f>
        <v>1181</v>
      </c>
      <c r="I9" s="59">
        <f>193+274</f>
        <v>467</v>
      </c>
      <c r="J9" s="58">
        <f t="shared" si="8"/>
        <v>2241.7451820128481</v>
      </c>
      <c r="K9" s="60">
        <f t="shared" si="9"/>
        <v>2.5289079229122056</v>
      </c>
      <c r="L9" s="58">
        <f t="shared" si="10"/>
        <v>886.44792548687553</v>
      </c>
      <c r="M9" s="61">
        <f t="shared" si="2"/>
        <v>0.90188936324825142</v>
      </c>
      <c r="N9" s="58">
        <f t="shared" si="3"/>
        <v>550450</v>
      </c>
      <c r="O9" s="9">
        <f t="shared" si="4"/>
        <v>1</v>
      </c>
      <c r="P9" s="9">
        <f t="shared" si="11"/>
        <v>6</v>
      </c>
      <c r="Q9" s="62">
        <v>2376</v>
      </c>
      <c r="R9" s="63">
        <f t="shared" si="5"/>
        <v>19.654882154882156</v>
      </c>
      <c r="T9" s="6" t="s">
        <v>20</v>
      </c>
      <c r="U9" s="90">
        <f>H35</f>
        <v>10525</v>
      </c>
      <c r="V9" s="91"/>
    </row>
    <row r="10" spans="1:22" ht="16.5" thickBot="1" x14ac:dyDescent="0.3">
      <c r="A10" s="57">
        <v>43745</v>
      </c>
      <c r="B10" s="76">
        <v>537580</v>
      </c>
      <c r="C10" s="58">
        <f t="shared" si="6"/>
        <v>522270</v>
      </c>
      <c r="D10" s="58">
        <f>[5]DSR!F17</f>
        <v>522270</v>
      </c>
      <c r="E10" s="58">
        <f t="shared" si="0"/>
        <v>419354.83870967739</v>
      </c>
      <c r="F10" s="7">
        <f>D10/E10</f>
        <v>1.2454130769230769</v>
      </c>
      <c r="G10" s="8">
        <f t="shared" si="1"/>
        <v>1.2454130769230769</v>
      </c>
      <c r="H10" s="58">
        <f>[5]DSR!G17</f>
        <v>622</v>
      </c>
      <c r="I10" s="59">
        <f>65+154</f>
        <v>219</v>
      </c>
      <c r="J10" s="58">
        <f>IFERROR((D10/I10),0)</f>
        <v>2384.794520547945</v>
      </c>
      <c r="K10" s="60">
        <f t="shared" si="9"/>
        <v>2.8401826484018264</v>
      </c>
      <c r="L10" s="58">
        <f>D10/H10</f>
        <v>839.66237942122189</v>
      </c>
      <c r="M10" s="61">
        <f>IFERROR(((D10-B10)/B10),0)</f>
        <v>-2.8479482123590909E-2</v>
      </c>
      <c r="N10" s="58">
        <f t="shared" si="3"/>
        <v>537580</v>
      </c>
      <c r="O10" s="9">
        <f>IF(D10&gt;0,1,0)</f>
        <v>1</v>
      </c>
      <c r="P10" s="9">
        <f t="shared" si="11"/>
        <v>7</v>
      </c>
      <c r="Q10" s="62">
        <v>973</v>
      </c>
      <c r="R10" s="63">
        <f t="shared" si="5"/>
        <v>22.507708119218911</v>
      </c>
      <c r="T10" s="6" t="s">
        <v>21</v>
      </c>
      <c r="U10" s="100">
        <f>IFERROR((U9/P35),0)</f>
        <v>701.66666666666663</v>
      </c>
      <c r="V10" s="100"/>
    </row>
    <row r="11" spans="1:22" ht="16.5" thickBot="1" x14ac:dyDescent="0.3">
      <c r="A11" s="57">
        <v>43746</v>
      </c>
      <c r="B11" s="76">
        <v>234350</v>
      </c>
      <c r="C11" s="58">
        <f t="shared" si="6"/>
        <v>382980</v>
      </c>
      <c r="D11" s="58">
        <f>[5]DSR!F18</f>
        <v>382980</v>
      </c>
      <c r="E11" s="58">
        <f t="shared" si="0"/>
        <v>419354.83870967739</v>
      </c>
      <c r="F11" s="7">
        <f t="shared" si="7"/>
        <v>0.91326000000000007</v>
      </c>
      <c r="G11" s="8">
        <f t="shared" si="1"/>
        <v>0.91326000000000007</v>
      </c>
      <c r="H11" s="58">
        <f>[5]DSR!G18</f>
        <v>483</v>
      </c>
      <c r="I11" s="59">
        <v>205</v>
      </c>
      <c r="J11" s="58">
        <f t="shared" si="8"/>
        <v>1868.1951219512196</v>
      </c>
      <c r="K11" s="60">
        <f t="shared" si="9"/>
        <v>2.3560975609756096</v>
      </c>
      <c r="L11" s="58">
        <f t="shared" si="10"/>
        <v>792.91925465838506</v>
      </c>
      <c r="M11" s="61">
        <f t="shared" si="2"/>
        <v>0.63422231704715171</v>
      </c>
      <c r="N11" s="58">
        <f t="shared" si="3"/>
        <v>234350</v>
      </c>
      <c r="O11" s="9">
        <f t="shared" si="4"/>
        <v>1</v>
      </c>
      <c r="P11" s="9">
        <f t="shared" si="11"/>
        <v>8</v>
      </c>
      <c r="Q11" s="62">
        <v>979</v>
      </c>
      <c r="R11" s="63">
        <f t="shared" si="5"/>
        <v>20.939734422880491</v>
      </c>
      <c r="T11" s="6" t="s">
        <v>22</v>
      </c>
      <c r="U11" s="100">
        <f>D35</f>
        <v>8450640</v>
      </c>
      <c r="V11" s="100"/>
    </row>
    <row r="12" spans="1:22" ht="16.5" thickBot="1" x14ac:dyDescent="0.3">
      <c r="A12" s="57">
        <v>43747</v>
      </c>
      <c r="B12" s="76">
        <v>213970</v>
      </c>
      <c r="C12" s="58">
        <f t="shared" si="6"/>
        <v>408970</v>
      </c>
      <c r="D12" s="58">
        <f>[5]DSR!F19</f>
        <v>408970</v>
      </c>
      <c r="E12" s="58">
        <f t="shared" si="0"/>
        <v>419354.83870967739</v>
      </c>
      <c r="F12" s="7">
        <f t="shared" si="7"/>
        <v>0.97523615384615392</v>
      </c>
      <c r="G12" s="8">
        <f t="shared" si="1"/>
        <v>0.97523615384615392</v>
      </c>
      <c r="H12" s="58">
        <f>[5]DSR!G19</f>
        <v>490</v>
      </c>
      <c r="I12" s="59">
        <f>181+11</f>
        <v>192</v>
      </c>
      <c r="J12" s="58">
        <f t="shared" si="8"/>
        <v>2130.0520833333335</v>
      </c>
      <c r="K12" s="60">
        <f t="shared" si="9"/>
        <v>2.5520833333333335</v>
      </c>
      <c r="L12" s="58">
        <f t="shared" si="10"/>
        <v>834.63265306122446</v>
      </c>
      <c r="M12" s="61">
        <f t="shared" si="2"/>
        <v>0.9113427115950834</v>
      </c>
      <c r="N12" s="58">
        <f t="shared" si="3"/>
        <v>213970</v>
      </c>
      <c r="O12" s="9">
        <f t="shared" si="4"/>
        <v>1</v>
      </c>
      <c r="P12" s="9">
        <f t="shared" si="11"/>
        <v>9</v>
      </c>
      <c r="Q12" s="62">
        <v>1013</v>
      </c>
      <c r="R12" s="63">
        <f t="shared" si="5"/>
        <v>18.953603158933859</v>
      </c>
      <c r="T12" s="6" t="s">
        <v>23</v>
      </c>
      <c r="U12" s="90">
        <f>IFERROR((D35/P35),0)</f>
        <v>563376</v>
      </c>
      <c r="V12" s="91"/>
    </row>
    <row r="13" spans="1:22" ht="16.5" thickBot="1" x14ac:dyDescent="0.3">
      <c r="A13" s="57">
        <v>43748</v>
      </c>
      <c r="B13" s="76">
        <v>274560</v>
      </c>
      <c r="C13" s="58">
        <f t="shared" si="6"/>
        <v>368175</v>
      </c>
      <c r="D13" s="58">
        <f>[5]DSR!F20</f>
        <v>368175</v>
      </c>
      <c r="E13" s="58">
        <f t="shared" si="0"/>
        <v>419354.83870967739</v>
      </c>
      <c r="F13" s="7">
        <f t="shared" si="7"/>
        <v>0.87795576923076923</v>
      </c>
      <c r="G13" s="8">
        <f t="shared" si="1"/>
        <v>0.87795576923076923</v>
      </c>
      <c r="H13" s="58">
        <f>[5]DSR!G20</f>
        <v>447</v>
      </c>
      <c r="I13" s="59">
        <f>28+170</f>
        <v>198</v>
      </c>
      <c r="J13" s="58">
        <f t="shared" si="8"/>
        <v>1859.469696969697</v>
      </c>
      <c r="K13" s="60">
        <f t="shared" si="9"/>
        <v>2.2575757575757578</v>
      </c>
      <c r="L13" s="58">
        <f t="shared" si="10"/>
        <v>823.65771812080538</v>
      </c>
      <c r="M13" s="61">
        <f t="shared" si="2"/>
        <v>0.3409637237762238</v>
      </c>
      <c r="N13" s="58">
        <f t="shared" si="3"/>
        <v>274560</v>
      </c>
      <c r="O13" s="9">
        <f t="shared" si="4"/>
        <v>1</v>
      </c>
      <c r="P13" s="9">
        <f t="shared" si="11"/>
        <v>10</v>
      </c>
      <c r="Q13" s="62">
        <v>894</v>
      </c>
      <c r="R13" s="63">
        <f t="shared" si="5"/>
        <v>22.14765100671141</v>
      </c>
      <c r="T13" s="6" t="s">
        <v>24</v>
      </c>
      <c r="U13" s="100">
        <f>U5-D35</f>
        <v>4549360</v>
      </c>
      <c r="V13" s="100"/>
    </row>
    <row r="14" spans="1:22" ht="16.5" thickBot="1" x14ac:dyDescent="0.3">
      <c r="A14" s="57">
        <v>43749</v>
      </c>
      <c r="B14" s="76">
        <v>360200</v>
      </c>
      <c r="C14" s="58">
        <f t="shared" si="6"/>
        <v>551600</v>
      </c>
      <c r="D14" s="58">
        <f>[5]DSR!F21</f>
        <v>551600</v>
      </c>
      <c r="E14" s="58">
        <f t="shared" si="0"/>
        <v>419354.83870967739</v>
      </c>
      <c r="F14" s="7">
        <f t="shared" si="7"/>
        <v>1.3153538461538463</v>
      </c>
      <c r="G14" s="8">
        <f t="shared" si="1"/>
        <v>1.3153538461538463</v>
      </c>
      <c r="H14" s="58">
        <f>[5]DSR!G21</f>
        <v>643</v>
      </c>
      <c r="I14" s="59">
        <f>104+157</f>
        <v>261</v>
      </c>
      <c r="J14" s="58">
        <f t="shared" si="8"/>
        <v>2113.4099616858239</v>
      </c>
      <c r="K14" s="60">
        <f t="shared" si="9"/>
        <v>2.4636015325670497</v>
      </c>
      <c r="L14" s="58">
        <f t="shared" si="10"/>
        <v>857.85381026438574</v>
      </c>
      <c r="M14" s="61">
        <f t="shared" si="2"/>
        <v>0.5313714602998334</v>
      </c>
      <c r="N14" s="58">
        <f t="shared" si="3"/>
        <v>360200</v>
      </c>
      <c r="O14" s="9">
        <f t="shared" si="4"/>
        <v>1</v>
      </c>
      <c r="P14" s="9">
        <f t="shared" si="11"/>
        <v>11</v>
      </c>
      <c r="Q14" s="62">
        <v>1279</v>
      </c>
      <c r="R14" s="63">
        <f t="shared" si="5"/>
        <v>20.406567630961689</v>
      </c>
      <c r="T14" s="6" t="s">
        <v>25</v>
      </c>
      <c r="U14" s="100">
        <f>IFERROR((U5-D35)/(U4-P35),0)</f>
        <v>284335</v>
      </c>
      <c r="V14" s="100"/>
    </row>
    <row r="15" spans="1:22" ht="16.5" thickBot="1" x14ac:dyDescent="0.3">
      <c r="A15" s="57">
        <v>43750</v>
      </c>
      <c r="B15" s="76">
        <v>354710</v>
      </c>
      <c r="C15" s="58">
        <f t="shared" si="6"/>
        <v>840580</v>
      </c>
      <c r="D15" s="58">
        <f>[5]DSR!F22</f>
        <v>840580</v>
      </c>
      <c r="E15" s="58">
        <f t="shared" si="0"/>
        <v>419354.83870967739</v>
      </c>
      <c r="F15" s="7">
        <f t="shared" si="7"/>
        <v>2.0044599999999999</v>
      </c>
      <c r="G15" s="8">
        <f t="shared" si="1"/>
        <v>2.0044599999999999</v>
      </c>
      <c r="H15" s="58">
        <f>[5]DSR!G22</f>
        <v>949</v>
      </c>
      <c r="I15" s="59">
        <f>138+257</f>
        <v>395</v>
      </c>
      <c r="J15" s="58">
        <f t="shared" si="8"/>
        <v>2128.0506329113923</v>
      </c>
      <c r="K15" s="60">
        <f t="shared" si="9"/>
        <v>2.4025316455696202</v>
      </c>
      <c r="L15" s="58">
        <f t="shared" si="10"/>
        <v>885.7534246575342</v>
      </c>
      <c r="M15" s="61">
        <f t="shared" si="2"/>
        <v>1.3697668517944237</v>
      </c>
      <c r="N15" s="58">
        <f t="shared" si="3"/>
        <v>354710</v>
      </c>
      <c r="O15" s="9">
        <f t="shared" si="4"/>
        <v>1</v>
      </c>
      <c r="P15" s="9">
        <f t="shared" si="11"/>
        <v>12</v>
      </c>
      <c r="Q15" s="62">
        <v>2142</v>
      </c>
      <c r="R15" s="63">
        <f t="shared" si="5"/>
        <v>18.440709617180207</v>
      </c>
      <c r="T15" s="12" t="s">
        <v>6</v>
      </c>
      <c r="U15" s="100">
        <f>IFERROR((D35/I35),0)</f>
        <v>2027.9913606911448</v>
      </c>
      <c r="V15" s="100"/>
    </row>
    <row r="16" spans="1:22" ht="16.5" thickBot="1" x14ac:dyDescent="0.3">
      <c r="A16" s="57">
        <v>43751</v>
      </c>
      <c r="B16" s="76">
        <v>665170</v>
      </c>
      <c r="C16" s="58">
        <f t="shared" si="6"/>
        <v>767770</v>
      </c>
      <c r="D16" s="58">
        <f>[5]DSR!F23</f>
        <v>767770</v>
      </c>
      <c r="E16" s="58">
        <f t="shared" si="0"/>
        <v>419354.83870967739</v>
      </c>
      <c r="F16" s="7">
        <f t="shared" si="7"/>
        <v>1.8308361538461539</v>
      </c>
      <c r="G16" s="8">
        <f t="shared" si="1"/>
        <v>1.8308361538461539</v>
      </c>
      <c r="H16" s="58">
        <f>[5]DSR!G23</f>
        <v>902</v>
      </c>
      <c r="I16" s="59">
        <f>237+142</f>
        <v>379</v>
      </c>
      <c r="J16" s="58">
        <f t="shared" si="8"/>
        <v>2025.778364116095</v>
      </c>
      <c r="K16" s="60">
        <f t="shared" si="9"/>
        <v>2.3799472295514512</v>
      </c>
      <c r="L16" s="58">
        <f t="shared" si="10"/>
        <v>851.18625277161857</v>
      </c>
      <c r="M16" s="61">
        <f t="shared" si="2"/>
        <v>0.15424628290512199</v>
      </c>
      <c r="N16" s="58">
        <f t="shared" si="3"/>
        <v>665170</v>
      </c>
      <c r="O16" s="9">
        <f t="shared" si="4"/>
        <v>1</v>
      </c>
      <c r="P16" s="9">
        <f t="shared" si="11"/>
        <v>13</v>
      </c>
      <c r="Q16" s="62">
        <v>1981</v>
      </c>
      <c r="R16" s="63">
        <f t="shared" si="5"/>
        <v>19.131751640585563</v>
      </c>
      <c r="T16" s="12" t="s">
        <v>7</v>
      </c>
      <c r="U16" s="104">
        <f>IFERROR((H35/I35),0)</f>
        <v>2.5257979361651066</v>
      </c>
      <c r="V16" s="104"/>
    </row>
    <row r="17" spans="1:25" ht="16.5" thickBot="1" x14ac:dyDescent="0.3">
      <c r="A17" s="57">
        <v>43752</v>
      </c>
      <c r="B17" s="76">
        <v>582760</v>
      </c>
      <c r="C17" s="58">
        <f t="shared" si="6"/>
        <v>337615</v>
      </c>
      <c r="D17" s="58">
        <f>[5]DSR!F24</f>
        <v>337615</v>
      </c>
      <c r="E17" s="58">
        <f t="shared" si="0"/>
        <v>419354.83870967739</v>
      </c>
      <c r="F17" s="7">
        <f t="shared" si="7"/>
        <v>0.80508192307692317</v>
      </c>
      <c r="G17" s="8">
        <f t="shared" si="1"/>
        <v>0.80508192307692317</v>
      </c>
      <c r="H17" s="58">
        <f>[5]DSR!G24</f>
        <v>407</v>
      </c>
      <c r="I17" s="59">
        <f>34+170</f>
        <v>204</v>
      </c>
      <c r="J17" s="58">
        <f t="shared" si="8"/>
        <v>1654.9754901960785</v>
      </c>
      <c r="K17" s="60">
        <f t="shared" si="9"/>
        <v>1.9950980392156863</v>
      </c>
      <c r="L17" s="58">
        <f t="shared" si="10"/>
        <v>829.52088452088447</v>
      </c>
      <c r="M17" s="61">
        <f t="shared" si="2"/>
        <v>-0.42066202210172282</v>
      </c>
      <c r="N17" s="58">
        <f t="shared" si="3"/>
        <v>582760</v>
      </c>
      <c r="O17" s="9">
        <f t="shared" si="4"/>
        <v>1</v>
      </c>
      <c r="P17" s="9">
        <f t="shared" si="11"/>
        <v>14</v>
      </c>
      <c r="Q17" s="62">
        <v>1122</v>
      </c>
      <c r="R17" s="63">
        <f t="shared" si="5"/>
        <v>18.181818181818183</v>
      </c>
      <c r="T17" s="12" t="s">
        <v>26</v>
      </c>
      <c r="U17" s="105">
        <f>U5/L35</f>
        <v>16191.081385551865</v>
      </c>
      <c r="V17" s="105"/>
    </row>
    <row r="18" spans="1:25" ht="16.5" thickBot="1" x14ac:dyDescent="0.3">
      <c r="A18" s="57">
        <v>43753</v>
      </c>
      <c r="B18" s="76">
        <v>281270</v>
      </c>
      <c r="C18" s="58">
        <f t="shared" si="6"/>
        <v>372630</v>
      </c>
      <c r="D18" s="58">
        <f>[5]DSR!F25</f>
        <v>372630</v>
      </c>
      <c r="E18" s="58">
        <f t="shared" si="0"/>
        <v>419354.83870967739</v>
      </c>
      <c r="F18" s="7">
        <f t="shared" si="7"/>
        <v>0.88857923076923084</v>
      </c>
      <c r="G18" s="8">
        <f t="shared" si="1"/>
        <v>0.88857923076923084</v>
      </c>
      <c r="H18" s="58">
        <f>[5]DSR!G25</f>
        <v>511</v>
      </c>
      <c r="I18" s="59">
        <f>149+41</f>
        <v>190</v>
      </c>
      <c r="J18" s="58">
        <f t="shared" si="8"/>
        <v>1961.2105263157894</v>
      </c>
      <c r="K18" s="60">
        <f t="shared" si="9"/>
        <v>2.6894736842105265</v>
      </c>
      <c r="L18" s="58">
        <f t="shared" si="10"/>
        <v>729.21722113502938</v>
      </c>
      <c r="M18" s="61">
        <f t="shared" si="2"/>
        <v>0.32481245778078005</v>
      </c>
      <c r="N18" s="58">
        <f t="shared" si="3"/>
        <v>281270</v>
      </c>
      <c r="O18" s="9">
        <f t="shared" si="4"/>
        <v>1</v>
      </c>
      <c r="P18" s="9">
        <f t="shared" si="11"/>
        <v>15</v>
      </c>
      <c r="Q18" s="62">
        <v>874</v>
      </c>
      <c r="R18" s="63">
        <f t="shared" si="5"/>
        <v>21.739130434782609</v>
      </c>
      <c r="T18" s="13" t="s">
        <v>27</v>
      </c>
      <c r="U18" s="106">
        <f>U17-H35</f>
        <v>5666.0813855518645</v>
      </c>
      <c r="V18" s="107"/>
    </row>
    <row r="19" spans="1:25" ht="16.5" thickBot="1" x14ac:dyDescent="0.3">
      <c r="A19" s="57">
        <v>43754</v>
      </c>
      <c r="B19" s="76">
        <v>249840</v>
      </c>
      <c r="C19" s="58">
        <f t="shared" si="6"/>
        <v>0</v>
      </c>
      <c r="D19" s="58">
        <f>[5]DSR!F26</f>
        <v>0</v>
      </c>
      <c r="E19" s="58">
        <f t="shared" si="0"/>
        <v>419354.83870967739</v>
      </c>
      <c r="F19" s="7">
        <f t="shared" si="7"/>
        <v>0</v>
      </c>
      <c r="G19" s="8" t="str">
        <f t="shared" si="1"/>
        <v>-</v>
      </c>
      <c r="H19" s="58">
        <f>[5]DSR!G26</f>
        <v>0</v>
      </c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15</v>
      </c>
      <c r="Q19" s="62"/>
      <c r="R19" s="63" t="e">
        <f t="shared" si="5"/>
        <v>#DIV/0!</v>
      </c>
      <c r="T19" s="12" t="s">
        <v>57</v>
      </c>
      <c r="U19" s="112">
        <f>D37/U5*100%</f>
        <v>1.343435076923077</v>
      </c>
      <c r="V19" s="113"/>
    </row>
    <row r="20" spans="1:25" ht="16.5" thickBot="1" x14ac:dyDescent="0.3">
      <c r="A20" s="57">
        <v>43755</v>
      </c>
      <c r="B20" s="76">
        <v>267730</v>
      </c>
      <c r="C20" s="58">
        <f t="shared" si="6"/>
        <v>0</v>
      </c>
      <c r="D20" s="58">
        <f>[5]DSR!F27</f>
        <v>0</v>
      </c>
      <c r="E20" s="58">
        <f t="shared" si="0"/>
        <v>419354.83870967739</v>
      </c>
      <c r="F20" s="7">
        <f t="shared" si="7"/>
        <v>0</v>
      </c>
      <c r="G20" s="8" t="str">
        <f t="shared" si="1"/>
        <v>-</v>
      </c>
      <c r="H20" s="58">
        <f>[5]DSR!G27</f>
        <v>0</v>
      </c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15</v>
      </c>
      <c r="Q20" s="62"/>
      <c r="R20" s="63" t="e">
        <f t="shared" si="5"/>
        <v>#DIV/0!</v>
      </c>
      <c r="T20" s="12" t="s">
        <v>8</v>
      </c>
      <c r="U20" s="108">
        <f>D35/H35</f>
        <v>802.91116389548688</v>
      </c>
      <c r="V20" s="109"/>
      <c r="Y20" s="14"/>
    </row>
    <row r="21" spans="1:25" x14ac:dyDescent="0.25">
      <c r="A21" s="57">
        <v>43756</v>
      </c>
      <c r="B21" s="76">
        <v>243160</v>
      </c>
      <c r="C21" s="58">
        <f t="shared" si="6"/>
        <v>0</v>
      </c>
      <c r="D21" s="58">
        <f>[5]DSR!F28</f>
        <v>0</v>
      </c>
      <c r="E21" s="58">
        <f t="shared" si="0"/>
        <v>419354.83870967739</v>
      </c>
      <c r="F21" s="7">
        <f t="shared" si="7"/>
        <v>0</v>
      </c>
      <c r="G21" s="8" t="str">
        <f t="shared" si="1"/>
        <v>-</v>
      </c>
      <c r="H21" s="58">
        <f>[5]DSR!G28</f>
        <v>0</v>
      </c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15</v>
      </c>
      <c r="Q21" s="62"/>
      <c r="R21" s="63" t="e">
        <f t="shared" si="5"/>
        <v>#DIV/0!</v>
      </c>
    </row>
    <row r="22" spans="1:25" x14ac:dyDescent="0.25">
      <c r="A22" s="57">
        <v>43757</v>
      </c>
      <c r="B22" s="76">
        <v>420480</v>
      </c>
      <c r="C22" s="58">
        <f t="shared" si="6"/>
        <v>0</v>
      </c>
      <c r="D22" s="58">
        <f>[5]DSR!F29</f>
        <v>0</v>
      </c>
      <c r="E22" s="58">
        <f t="shared" si="0"/>
        <v>419354.83870967739</v>
      </c>
      <c r="F22" s="7">
        <f t="shared" si="7"/>
        <v>0</v>
      </c>
      <c r="G22" s="8" t="str">
        <f t="shared" si="1"/>
        <v>-</v>
      </c>
      <c r="H22" s="58">
        <f>[5]DSR!G29</f>
        <v>0</v>
      </c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15</v>
      </c>
      <c r="Q22" s="62"/>
      <c r="R22" s="63" t="e">
        <f t="shared" si="5"/>
        <v>#DIV/0!</v>
      </c>
    </row>
    <row r="23" spans="1:25" x14ac:dyDescent="0.25">
      <c r="A23" s="57">
        <v>43758</v>
      </c>
      <c r="B23" s="76">
        <v>573890</v>
      </c>
      <c r="C23" s="58">
        <f t="shared" si="6"/>
        <v>0</v>
      </c>
      <c r="D23" s="58">
        <f>[5]DSR!F30</f>
        <v>0</v>
      </c>
      <c r="E23" s="58">
        <f t="shared" si="0"/>
        <v>419354.83870967739</v>
      </c>
      <c r="F23" s="7">
        <f t="shared" si="7"/>
        <v>0</v>
      </c>
      <c r="G23" s="8" t="str">
        <f t="shared" si="1"/>
        <v>-</v>
      </c>
      <c r="H23" s="58">
        <f>[5]DSR!G30</f>
        <v>0</v>
      </c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15</v>
      </c>
      <c r="Q23" s="62"/>
      <c r="R23" s="63" t="e">
        <f t="shared" si="5"/>
        <v>#DIV/0!</v>
      </c>
    </row>
    <row r="24" spans="1:25" x14ac:dyDescent="0.25">
      <c r="A24" s="57">
        <v>43759</v>
      </c>
      <c r="B24" s="76">
        <v>699350</v>
      </c>
      <c r="C24" s="58">
        <f t="shared" si="6"/>
        <v>0</v>
      </c>
      <c r="D24" s="58">
        <f>[5]DSR!F31</f>
        <v>0</v>
      </c>
      <c r="E24" s="58">
        <f t="shared" si="0"/>
        <v>419354.83870967739</v>
      </c>
      <c r="F24" s="7">
        <f t="shared" si="7"/>
        <v>0</v>
      </c>
      <c r="G24" s="8" t="str">
        <f t="shared" si="1"/>
        <v>-</v>
      </c>
      <c r="H24" s="58">
        <f>[5]DSR!G31</f>
        <v>0</v>
      </c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15</v>
      </c>
      <c r="Q24" s="62"/>
      <c r="R24" s="63" t="e">
        <f t="shared" si="5"/>
        <v>#DIV/0!</v>
      </c>
    </row>
    <row r="25" spans="1:25" x14ac:dyDescent="0.25">
      <c r="A25" s="57">
        <v>43760</v>
      </c>
      <c r="B25" s="76">
        <v>174190</v>
      </c>
      <c r="C25" s="58">
        <f t="shared" si="6"/>
        <v>0</v>
      </c>
      <c r="D25" s="58">
        <f>[5]DSR!F32</f>
        <v>0</v>
      </c>
      <c r="E25" s="58">
        <f t="shared" si="0"/>
        <v>419354.83870967739</v>
      </c>
      <c r="F25" s="7">
        <f t="shared" si="7"/>
        <v>0</v>
      </c>
      <c r="G25" s="8" t="str">
        <f t="shared" si="1"/>
        <v>-</v>
      </c>
      <c r="H25" s="58">
        <f>[5]DSR!G32</f>
        <v>0</v>
      </c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15</v>
      </c>
      <c r="Q25" s="62"/>
      <c r="R25" s="63" t="e">
        <f t="shared" si="5"/>
        <v>#DIV/0!</v>
      </c>
    </row>
    <row r="26" spans="1:25" x14ac:dyDescent="0.25">
      <c r="A26" s="57">
        <v>43761</v>
      </c>
      <c r="B26" s="76">
        <v>212630</v>
      </c>
      <c r="C26" s="58">
        <f t="shared" si="6"/>
        <v>0</v>
      </c>
      <c r="D26" s="58">
        <f>[5]DSR!F33</f>
        <v>0</v>
      </c>
      <c r="E26" s="58">
        <f t="shared" si="0"/>
        <v>419354.83870967739</v>
      </c>
      <c r="F26" s="7">
        <f t="shared" si="7"/>
        <v>0</v>
      </c>
      <c r="G26" s="8" t="str">
        <f t="shared" si="1"/>
        <v>-</v>
      </c>
      <c r="H26" s="58">
        <f>[5]DSR!G33</f>
        <v>0</v>
      </c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15</v>
      </c>
      <c r="Q26" s="62"/>
      <c r="R26" s="63" t="e">
        <f t="shared" si="5"/>
        <v>#DIV/0!</v>
      </c>
    </row>
    <row r="27" spans="1:25" x14ac:dyDescent="0.25">
      <c r="A27" s="57">
        <v>43762</v>
      </c>
      <c r="B27" s="76">
        <v>308950</v>
      </c>
      <c r="C27" s="58">
        <f t="shared" si="6"/>
        <v>0</v>
      </c>
      <c r="D27" s="58">
        <f>[5]DSR!F34</f>
        <v>0</v>
      </c>
      <c r="E27" s="58">
        <f t="shared" si="0"/>
        <v>419354.83870967739</v>
      </c>
      <c r="F27" s="7">
        <f t="shared" si="7"/>
        <v>0</v>
      </c>
      <c r="G27" s="8" t="str">
        <f t="shared" si="1"/>
        <v>-</v>
      </c>
      <c r="H27" s="58">
        <f>[5]DSR!G34</f>
        <v>0</v>
      </c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15</v>
      </c>
      <c r="Q27" s="62"/>
      <c r="R27" s="63" t="e">
        <f t="shared" si="5"/>
        <v>#DIV/0!</v>
      </c>
    </row>
    <row r="28" spans="1:25" x14ac:dyDescent="0.25">
      <c r="A28" s="57">
        <v>43763</v>
      </c>
      <c r="B28" s="76">
        <v>279750</v>
      </c>
      <c r="C28" s="58">
        <f t="shared" si="6"/>
        <v>0</v>
      </c>
      <c r="D28" s="58">
        <f>[5]DSR!F35</f>
        <v>0</v>
      </c>
      <c r="E28" s="58">
        <f t="shared" si="0"/>
        <v>419354.83870967739</v>
      </c>
      <c r="F28" s="7">
        <f t="shared" si="7"/>
        <v>0</v>
      </c>
      <c r="G28" s="8" t="str">
        <f t="shared" si="1"/>
        <v>-</v>
      </c>
      <c r="H28" s="58">
        <f>[5]DSR!G35</f>
        <v>0</v>
      </c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15</v>
      </c>
      <c r="Q28" s="62"/>
      <c r="R28" s="63" t="e">
        <f t="shared" si="5"/>
        <v>#DIV/0!</v>
      </c>
    </row>
    <row r="29" spans="1:25" x14ac:dyDescent="0.25">
      <c r="A29" s="57">
        <v>43764</v>
      </c>
      <c r="B29" s="76">
        <v>277690</v>
      </c>
      <c r="C29" s="58">
        <f t="shared" si="6"/>
        <v>0</v>
      </c>
      <c r="D29" s="58">
        <f>[5]DSR!F36</f>
        <v>0</v>
      </c>
      <c r="E29" s="58">
        <f t="shared" si="0"/>
        <v>419354.83870967739</v>
      </c>
      <c r="F29" s="7">
        <f t="shared" si="7"/>
        <v>0</v>
      </c>
      <c r="G29" s="8" t="str">
        <f t="shared" si="1"/>
        <v>-</v>
      </c>
      <c r="H29" s="58">
        <f>[5]DSR!G36</f>
        <v>0</v>
      </c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15</v>
      </c>
      <c r="Q29" s="62"/>
      <c r="R29" s="63" t="e">
        <f t="shared" si="5"/>
        <v>#DIV/0!</v>
      </c>
    </row>
    <row r="30" spans="1:25" x14ac:dyDescent="0.25">
      <c r="A30" s="57">
        <v>43765</v>
      </c>
      <c r="B30" s="76">
        <v>516690</v>
      </c>
      <c r="C30" s="58">
        <f t="shared" si="6"/>
        <v>0</v>
      </c>
      <c r="D30" s="58">
        <f>[5]DSR!F37</f>
        <v>0</v>
      </c>
      <c r="E30" s="58">
        <f t="shared" si="0"/>
        <v>419354.83870967739</v>
      </c>
      <c r="F30" s="7">
        <f t="shared" si="7"/>
        <v>0</v>
      </c>
      <c r="G30" s="8" t="str">
        <f t="shared" si="1"/>
        <v>-</v>
      </c>
      <c r="H30" s="58">
        <f>[5]DSR!G37</f>
        <v>0</v>
      </c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15</v>
      </c>
      <c r="Q30" s="62"/>
      <c r="R30" s="63" t="e">
        <f t="shared" si="5"/>
        <v>#DIV/0!</v>
      </c>
    </row>
    <row r="31" spans="1:25" x14ac:dyDescent="0.25">
      <c r="A31" s="57">
        <v>43766</v>
      </c>
      <c r="B31" s="76">
        <v>546540</v>
      </c>
      <c r="C31" s="58">
        <f t="shared" si="6"/>
        <v>0</v>
      </c>
      <c r="D31" s="58">
        <f>[5]DSR!F38</f>
        <v>0</v>
      </c>
      <c r="E31" s="58">
        <f t="shared" si="0"/>
        <v>419354.83870967739</v>
      </c>
      <c r="F31" s="7">
        <f t="shared" si="7"/>
        <v>0</v>
      </c>
      <c r="G31" s="8" t="str">
        <f t="shared" si="1"/>
        <v>-</v>
      </c>
      <c r="H31" s="58">
        <f>[5]DSR!G38</f>
        <v>0</v>
      </c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15</v>
      </c>
      <c r="Q31" s="62"/>
      <c r="R31" s="63" t="e">
        <f t="shared" si="5"/>
        <v>#DIV/0!</v>
      </c>
      <c r="T31" s="14"/>
    </row>
    <row r="32" spans="1:25" x14ac:dyDescent="0.25">
      <c r="A32" s="57">
        <v>43767</v>
      </c>
      <c r="B32" s="76">
        <v>292340</v>
      </c>
      <c r="C32" s="58">
        <f t="shared" si="6"/>
        <v>0</v>
      </c>
      <c r="D32" s="58">
        <f>[5]DSR!F39</f>
        <v>0</v>
      </c>
      <c r="E32" s="58">
        <f t="shared" si="0"/>
        <v>419354.83870967739</v>
      </c>
      <c r="F32" s="7">
        <f t="shared" si="7"/>
        <v>0</v>
      </c>
      <c r="G32" s="8" t="str">
        <f t="shared" si="1"/>
        <v>-</v>
      </c>
      <c r="H32" s="58">
        <f>[5]DSR!G39</f>
        <v>0</v>
      </c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15</v>
      </c>
      <c r="Q32" s="62"/>
      <c r="R32" s="63" t="e">
        <f t="shared" si="5"/>
        <v>#DIV/0!</v>
      </c>
    </row>
    <row r="33" spans="1:18" x14ac:dyDescent="0.25">
      <c r="A33" s="57">
        <v>43768</v>
      </c>
      <c r="B33" s="76">
        <v>265358</v>
      </c>
      <c r="C33" s="58">
        <f t="shared" si="6"/>
        <v>0</v>
      </c>
      <c r="D33" s="58">
        <f>[5]DSR!F40</f>
        <v>0</v>
      </c>
      <c r="E33" s="58">
        <f t="shared" si="0"/>
        <v>419354.83870967739</v>
      </c>
      <c r="F33" s="7">
        <f t="shared" si="7"/>
        <v>0</v>
      </c>
      <c r="G33" s="8" t="str">
        <f t="shared" si="1"/>
        <v>-</v>
      </c>
      <c r="H33" s="58">
        <f>[5]DSR!G40</f>
        <v>0</v>
      </c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15</v>
      </c>
      <c r="Q33" s="62"/>
      <c r="R33" s="63" t="e">
        <f t="shared" si="5"/>
        <v>#DIV/0!</v>
      </c>
    </row>
    <row r="34" spans="1:18" x14ac:dyDescent="0.25">
      <c r="A34" s="57">
        <v>43769</v>
      </c>
      <c r="B34" s="64">
        <v>90490</v>
      </c>
      <c r="C34" s="58">
        <f t="shared" si="6"/>
        <v>0</v>
      </c>
      <c r="D34" s="58">
        <f>[5]DSR!F41</f>
        <v>0</v>
      </c>
      <c r="E34" s="58">
        <f t="shared" si="0"/>
        <v>419354.83870967739</v>
      </c>
      <c r="F34" s="7">
        <f t="shared" si="7"/>
        <v>0</v>
      </c>
      <c r="G34" s="8" t="str">
        <f t="shared" si="1"/>
        <v>-</v>
      </c>
      <c r="H34" s="58">
        <f>[5]DSR!G41</f>
        <v>0</v>
      </c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-1</v>
      </c>
      <c r="N34" s="58">
        <f t="shared" si="3"/>
        <v>0</v>
      </c>
      <c r="O34" s="9">
        <f t="shared" si="4"/>
        <v>0</v>
      </c>
      <c r="P34" s="9">
        <f t="shared" si="11"/>
        <v>15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10888438</v>
      </c>
      <c r="C35" s="66">
        <f>SUBTOTAL(9,C4:C34)</f>
        <v>8450640</v>
      </c>
      <c r="D35" s="66">
        <f>SUBTOTAL(9,D4:D34)</f>
        <v>8450640</v>
      </c>
      <c r="E35" s="66">
        <f>SUBTOTAL(9,E4:E34)</f>
        <v>12999999.999999994</v>
      </c>
      <c r="F35" s="67"/>
      <c r="G35" s="67">
        <f>IFERROR(AVERAGE(G4:G34),0)</f>
        <v>1.3434350769230767</v>
      </c>
      <c r="H35" s="66">
        <f>SUBTOTAL(9,H4:H34)</f>
        <v>10525</v>
      </c>
      <c r="I35" s="66">
        <f>SUBTOTAL(9,I4:I34)</f>
        <v>4167</v>
      </c>
      <c r="J35" s="66">
        <f>IFERROR((D35/I35),0)</f>
        <v>2027.9913606911448</v>
      </c>
      <c r="K35" s="68">
        <f>IFERROR((H35/I35),0)</f>
        <v>2.5257979361651066</v>
      </c>
      <c r="L35" s="69">
        <f>D35/H35</f>
        <v>802.91116389548688</v>
      </c>
      <c r="M35" s="70">
        <f>D35/B35-1</f>
        <v>-0.22388867898223785</v>
      </c>
      <c r="N35" s="71">
        <f>SUM(N4:N34)</f>
        <v>5469360</v>
      </c>
      <c r="O35" s="72">
        <f>SUM(O4:O34)</f>
        <v>15</v>
      </c>
      <c r="P35" s="73">
        <f>P34</f>
        <v>15</v>
      </c>
      <c r="Q35" s="74">
        <f>SUM(Q4:Q34)</f>
        <v>20098</v>
      </c>
      <c r="R35" s="75">
        <f>I35/Q35*100</f>
        <v>20.733406309085481</v>
      </c>
    </row>
    <row r="36" spans="1:18" x14ac:dyDescent="0.25">
      <c r="D36" s="15">
        <f>D35/P35</f>
        <v>563376</v>
      </c>
    </row>
    <row r="37" spans="1:18" x14ac:dyDescent="0.25">
      <c r="D37" s="77">
        <f>31*D36</f>
        <v>17464656</v>
      </c>
    </row>
    <row r="38" spans="1:18" ht="15.75" thickBot="1" x14ac:dyDescent="0.3">
      <c r="D38" s="17">
        <f>D37/U5*100%</f>
        <v>1.343435076923077</v>
      </c>
    </row>
  </sheetData>
  <protectedRanges>
    <protectedRange sqref="A4:A34" name="Sales Value_1_1"/>
    <protectedRange sqref="B4:B34" name="Sales Value_2_1"/>
  </protectedRanges>
  <mergeCells count="35">
    <mergeCell ref="U16:V16"/>
    <mergeCell ref="U17:V17"/>
    <mergeCell ref="U18:V18"/>
    <mergeCell ref="U10:V10"/>
    <mergeCell ref="U11:V11"/>
    <mergeCell ref="U12:V12"/>
    <mergeCell ref="U13:V13"/>
    <mergeCell ref="U14:V14"/>
    <mergeCell ref="U15:V15"/>
    <mergeCell ref="T2:T3"/>
    <mergeCell ref="U4:V4"/>
    <mergeCell ref="U5:V5"/>
    <mergeCell ref="U6:V6"/>
    <mergeCell ref="U8:V8"/>
    <mergeCell ref="N2:N3"/>
    <mergeCell ref="O2:O3"/>
    <mergeCell ref="P2:P3"/>
    <mergeCell ref="Q2:Q3"/>
    <mergeCell ref="R2:R3"/>
    <mergeCell ref="U20:V20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</mergeCells>
  <conditionalFormatting sqref="M4:N35">
    <cfRule type="cellIs" dxfId="48" priority="5" operator="lessThan">
      <formula>0</formula>
    </cfRule>
  </conditionalFormatting>
  <conditionalFormatting sqref="U12:V12">
    <cfRule type="cellIs" dxfId="47" priority="4" operator="lessThan">
      <formula>0</formula>
    </cfRule>
  </conditionalFormatting>
  <conditionalFormatting sqref="G35">
    <cfRule type="cellIs" dxfId="46" priority="3" operator="lessThan">
      <formula>1</formula>
    </cfRule>
  </conditionalFormatting>
  <conditionalFormatting sqref="U15">
    <cfRule type="cellIs" dxfId="45" priority="2" operator="lessThan">
      <formula>0</formula>
    </cfRule>
  </conditionalFormatting>
  <conditionalFormatting sqref="G4:G34">
    <cfRule type="cellIs" dxfId="44" priority="1" operator="lessThan">
      <formula>1</formula>
    </cfRule>
  </conditionalFormatting>
  <pageMargins left="0" right="0" top="0" bottom="0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6.1406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63</v>
      </c>
      <c r="C2" s="82" t="s">
        <v>1</v>
      </c>
      <c r="D2" s="86" t="s">
        <v>74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43770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43799</v>
      </c>
    </row>
    <row r="4" spans="1:22" ht="16.5" thickBot="1" x14ac:dyDescent="0.3">
      <c r="A4" s="57">
        <v>43770</v>
      </c>
      <c r="B4" s="76">
        <v>186270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30</v>
      </c>
      <c r="V4" s="98"/>
    </row>
    <row r="5" spans="1:22" ht="16.5" thickBot="1" x14ac:dyDescent="0.3">
      <c r="A5" s="57">
        <v>43771</v>
      </c>
      <c r="B5" s="76">
        <v>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0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43772</v>
      </c>
      <c r="B6" s="76">
        <v>702830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43773</v>
      </c>
      <c r="B7" s="76">
        <v>680460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43774</v>
      </c>
      <c r="B8" s="76">
        <v>365950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43775</v>
      </c>
      <c r="B9" s="76">
        <v>304040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43776</v>
      </c>
      <c r="B10" s="76">
        <v>261370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-1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43777</v>
      </c>
      <c r="B11" s="76">
        <v>286920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43778</v>
      </c>
      <c r="B12" s="76">
        <v>373310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43779</v>
      </c>
      <c r="B13" s="76">
        <v>640940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43780</v>
      </c>
      <c r="B14" s="76">
        <v>676390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43781</v>
      </c>
      <c r="B15" s="76">
        <v>227420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43782</v>
      </c>
      <c r="B16" s="76">
        <v>311830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43783</v>
      </c>
      <c r="B17" s="76">
        <v>237410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43784</v>
      </c>
      <c r="B18" s="76">
        <v>305210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43785</v>
      </c>
      <c r="B19" s="76">
        <v>632130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43786</v>
      </c>
      <c r="B20" s="76">
        <v>675770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43787</v>
      </c>
      <c r="B21" s="76">
        <v>768100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43788</v>
      </c>
      <c r="B22" s="76">
        <v>298280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43789</v>
      </c>
      <c r="B23" s="76">
        <v>290330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43790</v>
      </c>
      <c r="B24" s="76">
        <v>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0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43791</v>
      </c>
      <c r="B25" s="76">
        <v>273130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43792</v>
      </c>
      <c r="B26" s="76">
        <v>800040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43793</v>
      </c>
      <c r="B27" s="76">
        <v>851450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43794</v>
      </c>
      <c r="B28" s="76">
        <v>966610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43795</v>
      </c>
      <c r="B29" s="76">
        <v>177290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43796</v>
      </c>
      <c r="B30" s="76">
        <v>246590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43797</v>
      </c>
      <c r="B31" s="76">
        <v>178230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43798</v>
      </c>
      <c r="B32" s="76">
        <v>251480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43799</v>
      </c>
      <c r="B33" s="76">
        <v>309400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/>
      <c r="B34" s="64"/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0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12279180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43" priority="5" operator="lessThan">
      <formula>0</formula>
    </cfRule>
  </conditionalFormatting>
  <conditionalFormatting sqref="U12:V12">
    <cfRule type="cellIs" dxfId="42" priority="4" operator="lessThan">
      <formula>0</formula>
    </cfRule>
  </conditionalFormatting>
  <conditionalFormatting sqref="G35">
    <cfRule type="cellIs" dxfId="41" priority="3" operator="lessThan">
      <formula>1</formula>
    </cfRule>
  </conditionalFormatting>
  <conditionalFormatting sqref="U15">
    <cfRule type="cellIs" dxfId="40" priority="2" operator="lessThan">
      <formula>0</formula>
    </cfRule>
  </conditionalFormatting>
  <conditionalFormatting sqref="G4:G34">
    <cfRule type="cellIs" dxfId="3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5.710937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64</v>
      </c>
      <c r="C2" s="82" t="s">
        <v>1</v>
      </c>
      <c r="D2" s="86" t="s">
        <v>75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43800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43830</v>
      </c>
    </row>
    <row r="4" spans="1:22" ht="16.5" thickBot="1" x14ac:dyDescent="0.3">
      <c r="A4" s="57">
        <v>43800</v>
      </c>
      <c r="B4" s="76">
        <v>598090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31</v>
      </c>
      <c r="V4" s="98"/>
    </row>
    <row r="5" spans="1:22" ht="16.5" thickBot="1" x14ac:dyDescent="0.3">
      <c r="A5" s="57">
        <v>43801</v>
      </c>
      <c r="B5" s="76">
        <v>590640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43802</v>
      </c>
      <c r="B6" s="76">
        <v>284720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43803</v>
      </c>
      <c r="B7" s="76">
        <v>243450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43804</v>
      </c>
      <c r="B8" s="76">
        <v>322700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43805</v>
      </c>
      <c r="B9" s="76">
        <v>328220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43806</v>
      </c>
      <c r="B10" s="76">
        <v>340720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-1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43807</v>
      </c>
      <c r="B11" s="76">
        <v>664670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43808</v>
      </c>
      <c r="B12" s="76">
        <v>690170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43809</v>
      </c>
      <c r="B13" s="76">
        <v>270200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43810</v>
      </c>
      <c r="B14" s="76">
        <v>409240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43811</v>
      </c>
      <c r="B15" s="76">
        <v>384790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43812</v>
      </c>
      <c r="B16" s="76">
        <v>382120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43813</v>
      </c>
      <c r="B17" s="76">
        <v>526340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43814</v>
      </c>
      <c r="B18" s="76">
        <v>745250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43815</v>
      </c>
      <c r="B19" s="76">
        <v>847580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43816</v>
      </c>
      <c r="B20" s="76">
        <v>418740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43817</v>
      </c>
      <c r="B21" s="76">
        <v>451820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43818</v>
      </c>
      <c r="B22" s="76">
        <v>560570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43819</v>
      </c>
      <c r="B23" s="76">
        <v>398480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43820</v>
      </c>
      <c r="B24" s="76">
        <v>421070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43821</v>
      </c>
      <c r="B25" s="76">
        <v>796800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43822</v>
      </c>
      <c r="B26" s="76">
        <v>835180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43823</v>
      </c>
      <c r="B27" s="76">
        <v>473540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43824</v>
      </c>
      <c r="B28" s="76">
        <v>534260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43825</v>
      </c>
      <c r="B29" s="76">
        <v>463900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43826</v>
      </c>
      <c r="B30" s="76">
        <v>388250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43827</v>
      </c>
      <c r="B31" s="76">
        <v>430440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43828</v>
      </c>
      <c r="B32" s="76">
        <v>504230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43829</v>
      </c>
      <c r="B33" s="76">
        <v>507190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>
        <v>43830</v>
      </c>
      <c r="B34" s="64">
        <v>277770</v>
      </c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-1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15091140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38" priority="5" operator="lessThan">
      <formula>0</formula>
    </cfRule>
  </conditionalFormatting>
  <conditionalFormatting sqref="U12:V12">
    <cfRule type="cellIs" dxfId="37" priority="4" operator="lessThan">
      <formula>0</formula>
    </cfRule>
  </conditionalFormatting>
  <conditionalFormatting sqref="G35">
    <cfRule type="cellIs" dxfId="36" priority="3" operator="lessThan">
      <formula>1</formula>
    </cfRule>
  </conditionalFormatting>
  <conditionalFormatting sqref="U15">
    <cfRule type="cellIs" dxfId="35" priority="2" operator="lessThan">
      <formula>0</formula>
    </cfRule>
  </conditionalFormatting>
  <conditionalFormatting sqref="G4:G34">
    <cfRule type="cellIs" dxfId="3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65</v>
      </c>
      <c r="C2" s="82" t="s">
        <v>1</v>
      </c>
      <c r="D2" s="86" t="s">
        <v>76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43831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43861</v>
      </c>
    </row>
    <row r="4" spans="1:22" ht="16.5" thickBot="1" x14ac:dyDescent="0.3">
      <c r="A4" s="57">
        <v>43831</v>
      </c>
      <c r="B4" s="76">
        <v>373680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115">
        <v>31</v>
      </c>
      <c r="V4" s="116"/>
    </row>
    <row r="5" spans="1:22" ht="16.5" thickBot="1" x14ac:dyDescent="0.3">
      <c r="A5" s="57">
        <v>43832</v>
      </c>
      <c r="B5" s="76">
        <v>301670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43833</v>
      </c>
      <c r="B6" s="76">
        <v>303510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43834</v>
      </c>
      <c r="B7" s="76">
        <v>350790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43835</v>
      </c>
      <c r="B8" s="76">
        <v>580900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43836</v>
      </c>
      <c r="B9" s="76">
        <v>440480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43837</v>
      </c>
      <c r="B10" s="76">
        <v>258830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-1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43838</v>
      </c>
      <c r="B11" s="76">
        <v>252280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43839</v>
      </c>
      <c r="B12" s="76">
        <v>227080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43840</v>
      </c>
      <c r="B13" s="76">
        <v>271200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43841</v>
      </c>
      <c r="B14" s="76">
        <v>205130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43842</v>
      </c>
      <c r="B15" s="76">
        <v>372850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43843</v>
      </c>
      <c r="B16" s="76">
        <v>365620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43844</v>
      </c>
      <c r="B17" s="76">
        <v>203660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43845</v>
      </c>
      <c r="B18" s="76">
        <v>200100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43846</v>
      </c>
      <c r="B19" s="76">
        <v>230160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43847</v>
      </c>
      <c r="B20" s="76">
        <v>236930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43848</v>
      </c>
      <c r="B21" s="76">
        <v>324130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43849</v>
      </c>
      <c r="B22" s="76">
        <v>544060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43850</v>
      </c>
      <c r="B23" s="76">
        <v>394010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43851</v>
      </c>
      <c r="B24" s="76">
        <v>152200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43852</v>
      </c>
      <c r="B25" s="76">
        <v>314370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43853</v>
      </c>
      <c r="B26" s="76">
        <v>249660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43854</v>
      </c>
      <c r="B27" s="76">
        <v>391830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43855</v>
      </c>
      <c r="B28" s="76">
        <v>375320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43856</v>
      </c>
      <c r="B29" s="76">
        <v>518790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43857</v>
      </c>
      <c r="B30" s="76">
        <v>565390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43858</v>
      </c>
      <c r="B31" s="76">
        <v>281420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43859</v>
      </c>
      <c r="B32" s="76">
        <v>300200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43860</v>
      </c>
      <c r="B33" s="76">
        <v>205250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>
        <v>43861</v>
      </c>
      <c r="B34" s="64">
        <v>243180</v>
      </c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-1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10034680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33" priority="5" operator="lessThan">
      <formula>0</formula>
    </cfRule>
  </conditionalFormatting>
  <conditionalFormatting sqref="U12:V12">
    <cfRule type="cellIs" dxfId="32" priority="4" operator="lessThan">
      <formula>0</formula>
    </cfRule>
  </conditionalFormatting>
  <conditionalFormatting sqref="G35">
    <cfRule type="cellIs" dxfId="31" priority="3" operator="lessThan">
      <formula>1</formula>
    </cfRule>
  </conditionalFormatting>
  <conditionalFormatting sqref="U15">
    <cfRule type="cellIs" dxfId="30" priority="2" operator="lessThan">
      <formula>0</formula>
    </cfRule>
  </conditionalFormatting>
  <conditionalFormatting sqref="G4:G34">
    <cfRule type="cellIs" dxfId="29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5" sqref="D35"/>
    </sheetView>
  </sheetViews>
  <sheetFormatPr defaultRowHeight="15" x14ac:dyDescent="0.25"/>
  <cols>
    <col min="1" max="1" width="24.8554687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66</v>
      </c>
      <c r="C2" s="82" t="s">
        <v>1</v>
      </c>
      <c r="D2" s="86" t="s">
        <v>77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43862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43890</v>
      </c>
    </row>
    <row r="4" spans="1:22" ht="16.5" thickBot="1" x14ac:dyDescent="0.3">
      <c r="A4" s="57">
        <v>43862</v>
      </c>
      <c r="B4" s="76">
        <v>281690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29</v>
      </c>
      <c r="V4" s="98"/>
    </row>
    <row r="5" spans="1:22" ht="16.5" thickBot="1" x14ac:dyDescent="0.3">
      <c r="A5" s="57">
        <v>43863</v>
      </c>
      <c r="B5" s="76">
        <v>543780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43864</v>
      </c>
      <c r="B6" s="76">
        <v>476400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43865</v>
      </c>
      <c r="B7" s="76">
        <v>313480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43866</v>
      </c>
      <c r="B8" s="76">
        <v>394650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43867</v>
      </c>
      <c r="B9" s="76">
        <v>215420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43868</v>
      </c>
      <c r="B10" s="76">
        <v>243920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-1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43869</v>
      </c>
      <c r="B11" s="76">
        <v>258590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43870</v>
      </c>
      <c r="B12" s="76">
        <v>527600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43871</v>
      </c>
      <c r="B13" s="76">
        <v>364990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43872</v>
      </c>
      <c r="B14" s="76">
        <v>197720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43873</v>
      </c>
      <c r="B15" s="76">
        <v>235300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43874</v>
      </c>
      <c r="B16" s="76">
        <v>218480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43875</v>
      </c>
      <c r="B17" s="76">
        <v>241740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43876</v>
      </c>
      <c r="B18" s="76">
        <v>250810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43877</v>
      </c>
      <c r="B19" s="76">
        <v>378840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12" t="e">
        <f>D37/U5*100%</f>
        <v>#DIV/0!</v>
      </c>
      <c r="V19" s="113"/>
    </row>
    <row r="20" spans="1:25" x14ac:dyDescent="0.25">
      <c r="A20" s="57">
        <v>43878</v>
      </c>
      <c r="B20" s="76">
        <v>388570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43879</v>
      </c>
      <c r="B21" s="76">
        <v>169210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43880</v>
      </c>
      <c r="B22" s="76">
        <v>209680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43881</v>
      </c>
      <c r="B23" s="76">
        <v>175640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43882</v>
      </c>
      <c r="B24" s="76">
        <v>195570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43883</v>
      </c>
      <c r="B25" s="76">
        <v>246380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43884</v>
      </c>
      <c r="B26" s="76">
        <v>361250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43885</v>
      </c>
      <c r="B27" s="76">
        <v>310670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43886</v>
      </c>
      <c r="B28" s="76">
        <v>219170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43887</v>
      </c>
      <c r="B29" s="76">
        <v>191860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43888</v>
      </c>
      <c r="B30" s="76">
        <v>122460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43889</v>
      </c>
      <c r="B31" s="76">
        <v>149580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43890</v>
      </c>
      <c r="B32" s="76"/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0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/>
      <c r="B33" s="76"/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0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/>
      <c r="B34" s="64"/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0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7883450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28" priority="5" operator="lessThan">
      <formula>0</formula>
    </cfRule>
  </conditionalFormatting>
  <conditionalFormatting sqref="U12:V12">
    <cfRule type="cellIs" dxfId="27" priority="4" operator="lessThan">
      <formula>0</formula>
    </cfRule>
  </conditionalFormatting>
  <conditionalFormatting sqref="G35">
    <cfRule type="cellIs" dxfId="26" priority="3" operator="lessThan">
      <formula>1</formula>
    </cfRule>
  </conditionalFormatting>
  <conditionalFormatting sqref="U15">
    <cfRule type="cellIs" dxfId="25" priority="2" operator="lessThan">
      <formula>0</formula>
    </cfRule>
  </conditionalFormatting>
  <conditionalFormatting sqref="G4:G34">
    <cfRule type="cellIs" dxfId="24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D34" sqref="D34"/>
    </sheetView>
  </sheetViews>
  <sheetFormatPr defaultRowHeight="15" x14ac:dyDescent="0.25"/>
  <cols>
    <col min="1" max="1" width="23.5703125" style="1" bestFit="1" customWidth="1"/>
    <col min="2" max="2" width="13.5703125" style="2" bestFit="1" customWidth="1"/>
    <col min="3" max="3" width="13.140625" style="2" customWidth="1"/>
    <col min="4" max="4" width="15.140625" style="2" bestFit="1" customWidth="1"/>
    <col min="5" max="5" width="13.28515625" style="2" customWidth="1"/>
    <col min="6" max="6" width="11.7109375" style="2" hidden="1" customWidth="1"/>
    <col min="7" max="7" width="11.140625" style="2" customWidth="1"/>
    <col min="8" max="8" width="8.7109375" style="2" customWidth="1"/>
    <col min="9" max="9" width="8.42578125" style="2" customWidth="1"/>
    <col min="10" max="10" width="8.28515625" style="2" customWidth="1"/>
    <col min="11" max="11" width="5.85546875" style="2" customWidth="1"/>
    <col min="12" max="12" width="8" style="2" customWidth="1"/>
    <col min="13" max="13" width="7.42578125" style="2" customWidth="1"/>
    <col min="14" max="14" width="0.140625" style="2" hidden="1" customWidth="1"/>
    <col min="15" max="15" width="7.7109375" style="2" hidden="1" customWidth="1"/>
    <col min="16" max="16" width="0.5703125" style="2" hidden="1" customWidth="1"/>
    <col min="17" max="17" width="7.7109375" style="2" customWidth="1"/>
    <col min="18" max="18" width="10.7109375" style="2" customWidth="1"/>
    <col min="19" max="19" width="1" style="2" customWidth="1"/>
    <col min="20" max="20" width="18.42578125" style="2" bestFit="1" customWidth="1"/>
    <col min="21" max="21" width="7.140625" style="2" customWidth="1"/>
    <col min="22" max="22" width="13.7109375" style="2" bestFit="1" customWidth="1"/>
    <col min="23" max="16384" width="9.140625" style="2"/>
  </cols>
  <sheetData>
    <row r="1" spans="1:22" ht="15.75" thickBot="1" x14ac:dyDescent="0.3"/>
    <row r="2" spans="1:22" ht="16.5" thickBot="1" x14ac:dyDescent="0.3">
      <c r="A2" s="84" t="s">
        <v>0</v>
      </c>
      <c r="B2" s="86" t="s">
        <v>67</v>
      </c>
      <c r="C2" s="82" t="s">
        <v>1</v>
      </c>
      <c r="D2" s="86" t="s">
        <v>78</v>
      </c>
      <c r="E2" s="86" t="s">
        <v>2</v>
      </c>
      <c r="F2" s="88" t="s">
        <v>3</v>
      </c>
      <c r="G2" s="82" t="s">
        <v>3</v>
      </c>
      <c r="H2" s="82" t="s">
        <v>4</v>
      </c>
      <c r="I2" s="82" t="s">
        <v>5</v>
      </c>
      <c r="J2" s="82" t="s">
        <v>6</v>
      </c>
      <c r="K2" s="82" t="s">
        <v>7</v>
      </c>
      <c r="L2" s="82" t="s">
        <v>8</v>
      </c>
      <c r="M2" s="92" t="s">
        <v>9</v>
      </c>
      <c r="N2" s="92" t="s">
        <v>9</v>
      </c>
      <c r="O2" s="94" t="s">
        <v>9</v>
      </c>
      <c r="P2" s="94" t="s">
        <v>9</v>
      </c>
      <c r="Q2" s="92" t="s">
        <v>10</v>
      </c>
      <c r="R2" s="96" t="s">
        <v>11</v>
      </c>
      <c r="T2" s="97" t="s">
        <v>12</v>
      </c>
      <c r="U2" s="3" t="s">
        <v>13</v>
      </c>
      <c r="V2" s="4">
        <v>43891</v>
      </c>
    </row>
    <row r="3" spans="1:22" ht="16.5" thickBot="1" x14ac:dyDescent="0.3">
      <c r="A3" s="85"/>
      <c r="B3" s="87"/>
      <c r="C3" s="83"/>
      <c r="D3" s="87"/>
      <c r="E3" s="83"/>
      <c r="F3" s="89"/>
      <c r="G3" s="83"/>
      <c r="H3" s="83"/>
      <c r="I3" s="83"/>
      <c r="J3" s="83"/>
      <c r="K3" s="83"/>
      <c r="L3" s="83"/>
      <c r="M3" s="93"/>
      <c r="N3" s="93"/>
      <c r="O3" s="95"/>
      <c r="P3" s="95"/>
      <c r="Q3" s="93"/>
      <c r="R3" s="95"/>
      <c r="T3" s="97"/>
      <c r="U3" s="5" t="s">
        <v>14</v>
      </c>
      <c r="V3" s="4">
        <v>43921</v>
      </c>
    </row>
    <row r="4" spans="1:22" ht="16.5" thickBot="1" x14ac:dyDescent="0.3">
      <c r="A4" s="57">
        <v>43891</v>
      </c>
      <c r="B4" s="76">
        <v>250690</v>
      </c>
      <c r="C4" s="58">
        <f>D4</f>
        <v>0</v>
      </c>
      <c r="D4" s="58"/>
      <c r="E4" s="58">
        <f t="shared" ref="E4:E34" si="0">$U$6</f>
        <v>0</v>
      </c>
      <c r="F4" s="7" t="e">
        <f>D4/E4</f>
        <v>#DIV/0!</v>
      </c>
      <c r="G4" s="8" t="str">
        <f t="shared" ref="G4:G34" si="1">IF(O4=1,F4,"-")</f>
        <v>-</v>
      </c>
      <c r="H4" s="58"/>
      <c r="I4" s="59"/>
      <c r="J4" s="58">
        <f>IFERROR((D4/I4),0)</f>
        <v>0</v>
      </c>
      <c r="K4" s="60">
        <f>IFERROR((H4/I4),0)</f>
        <v>0</v>
      </c>
      <c r="L4" s="58" t="e">
        <f>D4/H4</f>
        <v>#DIV/0!</v>
      </c>
      <c r="M4" s="61">
        <f t="shared" ref="M4:M34" si="2">IFERROR(((D4-B4)/B4),0)</f>
        <v>-1</v>
      </c>
      <c r="N4" s="58">
        <f t="shared" ref="N4:N34" si="3">B4*O4</f>
        <v>0</v>
      </c>
      <c r="O4" s="9">
        <f t="shared" ref="O4:O34" si="4">IF(D4&gt;0,1,0)</f>
        <v>0</v>
      </c>
      <c r="P4" s="9">
        <f>O4</f>
        <v>0</v>
      </c>
      <c r="Q4" s="62"/>
      <c r="R4" s="63" t="e">
        <f t="shared" ref="R4:R34" si="5">I4/Q4*100</f>
        <v>#DIV/0!</v>
      </c>
      <c r="T4" s="6" t="s">
        <v>15</v>
      </c>
      <c r="U4" s="98">
        <v>31</v>
      </c>
      <c r="V4" s="98"/>
    </row>
    <row r="5" spans="1:22" ht="16.5" thickBot="1" x14ac:dyDescent="0.3">
      <c r="A5" s="57">
        <v>43892</v>
      </c>
      <c r="B5" s="76">
        <v>397460</v>
      </c>
      <c r="C5" s="58">
        <f t="shared" ref="C5:C34" si="6">D5</f>
        <v>0</v>
      </c>
      <c r="D5" s="58"/>
      <c r="E5" s="58">
        <f t="shared" si="0"/>
        <v>0</v>
      </c>
      <c r="F5" s="7" t="e">
        <f t="shared" ref="F5:F34" si="7">D5/E5</f>
        <v>#DIV/0!</v>
      </c>
      <c r="G5" s="8" t="str">
        <f t="shared" si="1"/>
        <v>-</v>
      </c>
      <c r="H5" s="58"/>
      <c r="I5" s="59"/>
      <c r="J5" s="58">
        <f t="shared" ref="J5:J34" si="8">IFERROR((D5/I5),0)</f>
        <v>0</v>
      </c>
      <c r="K5" s="60">
        <f t="shared" ref="K5:K34" si="9">IFERROR((H5/I5),0)</f>
        <v>0</v>
      </c>
      <c r="L5" s="58" t="e">
        <f t="shared" ref="L5:L34" si="10">D5/H5</f>
        <v>#DIV/0!</v>
      </c>
      <c r="M5" s="61">
        <f t="shared" si="2"/>
        <v>-1</v>
      </c>
      <c r="N5" s="58">
        <f t="shared" si="3"/>
        <v>0</v>
      </c>
      <c r="O5" s="9">
        <f t="shared" si="4"/>
        <v>0</v>
      </c>
      <c r="P5" s="9">
        <f t="shared" ref="P5:P34" si="11">P4+O5</f>
        <v>0</v>
      </c>
      <c r="Q5" s="62"/>
      <c r="R5" s="63" t="e">
        <f t="shared" si="5"/>
        <v>#DIV/0!</v>
      </c>
      <c r="T5" s="6" t="s">
        <v>16</v>
      </c>
      <c r="U5" s="114"/>
      <c r="V5" s="114"/>
    </row>
    <row r="6" spans="1:22" ht="16.5" thickBot="1" x14ac:dyDescent="0.3">
      <c r="A6" s="57">
        <v>43893</v>
      </c>
      <c r="B6" s="76">
        <v>477320</v>
      </c>
      <c r="C6" s="58">
        <f t="shared" si="6"/>
        <v>0</v>
      </c>
      <c r="D6" s="58"/>
      <c r="E6" s="58">
        <f t="shared" si="0"/>
        <v>0</v>
      </c>
      <c r="F6" s="7" t="e">
        <f t="shared" si="7"/>
        <v>#DIV/0!</v>
      </c>
      <c r="G6" s="8" t="str">
        <f t="shared" si="1"/>
        <v>-</v>
      </c>
      <c r="H6" s="58"/>
      <c r="I6" s="59"/>
      <c r="J6" s="58">
        <f t="shared" si="8"/>
        <v>0</v>
      </c>
      <c r="K6" s="60">
        <f t="shared" si="9"/>
        <v>0</v>
      </c>
      <c r="L6" s="58" t="e">
        <f t="shared" si="10"/>
        <v>#DIV/0!</v>
      </c>
      <c r="M6" s="61">
        <f t="shared" si="2"/>
        <v>-1</v>
      </c>
      <c r="N6" s="58">
        <f t="shared" si="3"/>
        <v>0</v>
      </c>
      <c r="O6" s="9">
        <f t="shared" si="4"/>
        <v>0</v>
      </c>
      <c r="P6" s="9">
        <f t="shared" si="11"/>
        <v>0</v>
      </c>
      <c r="Q6" s="62"/>
      <c r="R6" s="63" t="e">
        <f t="shared" si="5"/>
        <v>#DIV/0!</v>
      </c>
      <c r="T6" s="6" t="s">
        <v>17</v>
      </c>
      <c r="U6" s="100">
        <f>IFERROR((U5/U4),0)</f>
        <v>0</v>
      </c>
      <c r="V6" s="100"/>
    </row>
    <row r="7" spans="1:22" ht="16.5" thickBot="1" x14ac:dyDescent="0.3">
      <c r="A7" s="57">
        <v>43894</v>
      </c>
      <c r="B7" s="76">
        <v>214700</v>
      </c>
      <c r="C7" s="58">
        <f t="shared" si="6"/>
        <v>0</v>
      </c>
      <c r="D7" s="58"/>
      <c r="E7" s="58">
        <f t="shared" si="0"/>
        <v>0</v>
      </c>
      <c r="F7" s="7" t="e">
        <f t="shared" si="7"/>
        <v>#DIV/0!</v>
      </c>
      <c r="G7" s="8" t="str">
        <f t="shared" si="1"/>
        <v>-</v>
      </c>
      <c r="H7" s="58"/>
      <c r="I7" s="59"/>
      <c r="J7" s="58">
        <f t="shared" si="8"/>
        <v>0</v>
      </c>
      <c r="K7" s="60">
        <f t="shared" si="9"/>
        <v>0</v>
      </c>
      <c r="L7" s="58" t="e">
        <f t="shared" si="10"/>
        <v>#DIV/0!</v>
      </c>
      <c r="M7" s="61">
        <f t="shared" si="2"/>
        <v>-1</v>
      </c>
      <c r="N7" s="58">
        <f t="shared" si="3"/>
        <v>0</v>
      </c>
      <c r="O7" s="9">
        <f t="shared" si="4"/>
        <v>0</v>
      </c>
      <c r="P7" s="9">
        <f t="shared" si="11"/>
        <v>0</v>
      </c>
      <c r="Q7" s="62"/>
      <c r="R7" s="63" t="e">
        <f t="shared" si="5"/>
        <v>#DIV/0!</v>
      </c>
      <c r="T7" s="6" t="s">
        <v>18</v>
      </c>
      <c r="U7" s="10">
        <f>IFERROR((V7/U5),0)</f>
        <v>0</v>
      </c>
      <c r="V7" s="11">
        <f>D35</f>
        <v>0</v>
      </c>
    </row>
    <row r="8" spans="1:22" ht="16.5" thickBot="1" x14ac:dyDescent="0.3">
      <c r="A8" s="57">
        <v>43895</v>
      </c>
      <c r="B8" s="76">
        <v>266800</v>
      </c>
      <c r="C8" s="58">
        <f t="shared" si="6"/>
        <v>0</v>
      </c>
      <c r="D8" s="58"/>
      <c r="E8" s="58">
        <f t="shared" si="0"/>
        <v>0</v>
      </c>
      <c r="F8" s="7" t="e">
        <f t="shared" si="7"/>
        <v>#DIV/0!</v>
      </c>
      <c r="G8" s="8" t="str">
        <f t="shared" si="1"/>
        <v>-</v>
      </c>
      <c r="H8" s="58"/>
      <c r="I8" s="59"/>
      <c r="J8" s="58">
        <f t="shared" si="8"/>
        <v>0</v>
      </c>
      <c r="K8" s="60">
        <f t="shared" si="9"/>
        <v>0</v>
      </c>
      <c r="L8" s="58" t="e">
        <f t="shared" si="10"/>
        <v>#DIV/0!</v>
      </c>
      <c r="M8" s="61">
        <f t="shared" si="2"/>
        <v>-1</v>
      </c>
      <c r="N8" s="58">
        <f t="shared" si="3"/>
        <v>0</v>
      </c>
      <c r="O8" s="9">
        <f t="shared" si="4"/>
        <v>0</v>
      </c>
      <c r="P8" s="9">
        <f t="shared" si="11"/>
        <v>0</v>
      </c>
      <c r="Q8" s="62"/>
      <c r="R8" s="63" t="e">
        <f t="shared" si="5"/>
        <v>#DIV/0!</v>
      </c>
      <c r="T8" s="6" t="s">
        <v>19</v>
      </c>
      <c r="U8" s="101">
        <f>IFERROR((U12*U4),0)</f>
        <v>0</v>
      </c>
      <c r="V8" s="101"/>
    </row>
    <row r="9" spans="1:22" ht="16.5" thickBot="1" x14ac:dyDescent="0.3">
      <c r="A9" s="57">
        <v>43896</v>
      </c>
      <c r="B9" s="76">
        <v>308750</v>
      </c>
      <c r="C9" s="58">
        <f t="shared" si="6"/>
        <v>0</v>
      </c>
      <c r="D9" s="58"/>
      <c r="E9" s="58">
        <f t="shared" si="0"/>
        <v>0</v>
      </c>
      <c r="F9" s="7" t="e">
        <f t="shared" si="7"/>
        <v>#DIV/0!</v>
      </c>
      <c r="G9" s="8" t="str">
        <f t="shared" si="1"/>
        <v>-</v>
      </c>
      <c r="H9" s="58"/>
      <c r="I9" s="59"/>
      <c r="J9" s="58">
        <f t="shared" si="8"/>
        <v>0</v>
      </c>
      <c r="K9" s="60">
        <f t="shared" si="9"/>
        <v>0</v>
      </c>
      <c r="L9" s="58" t="e">
        <f t="shared" si="10"/>
        <v>#DIV/0!</v>
      </c>
      <c r="M9" s="61">
        <f t="shared" si="2"/>
        <v>-1</v>
      </c>
      <c r="N9" s="58">
        <f t="shared" si="3"/>
        <v>0</v>
      </c>
      <c r="O9" s="9">
        <f t="shared" si="4"/>
        <v>0</v>
      </c>
      <c r="P9" s="9">
        <f t="shared" si="11"/>
        <v>0</v>
      </c>
      <c r="Q9" s="62"/>
      <c r="R9" s="63" t="e">
        <f t="shared" si="5"/>
        <v>#DIV/0!</v>
      </c>
      <c r="T9" s="6" t="s">
        <v>20</v>
      </c>
      <c r="U9" s="90">
        <f>H35</f>
        <v>0</v>
      </c>
      <c r="V9" s="91"/>
    </row>
    <row r="10" spans="1:22" ht="16.5" thickBot="1" x14ac:dyDescent="0.3">
      <c r="A10" s="57">
        <v>43897</v>
      </c>
      <c r="B10" s="76">
        <v>339030</v>
      </c>
      <c r="C10" s="58">
        <f t="shared" si="6"/>
        <v>0</v>
      </c>
      <c r="D10" s="58"/>
      <c r="E10" s="58">
        <f t="shared" si="0"/>
        <v>0</v>
      </c>
      <c r="F10" s="7" t="e">
        <f>D10/E10</f>
        <v>#DIV/0!</v>
      </c>
      <c r="G10" s="8" t="str">
        <f t="shared" si="1"/>
        <v>-</v>
      </c>
      <c r="H10" s="58"/>
      <c r="I10" s="59"/>
      <c r="J10" s="58">
        <f>IFERROR((D10/I10),0)</f>
        <v>0</v>
      </c>
      <c r="K10" s="60">
        <f t="shared" si="9"/>
        <v>0</v>
      </c>
      <c r="L10" s="58" t="e">
        <f>D10/H10</f>
        <v>#DIV/0!</v>
      </c>
      <c r="M10" s="61">
        <f>IFERROR(((D10-B10)/B10),0)</f>
        <v>-1</v>
      </c>
      <c r="N10" s="58">
        <f t="shared" si="3"/>
        <v>0</v>
      </c>
      <c r="O10" s="9">
        <f>IF(D10&gt;0,1,0)</f>
        <v>0</v>
      </c>
      <c r="P10" s="9">
        <f t="shared" si="11"/>
        <v>0</v>
      </c>
      <c r="Q10" s="62"/>
      <c r="R10" s="63" t="e">
        <f t="shared" si="5"/>
        <v>#DIV/0!</v>
      </c>
      <c r="T10" s="6" t="s">
        <v>21</v>
      </c>
      <c r="U10" s="100">
        <f>IFERROR((U9/P35),0)</f>
        <v>0</v>
      </c>
      <c r="V10" s="100"/>
    </row>
    <row r="11" spans="1:22" ht="16.5" thickBot="1" x14ac:dyDescent="0.3">
      <c r="A11" s="57">
        <v>43898</v>
      </c>
      <c r="B11" s="76">
        <v>444870</v>
      </c>
      <c r="C11" s="58">
        <f t="shared" si="6"/>
        <v>0</v>
      </c>
      <c r="D11" s="58"/>
      <c r="E11" s="58">
        <f t="shared" si="0"/>
        <v>0</v>
      </c>
      <c r="F11" s="7" t="e">
        <f t="shared" si="7"/>
        <v>#DIV/0!</v>
      </c>
      <c r="G11" s="8" t="str">
        <f t="shared" si="1"/>
        <v>-</v>
      </c>
      <c r="H11" s="58"/>
      <c r="I11" s="59"/>
      <c r="J11" s="58">
        <f t="shared" si="8"/>
        <v>0</v>
      </c>
      <c r="K11" s="60">
        <f t="shared" si="9"/>
        <v>0</v>
      </c>
      <c r="L11" s="58" t="e">
        <f t="shared" si="10"/>
        <v>#DIV/0!</v>
      </c>
      <c r="M11" s="61">
        <f t="shared" si="2"/>
        <v>-1</v>
      </c>
      <c r="N11" s="58">
        <f t="shared" si="3"/>
        <v>0</v>
      </c>
      <c r="O11" s="9">
        <f t="shared" si="4"/>
        <v>0</v>
      </c>
      <c r="P11" s="9">
        <f t="shared" si="11"/>
        <v>0</v>
      </c>
      <c r="Q11" s="62"/>
      <c r="R11" s="63" t="e">
        <f t="shared" si="5"/>
        <v>#DIV/0!</v>
      </c>
      <c r="T11" s="6" t="s">
        <v>22</v>
      </c>
      <c r="U11" s="100">
        <f>D35</f>
        <v>0</v>
      </c>
      <c r="V11" s="100"/>
    </row>
    <row r="12" spans="1:22" ht="16.5" thickBot="1" x14ac:dyDescent="0.3">
      <c r="A12" s="57">
        <v>43899</v>
      </c>
      <c r="B12" s="76">
        <v>700380</v>
      </c>
      <c r="C12" s="58">
        <f t="shared" si="6"/>
        <v>0</v>
      </c>
      <c r="D12" s="58"/>
      <c r="E12" s="58">
        <f t="shared" si="0"/>
        <v>0</v>
      </c>
      <c r="F12" s="7" t="e">
        <f t="shared" si="7"/>
        <v>#DIV/0!</v>
      </c>
      <c r="G12" s="8" t="str">
        <f t="shared" si="1"/>
        <v>-</v>
      </c>
      <c r="H12" s="58"/>
      <c r="I12" s="59"/>
      <c r="J12" s="58">
        <f t="shared" si="8"/>
        <v>0</v>
      </c>
      <c r="K12" s="60">
        <f t="shared" si="9"/>
        <v>0</v>
      </c>
      <c r="L12" s="58" t="e">
        <f t="shared" si="10"/>
        <v>#DIV/0!</v>
      </c>
      <c r="M12" s="61">
        <f t="shared" si="2"/>
        <v>-1</v>
      </c>
      <c r="N12" s="58">
        <f t="shared" si="3"/>
        <v>0</v>
      </c>
      <c r="O12" s="9">
        <f t="shared" si="4"/>
        <v>0</v>
      </c>
      <c r="P12" s="9">
        <f t="shared" si="11"/>
        <v>0</v>
      </c>
      <c r="Q12" s="62"/>
      <c r="R12" s="63" t="e">
        <f t="shared" si="5"/>
        <v>#DIV/0!</v>
      </c>
      <c r="T12" s="6" t="s">
        <v>23</v>
      </c>
      <c r="U12" s="90">
        <f>IFERROR((D35/P35),0)</f>
        <v>0</v>
      </c>
      <c r="V12" s="91"/>
    </row>
    <row r="13" spans="1:22" ht="16.5" thickBot="1" x14ac:dyDescent="0.3">
      <c r="A13" s="57">
        <v>43900</v>
      </c>
      <c r="B13" s="76">
        <v>689000</v>
      </c>
      <c r="C13" s="58">
        <f t="shared" si="6"/>
        <v>0</v>
      </c>
      <c r="D13" s="58"/>
      <c r="E13" s="58">
        <f t="shared" si="0"/>
        <v>0</v>
      </c>
      <c r="F13" s="7" t="e">
        <f t="shared" si="7"/>
        <v>#DIV/0!</v>
      </c>
      <c r="G13" s="8" t="str">
        <f t="shared" si="1"/>
        <v>-</v>
      </c>
      <c r="H13" s="58"/>
      <c r="I13" s="59"/>
      <c r="J13" s="58">
        <f t="shared" si="8"/>
        <v>0</v>
      </c>
      <c r="K13" s="60">
        <f t="shared" si="9"/>
        <v>0</v>
      </c>
      <c r="L13" s="58" t="e">
        <f t="shared" si="10"/>
        <v>#DIV/0!</v>
      </c>
      <c r="M13" s="61">
        <f t="shared" si="2"/>
        <v>-1</v>
      </c>
      <c r="N13" s="58">
        <f t="shared" si="3"/>
        <v>0</v>
      </c>
      <c r="O13" s="9">
        <f t="shared" si="4"/>
        <v>0</v>
      </c>
      <c r="P13" s="9">
        <f t="shared" si="11"/>
        <v>0</v>
      </c>
      <c r="Q13" s="62"/>
      <c r="R13" s="63" t="e">
        <f t="shared" si="5"/>
        <v>#DIV/0!</v>
      </c>
      <c r="T13" s="6" t="s">
        <v>24</v>
      </c>
      <c r="U13" s="100">
        <f>U5-D35</f>
        <v>0</v>
      </c>
      <c r="V13" s="100"/>
    </row>
    <row r="14" spans="1:22" ht="16.5" thickBot="1" x14ac:dyDescent="0.3">
      <c r="A14" s="57">
        <v>43901</v>
      </c>
      <c r="B14" s="76">
        <v>264650</v>
      </c>
      <c r="C14" s="58">
        <f t="shared" si="6"/>
        <v>0</v>
      </c>
      <c r="D14" s="58"/>
      <c r="E14" s="58">
        <f t="shared" si="0"/>
        <v>0</v>
      </c>
      <c r="F14" s="7" t="e">
        <f t="shared" si="7"/>
        <v>#DIV/0!</v>
      </c>
      <c r="G14" s="8" t="str">
        <f t="shared" si="1"/>
        <v>-</v>
      </c>
      <c r="H14" s="58"/>
      <c r="I14" s="59"/>
      <c r="J14" s="58">
        <f t="shared" si="8"/>
        <v>0</v>
      </c>
      <c r="K14" s="60">
        <f t="shared" si="9"/>
        <v>0</v>
      </c>
      <c r="L14" s="58" t="e">
        <f t="shared" si="10"/>
        <v>#DIV/0!</v>
      </c>
      <c r="M14" s="61">
        <f t="shared" si="2"/>
        <v>-1</v>
      </c>
      <c r="N14" s="58">
        <f t="shared" si="3"/>
        <v>0</v>
      </c>
      <c r="O14" s="9">
        <f t="shared" si="4"/>
        <v>0</v>
      </c>
      <c r="P14" s="9">
        <f t="shared" si="11"/>
        <v>0</v>
      </c>
      <c r="Q14" s="62"/>
      <c r="R14" s="63" t="e">
        <f t="shared" si="5"/>
        <v>#DIV/0!</v>
      </c>
      <c r="T14" s="6" t="s">
        <v>25</v>
      </c>
      <c r="U14" s="100">
        <f>IFERROR((U5-D35)/(U4-P35),0)</f>
        <v>0</v>
      </c>
      <c r="V14" s="100"/>
    </row>
    <row r="15" spans="1:22" ht="16.5" thickBot="1" x14ac:dyDescent="0.3">
      <c r="A15" s="57">
        <v>43902</v>
      </c>
      <c r="B15" s="76">
        <v>272290</v>
      </c>
      <c r="C15" s="58">
        <f t="shared" si="6"/>
        <v>0</v>
      </c>
      <c r="D15" s="58"/>
      <c r="E15" s="58">
        <f t="shared" si="0"/>
        <v>0</v>
      </c>
      <c r="F15" s="7" t="e">
        <f t="shared" si="7"/>
        <v>#DIV/0!</v>
      </c>
      <c r="G15" s="8" t="str">
        <f t="shared" si="1"/>
        <v>-</v>
      </c>
      <c r="H15" s="58"/>
      <c r="I15" s="59"/>
      <c r="J15" s="58">
        <f t="shared" si="8"/>
        <v>0</v>
      </c>
      <c r="K15" s="60">
        <f t="shared" si="9"/>
        <v>0</v>
      </c>
      <c r="L15" s="58" t="e">
        <f t="shared" si="10"/>
        <v>#DIV/0!</v>
      </c>
      <c r="M15" s="61">
        <f t="shared" si="2"/>
        <v>-1</v>
      </c>
      <c r="N15" s="58">
        <f t="shared" si="3"/>
        <v>0</v>
      </c>
      <c r="O15" s="9">
        <f t="shared" si="4"/>
        <v>0</v>
      </c>
      <c r="P15" s="9">
        <f t="shared" si="11"/>
        <v>0</v>
      </c>
      <c r="Q15" s="62"/>
      <c r="R15" s="63" t="e">
        <f t="shared" si="5"/>
        <v>#DIV/0!</v>
      </c>
      <c r="T15" s="12" t="s">
        <v>6</v>
      </c>
      <c r="U15" s="100">
        <f>IFERROR((D35/I35),0)</f>
        <v>0</v>
      </c>
      <c r="V15" s="100"/>
    </row>
    <row r="16" spans="1:22" ht="16.5" thickBot="1" x14ac:dyDescent="0.3">
      <c r="A16" s="57">
        <v>43903</v>
      </c>
      <c r="B16" s="76">
        <v>271780</v>
      </c>
      <c r="C16" s="58">
        <f t="shared" si="6"/>
        <v>0</v>
      </c>
      <c r="D16" s="58"/>
      <c r="E16" s="58">
        <f t="shared" si="0"/>
        <v>0</v>
      </c>
      <c r="F16" s="7" t="e">
        <f t="shared" si="7"/>
        <v>#DIV/0!</v>
      </c>
      <c r="G16" s="8" t="str">
        <f t="shared" si="1"/>
        <v>-</v>
      </c>
      <c r="H16" s="58"/>
      <c r="I16" s="59"/>
      <c r="J16" s="58">
        <f t="shared" si="8"/>
        <v>0</v>
      </c>
      <c r="K16" s="60">
        <f t="shared" si="9"/>
        <v>0</v>
      </c>
      <c r="L16" s="58" t="e">
        <f t="shared" si="10"/>
        <v>#DIV/0!</v>
      </c>
      <c r="M16" s="61">
        <f t="shared" si="2"/>
        <v>-1</v>
      </c>
      <c r="N16" s="58">
        <f t="shared" si="3"/>
        <v>0</v>
      </c>
      <c r="O16" s="9">
        <f t="shared" si="4"/>
        <v>0</v>
      </c>
      <c r="P16" s="9">
        <f t="shared" si="11"/>
        <v>0</v>
      </c>
      <c r="Q16" s="62"/>
      <c r="R16" s="63" t="e">
        <f t="shared" si="5"/>
        <v>#DIV/0!</v>
      </c>
      <c r="T16" s="12" t="s">
        <v>7</v>
      </c>
      <c r="U16" s="104">
        <f>IFERROR((H35/I35),0)</f>
        <v>0</v>
      </c>
      <c r="V16" s="104"/>
    </row>
    <row r="17" spans="1:25" ht="16.5" thickBot="1" x14ac:dyDescent="0.3">
      <c r="A17" s="57">
        <v>43904</v>
      </c>
      <c r="B17" s="76">
        <v>251670</v>
      </c>
      <c r="C17" s="58">
        <f t="shared" si="6"/>
        <v>0</v>
      </c>
      <c r="D17" s="58"/>
      <c r="E17" s="58">
        <f t="shared" si="0"/>
        <v>0</v>
      </c>
      <c r="F17" s="7" t="e">
        <f t="shared" si="7"/>
        <v>#DIV/0!</v>
      </c>
      <c r="G17" s="8" t="str">
        <f t="shared" si="1"/>
        <v>-</v>
      </c>
      <c r="H17" s="58"/>
      <c r="I17" s="59"/>
      <c r="J17" s="58">
        <f t="shared" si="8"/>
        <v>0</v>
      </c>
      <c r="K17" s="60">
        <f t="shared" si="9"/>
        <v>0</v>
      </c>
      <c r="L17" s="58" t="e">
        <f t="shared" si="10"/>
        <v>#DIV/0!</v>
      </c>
      <c r="M17" s="61">
        <f t="shared" si="2"/>
        <v>-1</v>
      </c>
      <c r="N17" s="58">
        <f t="shared" si="3"/>
        <v>0</v>
      </c>
      <c r="O17" s="9">
        <f t="shared" si="4"/>
        <v>0</v>
      </c>
      <c r="P17" s="9">
        <f t="shared" si="11"/>
        <v>0</v>
      </c>
      <c r="Q17" s="62"/>
      <c r="R17" s="63" t="e">
        <f t="shared" si="5"/>
        <v>#DIV/0!</v>
      </c>
      <c r="T17" s="12" t="s">
        <v>26</v>
      </c>
      <c r="U17" s="105" t="e">
        <f>U5/L35</f>
        <v>#DIV/0!</v>
      </c>
      <c r="V17" s="105"/>
    </row>
    <row r="18" spans="1:25" ht="16.5" thickBot="1" x14ac:dyDescent="0.3">
      <c r="A18" s="57">
        <v>43905</v>
      </c>
      <c r="B18" s="76">
        <v>335670</v>
      </c>
      <c r="C18" s="58">
        <f t="shared" si="6"/>
        <v>0</v>
      </c>
      <c r="D18" s="58"/>
      <c r="E18" s="58">
        <f t="shared" si="0"/>
        <v>0</v>
      </c>
      <c r="F18" s="7" t="e">
        <f t="shared" si="7"/>
        <v>#DIV/0!</v>
      </c>
      <c r="G18" s="8" t="str">
        <f t="shared" si="1"/>
        <v>-</v>
      </c>
      <c r="H18" s="58"/>
      <c r="I18" s="59"/>
      <c r="J18" s="58">
        <f t="shared" si="8"/>
        <v>0</v>
      </c>
      <c r="K18" s="60">
        <f t="shared" si="9"/>
        <v>0</v>
      </c>
      <c r="L18" s="58" t="e">
        <f t="shared" si="10"/>
        <v>#DIV/0!</v>
      </c>
      <c r="M18" s="61">
        <f t="shared" si="2"/>
        <v>-1</v>
      </c>
      <c r="N18" s="58">
        <f t="shared" si="3"/>
        <v>0</v>
      </c>
      <c r="O18" s="9">
        <f t="shared" si="4"/>
        <v>0</v>
      </c>
      <c r="P18" s="9">
        <f t="shared" si="11"/>
        <v>0</v>
      </c>
      <c r="Q18" s="62"/>
      <c r="R18" s="63" t="e">
        <f t="shared" si="5"/>
        <v>#DIV/0!</v>
      </c>
      <c r="T18" s="13" t="s">
        <v>27</v>
      </c>
      <c r="U18" s="106" t="e">
        <f>U17-H35</f>
        <v>#DIV/0!</v>
      </c>
      <c r="V18" s="107"/>
    </row>
    <row r="19" spans="1:25" ht="16.5" thickBot="1" x14ac:dyDescent="0.3">
      <c r="A19" s="57">
        <v>43906</v>
      </c>
      <c r="B19" s="76">
        <v>758630</v>
      </c>
      <c r="C19" s="58">
        <f t="shared" si="6"/>
        <v>0</v>
      </c>
      <c r="D19" s="58"/>
      <c r="E19" s="58">
        <f t="shared" si="0"/>
        <v>0</v>
      </c>
      <c r="F19" s="7" t="e">
        <f t="shared" si="7"/>
        <v>#DIV/0!</v>
      </c>
      <c r="G19" s="8" t="str">
        <f t="shared" si="1"/>
        <v>-</v>
      </c>
      <c r="H19" s="58"/>
      <c r="I19" s="59"/>
      <c r="J19" s="58">
        <f t="shared" si="8"/>
        <v>0</v>
      </c>
      <c r="K19" s="60">
        <f t="shared" si="9"/>
        <v>0</v>
      </c>
      <c r="L19" s="58" t="e">
        <f t="shared" si="10"/>
        <v>#DIV/0!</v>
      </c>
      <c r="M19" s="61">
        <f t="shared" si="2"/>
        <v>-1</v>
      </c>
      <c r="N19" s="58">
        <f t="shared" si="3"/>
        <v>0</v>
      </c>
      <c r="O19" s="9">
        <f t="shared" si="4"/>
        <v>0</v>
      </c>
      <c r="P19" s="9">
        <f t="shared" si="11"/>
        <v>0</v>
      </c>
      <c r="Q19" s="62"/>
      <c r="R19" s="63" t="e">
        <f t="shared" si="5"/>
        <v>#DIV/0!</v>
      </c>
      <c r="T19" s="12" t="s">
        <v>57</v>
      </c>
      <c r="U19" s="102" t="e">
        <f>D37/U5*100%</f>
        <v>#DIV/0!</v>
      </c>
      <c r="V19" s="103"/>
    </row>
    <row r="20" spans="1:25" x14ac:dyDescent="0.25">
      <c r="A20" s="57">
        <v>43907</v>
      </c>
      <c r="B20" s="76">
        <v>544120</v>
      </c>
      <c r="C20" s="58">
        <f t="shared" si="6"/>
        <v>0</v>
      </c>
      <c r="D20" s="58"/>
      <c r="E20" s="58">
        <f t="shared" si="0"/>
        <v>0</v>
      </c>
      <c r="F20" s="7" t="e">
        <f t="shared" si="7"/>
        <v>#DIV/0!</v>
      </c>
      <c r="G20" s="8" t="str">
        <f t="shared" si="1"/>
        <v>-</v>
      </c>
      <c r="H20" s="58"/>
      <c r="I20" s="59"/>
      <c r="J20" s="58">
        <f t="shared" si="8"/>
        <v>0</v>
      </c>
      <c r="K20" s="60">
        <f t="shared" si="9"/>
        <v>0</v>
      </c>
      <c r="L20" s="58" t="e">
        <f t="shared" si="10"/>
        <v>#DIV/0!</v>
      </c>
      <c r="M20" s="61">
        <f t="shared" si="2"/>
        <v>-1</v>
      </c>
      <c r="N20" s="58">
        <f t="shared" si="3"/>
        <v>0</v>
      </c>
      <c r="O20" s="9">
        <f t="shared" si="4"/>
        <v>0</v>
      </c>
      <c r="P20" s="9">
        <f t="shared" si="11"/>
        <v>0</v>
      </c>
      <c r="Q20" s="62"/>
      <c r="R20" s="63" t="e">
        <f t="shared" si="5"/>
        <v>#DIV/0!</v>
      </c>
      <c r="Y20" s="14"/>
    </row>
    <row r="21" spans="1:25" x14ac:dyDescent="0.25">
      <c r="A21" s="57">
        <v>43908</v>
      </c>
      <c r="B21" s="76">
        <v>236770</v>
      </c>
      <c r="C21" s="58">
        <f t="shared" si="6"/>
        <v>0</v>
      </c>
      <c r="D21" s="58"/>
      <c r="E21" s="58">
        <f t="shared" si="0"/>
        <v>0</v>
      </c>
      <c r="F21" s="7" t="e">
        <f t="shared" si="7"/>
        <v>#DIV/0!</v>
      </c>
      <c r="G21" s="8" t="str">
        <f t="shared" si="1"/>
        <v>-</v>
      </c>
      <c r="H21" s="58"/>
      <c r="I21" s="59"/>
      <c r="J21" s="58">
        <f t="shared" si="8"/>
        <v>0</v>
      </c>
      <c r="K21" s="60">
        <f t="shared" si="9"/>
        <v>0</v>
      </c>
      <c r="L21" s="58" t="e">
        <f t="shared" si="10"/>
        <v>#DIV/0!</v>
      </c>
      <c r="M21" s="61">
        <f t="shared" si="2"/>
        <v>-1</v>
      </c>
      <c r="N21" s="58">
        <f t="shared" si="3"/>
        <v>0</v>
      </c>
      <c r="O21" s="9">
        <f t="shared" si="4"/>
        <v>0</v>
      </c>
      <c r="P21" s="9">
        <f t="shared" si="11"/>
        <v>0</v>
      </c>
      <c r="Q21" s="62"/>
      <c r="R21" s="63" t="e">
        <f t="shared" si="5"/>
        <v>#DIV/0!</v>
      </c>
    </row>
    <row r="22" spans="1:25" x14ac:dyDescent="0.25">
      <c r="A22" s="57">
        <v>43909</v>
      </c>
      <c r="B22" s="76">
        <v>294710</v>
      </c>
      <c r="C22" s="58">
        <f t="shared" si="6"/>
        <v>0</v>
      </c>
      <c r="D22" s="58"/>
      <c r="E22" s="58">
        <f t="shared" si="0"/>
        <v>0</v>
      </c>
      <c r="F22" s="7" t="e">
        <f t="shared" si="7"/>
        <v>#DIV/0!</v>
      </c>
      <c r="G22" s="8" t="str">
        <f t="shared" si="1"/>
        <v>-</v>
      </c>
      <c r="H22" s="58"/>
      <c r="I22" s="59"/>
      <c r="J22" s="58">
        <f t="shared" si="8"/>
        <v>0</v>
      </c>
      <c r="K22" s="60">
        <f t="shared" si="9"/>
        <v>0</v>
      </c>
      <c r="L22" s="58" t="e">
        <f t="shared" si="10"/>
        <v>#DIV/0!</v>
      </c>
      <c r="M22" s="61">
        <f t="shared" si="2"/>
        <v>-1</v>
      </c>
      <c r="N22" s="58">
        <f t="shared" si="3"/>
        <v>0</v>
      </c>
      <c r="O22" s="9">
        <f t="shared" si="4"/>
        <v>0</v>
      </c>
      <c r="P22" s="9">
        <f t="shared" si="11"/>
        <v>0</v>
      </c>
      <c r="Q22" s="62"/>
      <c r="R22" s="63" t="e">
        <f t="shared" si="5"/>
        <v>#DIV/0!</v>
      </c>
    </row>
    <row r="23" spans="1:25" x14ac:dyDescent="0.25">
      <c r="A23" s="57">
        <v>43910</v>
      </c>
      <c r="B23" s="76">
        <v>245950</v>
      </c>
      <c r="C23" s="58">
        <f t="shared" si="6"/>
        <v>0</v>
      </c>
      <c r="D23" s="58"/>
      <c r="E23" s="58">
        <f t="shared" si="0"/>
        <v>0</v>
      </c>
      <c r="F23" s="7" t="e">
        <f t="shared" si="7"/>
        <v>#DIV/0!</v>
      </c>
      <c r="G23" s="8" t="str">
        <f t="shared" si="1"/>
        <v>-</v>
      </c>
      <c r="H23" s="58"/>
      <c r="I23" s="59"/>
      <c r="J23" s="58">
        <f t="shared" si="8"/>
        <v>0</v>
      </c>
      <c r="K23" s="60">
        <f t="shared" si="9"/>
        <v>0</v>
      </c>
      <c r="L23" s="58" t="e">
        <f t="shared" si="10"/>
        <v>#DIV/0!</v>
      </c>
      <c r="M23" s="61">
        <f t="shared" si="2"/>
        <v>-1</v>
      </c>
      <c r="N23" s="58">
        <f t="shared" si="3"/>
        <v>0</v>
      </c>
      <c r="O23" s="9">
        <f t="shared" si="4"/>
        <v>0</v>
      </c>
      <c r="P23" s="9">
        <f t="shared" si="11"/>
        <v>0</v>
      </c>
      <c r="Q23" s="62"/>
      <c r="R23" s="63" t="e">
        <f t="shared" si="5"/>
        <v>#DIV/0!</v>
      </c>
    </row>
    <row r="24" spans="1:25" x14ac:dyDescent="0.25">
      <c r="A24" s="57">
        <v>43911</v>
      </c>
      <c r="B24" s="76">
        <v>302500</v>
      </c>
      <c r="C24" s="58">
        <f t="shared" si="6"/>
        <v>0</v>
      </c>
      <c r="D24" s="58"/>
      <c r="E24" s="58">
        <f t="shared" si="0"/>
        <v>0</v>
      </c>
      <c r="F24" s="7" t="e">
        <f t="shared" si="7"/>
        <v>#DIV/0!</v>
      </c>
      <c r="G24" s="8" t="str">
        <f t="shared" si="1"/>
        <v>-</v>
      </c>
      <c r="H24" s="58"/>
      <c r="I24" s="59"/>
      <c r="J24" s="58">
        <f t="shared" si="8"/>
        <v>0</v>
      </c>
      <c r="K24" s="60">
        <f t="shared" si="9"/>
        <v>0</v>
      </c>
      <c r="L24" s="58" t="e">
        <f t="shared" si="10"/>
        <v>#DIV/0!</v>
      </c>
      <c r="M24" s="61">
        <f t="shared" si="2"/>
        <v>-1</v>
      </c>
      <c r="N24" s="58">
        <f t="shared" si="3"/>
        <v>0</v>
      </c>
      <c r="O24" s="9">
        <f t="shared" si="4"/>
        <v>0</v>
      </c>
      <c r="P24" s="9">
        <f t="shared" si="11"/>
        <v>0</v>
      </c>
      <c r="Q24" s="62"/>
      <c r="R24" s="63" t="e">
        <f t="shared" si="5"/>
        <v>#DIV/0!</v>
      </c>
    </row>
    <row r="25" spans="1:25" x14ac:dyDescent="0.25">
      <c r="A25" s="57">
        <v>43912</v>
      </c>
      <c r="B25" s="76">
        <v>540440</v>
      </c>
      <c r="C25" s="58">
        <f t="shared" si="6"/>
        <v>0</v>
      </c>
      <c r="D25" s="58"/>
      <c r="E25" s="58">
        <f t="shared" si="0"/>
        <v>0</v>
      </c>
      <c r="F25" s="7" t="e">
        <f t="shared" si="7"/>
        <v>#DIV/0!</v>
      </c>
      <c r="G25" s="8" t="str">
        <f t="shared" si="1"/>
        <v>-</v>
      </c>
      <c r="H25" s="58"/>
      <c r="I25" s="59"/>
      <c r="J25" s="58">
        <f t="shared" si="8"/>
        <v>0</v>
      </c>
      <c r="K25" s="60">
        <f t="shared" si="9"/>
        <v>0</v>
      </c>
      <c r="L25" s="58" t="e">
        <f t="shared" si="10"/>
        <v>#DIV/0!</v>
      </c>
      <c r="M25" s="61">
        <f t="shared" si="2"/>
        <v>-1</v>
      </c>
      <c r="N25" s="58">
        <f t="shared" si="3"/>
        <v>0</v>
      </c>
      <c r="O25" s="9">
        <f t="shared" si="4"/>
        <v>0</v>
      </c>
      <c r="P25" s="9">
        <f t="shared" si="11"/>
        <v>0</v>
      </c>
      <c r="Q25" s="62"/>
      <c r="R25" s="63" t="e">
        <f t="shared" si="5"/>
        <v>#DIV/0!</v>
      </c>
    </row>
    <row r="26" spans="1:25" x14ac:dyDescent="0.25">
      <c r="A26" s="57">
        <v>43913</v>
      </c>
      <c r="B26" s="76">
        <v>1260115</v>
      </c>
      <c r="C26" s="58">
        <f t="shared" si="6"/>
        <v>0</v>
      </c>
      <c r="D26" s="58"/>
      <c r="E26" s="58">
        <f t="shared" si="0"/>
        <v>0</v>
      </c>
      <c r="F26" s="7" t="e">
        <f t="shared" si="7"/>
        <v>#DIV/0!</v>
      </c>
      <c r="G26" s="8" t="str">
        <f t="shared" si="1"/>
        <v>-</v>
      </c>
      <c r="H26" s="58"/>
      <c r="I26" s="59"/>
      <c r="J26" s="58">
        <f t="shared" si="8"/>
        <v>0</v>
      </c>
      <c r="K26" s="60">
        <f t="shared" si="9"/>
        <v>0</v>
      </c>
      <c r="L26" s="58" t="e">
        <f t="shared" si="10"/>
        <v>#DIV/0!</v>
      </c>
      <c r="M26" s="61">
        <f t="shared" si="2"/>
        <v>-1</v>
      </c>
      <c r="N26" s="58">
        <f t="shared" si="3"/>
        <v>0</v>
      </c>
      <c r="O26" s="9">
        <f t="shared" si="4"/>
        <v>0</v>
      </c>
      <c r="P26" s="9">
        <f t="shared" si="11"/>
        <v>0</v>
      </c>
      <c r="Q26" s="62"/>
      <c r="R26" s="63" t="e">
        <f t="shared" si="5"/>
        <v>#DIV/0!</v>
      </c>
    </row>
    <row r="27" spans="1:25" x14ac:dyDescent="0.25">
      <c r="A27" s="57">
        <v>43914</v>
      </c>
      <c r="B27" s="76">
        <v>1054415</v>
      </c>
      <c r="C27" s="58">
        <f t="shared" si="6"/>
        <v>0</v>
      </c>
      <c r="D27" s="58"/>
      <c r="E27" s="58">
        <f t="shared" si="0"/>
        <v>0</v>
      </c>
      <c r="F27" s="7" t="e">
        <f t="shared" si="7"/>
        <v>#DIV/0!</v>
      </c>
      <c r="G27" s="8" t="str">
        <f t="shared" si="1"/>
        <v>-</v>
      </c>
      <c r="H27" s="58"/>
      <c r="I27" s="59"/>
      <c r="J27" s="58">
        <f t="shared" si="8"/>
        <v>0</v>
      </c>
      <c r="K27" s="60">
        <f t="shared" si="9"/>
        <v>0</v>
      </c>
      <c r="L27" s="58" t="e">
        <f t="shared" si="10"/>
        <v>#DIV/0!</v>
      </c>
      <c r="M27" s="61">
        <f t="shared" si="2"/>
        <v>-1</v>
      </c>
      <c r="N27" s="58">
        <f t="shared" si="3"/>
        <v>0</v>
      </c>
      <c r="O27" s="9">
        <f t="shared" si="4"/>
        <v>0</v>
      </c>
      <c r="P27" s="9">
        <f t="shared" si="11"/>
        <v>0</v>
      </c>
      <c r="Q27" s="62"/>
      <c r="R27" s="63" t="e">
        <f t="shared" si="5"/>
        <v>#DIV/0!</v>
      </c>
    </row>
    <row r="28" spans="1:25" x14ac:dyDescent="0.25">
      <c r="A28" s="57">
        <v>43915</v>
      </c>
      <c r="B28" s="76">
        <v>349270</v>
      </c>
      <c r="C28" s="58">
        <f t="shared" si="6"/>
        <v>0</v>
      </c>
      <c r="D28" s="58"/>
      <c r="E28" s="58">
        <f t="shared" si="0"/>
        <v>0</v>
      </c>
      <c r="F28" s="7" t="e">
        <f t="shared" si="7"/>
        <v>#DIV/0!</v>
      </c>
      <c r="G28" s="8" t="str">
        <f t="shared" si="1"/>
        <v>-</v>
      </c>
      <c r="H28" s="58"/>
      <c r="I28" s="59"/>
      <c r="J28" s="58">
        <f t="shared" si="8"/>
        <v>0</v>
      </c>
      <c r="K28" s="60">
        <f t="shared" si="9"/>
        <v>0</v>
      </c>
      <c r="L28" s="58" t="e">
        <f t="shared" si="10"/>
        <v>#DIV/0!</v>
      </c>
      <c r="M28" s="61">
        <f t="shared" si="2"/>
        <v>-1</v>
      </c>
      <c r="N28" s="58">
        <f t="shared" si="3"/>
        <v>0</v>
      </c>
      <c r="O28" s="9">
        <f t="shared" si="4"/>
        <v>0</v>
      </c>
      <c r="P28" s="9">
        <f t="shared" si="11"/>
        <v>0</v>
      </c>
      <c r="Q28" s="62"/>
      <c r="R28" s="63" t="e">
        <f t="shared" si="5"/>
        <v>#DIV/0!</v>
      </c>
    </row>
    <row r="29" spans="1:25" x14ac:dyDescent="0.25">
      <c r="A29" s="57">
        <v>43916</v>
      </c>
      <c r="B29" s="76">
        <v>329015</v>
      </c>
      <c r="C29" s="58">
        <f t="shared" si="6"/>
        <v>0</v>
      </c>
      <c r="D29" s="58"/>
      <c r="E29" s="58">
        <f t="shared" si="0"/>
        <v>0</v>
      </c>
      <c r="F29" s="7" t="e">
        <f t="shared" si="7"/>
        <v>#DIV/0!</v>
      </c>
      <c r="G29" s="8" t="str">
        <f t="shared" si="1"/>
        <v>-</v>
      </c>
      <c r="H29" s="58"/>
      <c r="I29" s="59"/>
      <c r="J29" s="58">
        <f t="shared" si="8"/>
        <v>0</v>
      </c>
      <c r="K29" s="60">
        <f t="shared" si="9"/>
        <v>0</v>
      </c>
      <c r="L29" s="58" t="e">
        <f t="shared" si="10"/>
        <v>#DIV/0!</v>
      </c>
      <c r="M29" s="61">
        <f t="shared" si="2"/>
        <v>-1</v>
      </c>
      <c r="N29" s="58">
        <f t="shared" si="3"/>
        <v>0</v>
      </c>
      <c r="O29" s="9">
        <f t="shared" si="4"/>
        <v>0</v>
      </c>
      <c r="P29" s="9">
        <f t="shared" si="11"/>
        <v>0</v>
      </c>
      <c r="Q29" s="62"/>
      <c r="R29" s="63" t="e">
        <f t="shared" si="5"/>
        <v>#DIV/0!</v>
      </c>
    </row>
    <row r="30" spans="1:25" x14ac:dyDescent="0.25">
      <c r="A30" s="57">
        <v>43917</v>
      </c>
      <c r="B30" s="76">
        <v>300105</v>
      </c>
      <c r="C30" s="58">
        <f t="shared" si="6"/>
        <v>0</v>
      </c>
      <c r="D30" s="58"/>
      <c r="E30" s="58">
        <f t="shared" si="0"/>
        <v>0</v>
      </c>
      <c r="F30" s="7" t="e">
        <f t="shared" si="7"/>
        <v>#DIV/0!</v>
      </c>
      <c r="G30" s="8" t="str">
        <f t="shared" si="1"/>
        <v>-</v>
      </c>
      <c r="H30" s="58"/>
      <c r="I30" s="59"/>
      <c r="J30" s="58">
        <f t="shared" si="8"/>
        <v>0</v>
      </c>
      <c r="K30" s="60">
        <f t="shared" si="9"/>
        <v>0</v>
      </c>
      <c r="L30" s="58" t="e">
        <f t="shared" si="10"/>
        <v>#DIV/0!</v>
      </c>
      <c r="M30" s="61">
        <f t="shared" si="2"/>
        <v>-1</v>
      </c>
      <c r="N30" s="58">
        <f t="shared" si="3"/>
        <v>0</v>
      </c>
      <c r="O30" s="9">
        <f t="shared" si="4"/>
        <v>0</v>
      </c>
      <c r="P30" s="9">
        <f t="shared" si="11"/>
        <v>0</v>
      </c>
      <c r="Q30" s="62"/>
      <c r="R30" s="63" t="e">
        <f t="shared" si="5"/>
        <v>#DIV/0!</v>
      </c>
    </row>
    <row r="31" spans="1:25" x14ac:dyDescent="0.25">
      <c r="A31" s="57">
        <v>43918</v>
      </c>
      <c r="B31" s="76">
        <v>318430</v>
      </c>
      <c r="C31" s="58">
        <f t="shared" si="6"/>
        <v>0</v>
      </c>
      <c r="D31" s="58"/>
      <c r="E31" s="58">
        <f t="shared" si="0"/>
        <v>0</v>
      </c>
      <c r="F31" s="7" t="e">
        <f t="shared" si="7"/>
        <v>#DIV/0!</v>
      </c>
      <c r="G31" s="8" t="str">
        <f t="shared" si="1"/>
        <v>-</v>
      </c>
      <c r="H31" s="58"/>
      <c r="I31" s="59"/>
      <c r="J31" s="58">
        <f t="shared" si="8"/>
        <v>0</v>
      </c>
      <c r="K31" s="60">
        <f t="shared" si="9"/>
        <v>0</v>
      </c>
      <c r="L31" s="58" t="e">
        <f t="shared" si="10"/>
        <v>#DIV/0!</v>
      </c>
      <c r="M31" s="61">
        <f t="shared" si="2"/>
        <v>-1</v>
      </c>
      <c r="N31" s="58">
        <f t="shared" si="3"/>
        <v>0</v>
      </c>
      <c r="O31" s="9">
        <f t="shared" si="4"/>
        <v>0</v>
      </c>
      <c r="P31" s="9">
        <f t="shared" si="11"/>
        <v>0</v>
      </c>
      <c r="Q31" s="62"/>
      <c r="R31" s="63" t="e">
        <f t="shared" si="5"/>
        <v>#DIV/0!</v>
      </c>
      <c r="T31" s="14"/>
    </row>
    <row r="32" spans="1:25" x14ac:dyDescent="0.25">
      <c r="A32" s="57">
        <v>43919</v>
      </c>
      <c r="B32" s="76">
        <v>416206</v>
      </c>
      <c r="C32" s="58">
        <f t="shared" si="6"/>
        <v>0</v>
      </c>
      <c r="D32" s="58"/>
      <c r="E32" s="58">
        <f t="shared" si="0"/>
        <v>0</v>
      </c>
      <c r="F32" s="7" t="e">
        <f t="shared" si="7"/>
        <v>#DIV/0!</v>
      </c>
      <c r="G32" s="8" t="str">
        <f t="shared" si="1"/>
        <v>-</v>
      </c>
      <c r="H32" s="58"/>
      <c r="I32" s="59"/>
      <c r="J32" s="58">
        <f t="shared" si="8"/>
        <v>0</v>
      </c>
      <c r="K32" s="60">
        <f t="shared" si="9"/>
        <v>0</v>
      </c>
      <c r="L32" s="58" t="e">
        <f t="shared" si="10"/>
        <v>#DIV/0!</v>
      </c>
      <c r="M32" s="61">
        <f t="shared" si="2"/>
        <v>-1</v>
      </c>
      <c r="N32" s="58">
        <f t="shared" si="3"/>
        <v>0</v>
      </c>
      <c r="O32" s="9">
        <f t="shared" si="4"/>
        <v>0</v>
      </c>
      <c r="P32" s="9">
        <f t="shared" si="11"/>
        <v>0</v>
      </c>
      <c r="Q32" s="62"/>
      <c r="R32" s="63" t="e">
        <f t="shared" si="5"/>
        <v>#DIV/0!</v>
      </c>
    </row>
    <row r="33" spans="1:18" x14ac:dyDescent="0.25">
      <c r="A33" s="57">
        <v>43920</v>
      </c>
      <c r="B33" s="76">
        <v>755090</v>
      </c>
      <c r="C33" s="58">
        <f t="shared" si="6"/>
        <v>0</v>
      </c>
      <c r="D33" s="58"/>
      <c r="E33" s="58">
        <f t="shared" si="0"/>
        <v>0</v>
      </c>
      <c r="F33" s="7" t="e">
        <f t="shared" si="7"/>
        <v>#DIV/0!</v>
      </c>
      <c r="G33" s="8" t="str">
        <f t="shared" si="1"/>
        <v>-</v>
      </c>
      <c r="H33" s="58"/>
      <c r="I33" s="59"/>
      <c r="J33" s="58">
        <f t="shared" si="8"/>
        <v>0</v>
      </c>
      <c r="K33" s="60">
        <f t="shared" si="9"/>
        <v>0</v>
      </c>
      <c r="L33" s="58" t="e">
        <f t="shared" si="10"/>
        <v>#DIV/0!</v>
      </c>
      <c r="M33" s="61">
        <f t="shared" si="2"/>
        <v>-1</v>
      </c>
      <c r="N33" s="58">
        <f t="shared" si="3"/>
        <v>0</v>
      </c>
      <c r="O33" s="9">
        <f t="shared" si="4"/>
        <v>0</v>
      </c>
      <c r="P33" s="9">
        <f t="shared" si="11"/>
        <v>0</v>
      </c>
      <c r="Q33" s="62"/>
      <c r="R33" s="63" t="e">
        <f t="shared" si="5"/>
        <v>#DIV/0!</v>
      </c>
    </row>
    <row r="34" spans="1:18" x14ac:dyDescent="0.25">
      <c r="A34" s="57">
        <v>43921</v>
      </c>
      <c r="B34" s="64">
        <v>854865</v>
      </c>
      <c r="C34" s="58">
        <f t="shared" si="6"/>
        <v>0</v>
      </c>
      <c r="D34" s="58"/>
      <c r="E34" s="58">
        <f t="shared" si="0"/>
        <v>0</v>
      </c>
      <c r="F34" s="7" t="e">
        <f t="shared" si="7"/>
        <v>#DIV/0!</v>
      </c>
      <c r="G34" s="8" t="str">
        <f t="shared" si="1"/>
        <v>-</v>
      </c>
      <c r="H34" s="58"/>
      <c r="I34" s="59"/>
      <c r="J34" s="58">
        <f t="shared" si="8"/>
        <v>0</v>
      </c>
      <c r="K34" s="60">
        <f t="shared" si="9"/>
        <v>0</v>
      </c>
      <c r="L34" s="58" t="e">
        <f t="shared" si="10"/>
        <v>#DIV/0!</v>
      </c>
      <c r="M34" s="61">
        <f t="shared" si="2"/>
        <v>-1</v>
      </c>
      <c r="N34" s="58">
        <f t="shared" si="3"/>
        <v>0</v>
      </c>
      <c r="O34" s="9">
        <f t="shared" si="4"/>
        <v>0</v>
      </c>
      <c r="P34" s="9">
        <f t="shared" si="11"/>
        <v>0</v>
      </c>
      <c r="Q34" s="62"/>
      <c r="R34" s="63" t="e">
        <f t="shared" si="5"/>
        <v>#DIV/0!</v>
      </c>
    </row>
    <row r="35" spans="1:18" ht="16.5" thickBot="1" x14ac:dyDescent="0.3">
      <c r="A35" s="65"/>
      <c r="B35" s="66">
        <f>SUM(B4:B34)</f>
        <v>14045691</v>
      </c>
      <c r="C35" s="66">
        <f>SUBTOTAL(9,C4:C34)</f>
        <v>0</v>
      </c>
      <c r="D35" s="66">
        <f>SUBTOTAL(9,D4:D34)</f>
        <v>0</v>
      </c>
      <c r="E35" s="66">
        <f>SUBTOTAL(9,E4:E34)</f>
        <v>0</v>
      </c>
      <c r="F35" s="67"/>
      <c r="G35" s="67">
        <f>IFERROR(AVERAGE(G4:G34),0)</f>
        <v>0</v>
      </c>
      <c r="H35" s="66">
        <f>SUBTOTAL(9,H4:H34)</f>
        <v>0</v>
      </c>
      <c r="I35" s="66">
        <f>SUBTOTAL(9,I4:I34)</f>
        <v>0</v>
      </c>
      <c r="J35" s="66">
        <f>IFERROR((D35/I35),0)</f>
        <v>0</v>
      </c>
      <c r="K35" s="68">
        <f>IFERROR((H35/I35),0)</f>
        <v>0</v>
      </c>
      <c r="L35" s="69" t="e">
        <f>D35/H35</f>
        <v>#DIV/0!</v>
      </c>
      <c r="M35" s="70">
        <f>D35/B35-1</f>
        <v>-1</v>
      </c>
      <c r="N35" s="71">
        <f>SUM(N4:N34)</f>
        <v>0</v>
      </c>
      <c r="O35" s="72">
        <f>SUM(O4:O34)</f>
        <v>0</v>
      </c>
      <c r="P35" s="73">
        <f>P34</f>
        <v>0</v>
      </c>
      <c r="Q35" s="74">
        <f>SUM(Q4:Q34)</f>
        <v>0</v>
      </c>
      <c r="R35" s="75" t="e">
        <f>I35/Q35*100</f>
        <v>#DIV/0!</v>
      </c>
    </row>
    <row r="36" spans="1:18" x14ac:dyDescent="0.25">
      <c r="D36" s="15">
        <f>D35/23</f>
        <v>0</v>
      </c>
    </row>
    <row r="37" spans="1:18" x14ac:dyDescent="0.25">
      <c r="D37" s="77">
        <f>31*D36</f>
        <v>0</v>
      </c>
    </row>
    <row r="38" spans="1:18" ht="15.75" thickBot="1" x14ac:dyDescent="0.3">
      <c r="D38" s="17" t="e">
        <f>D37/U5*100%</f>
        <v>#DIV/0!</v>
      </c>
    </row>
  </sheetData>
  <protectedRanges>
    <protectedRange sqref="A4:A34" name="Sales Value_1_1"/>
    <protectedRange sqref="B4:B34" name="Sales Value_2_1"/>
  </protectedRanges>
  <mergeCells count="34">
    <mergeCell ref="U17:V17"/>
    <mergeCell ref="U18:V18"/>
    <mergeCell ref="U10:V10"/>
    <mergeCell ref="U11:V11"/>
    <mergeCell ref="U12:V12"/>
    <mergeCell ref="U13:V13"/>
    <mergeCell ref="U14:V14"/>
    <mergeCell ref="U15:V15"/>
    <mergeCell ref="U4:V4"/>
    <mergeCell ref="U5:V5"/>
    <mergeCell ref="U6:V6"/>
    <mergeCell ref="U8:V8"/>
    <mergeCell ref="U16:V16"/>
    <mergeCell ref="O2:O3"/>
    <mergeCell ref="P2:P3"/>
    <mergeCell ref="Q2:Q3"/>
    <mergeCell ref="R2:R3"/>
    <mergeCell ref="T2:T3"/>
    <mergeCell ref="U19:V19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9:V9"/>
    <mergeCell ref="M2:M3"/>
    <mergeCell ref="N2:N3"/>
  </mergeCells>
  <conditionalFormatting sqref="M4:N35">
    <cfRule type="cellIs" dxfId="23" priority="5" operator="lessThan">
      <formula>0</formula>
    </cfRule>
  </conditionalFormatting>
  <conditionalFormatting sqref="U12:V12">
    <cfRule type="cellIs" dxfId="22" priority="4" operator="lessThan">
      <formula>0</formula>
    </cfRule>
  </conditionalFormatting>
  <conditionalFormatting sqref="G35">
    <cfRule type="cellIs" dxfId="21" priority="3" operator="lessThan">
      <formula>1</formula>
    </cfRule>
  </conditionalFormatting>
  <conditionalFormatting sqref="U15">
    <cfRule type="cellIs" dxfId="20" priority="2" operator="lessThan">
      <formula>0</formula>
    </cfRule>
  </conditionalFormatting>
  <conditionalFormatting sqref="G4:G34">
    <cfRule type="cellIs" dxfId="19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July-19 </vt:lpstr>
      <vt:lpstr>August-19 </vt:lpstr>
      <vt:lpstr>September-19 </vt:lpstr>
      <vt:lpstr>Oct-19 </vt:lpstr>
      <vt:lpstr>Nov-19  </vt:lpstr>
      <vt:lpstr>Dec-19  </vt:lpstr>
      <vt:lpstr>Jan-20 </vt:lpstr>
      <vt:lpstr>Feb-20  </vt:lpstr>
      <vt:lpstr>Mar-20 </vt:lpstr>
      <vt:lpstr>Apr-20 </vt:lpstr>
      <vt:lpstr>May-20 </vt:lpstr>
      <vt:lpstr>June-20 </vt:lpstr>
      <vt:lpstr>YTD Summary</vt:lpstr>
      <vt:lpstr>'August-19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2019-10-16T07:00:29Z</dcterms:modified>
</cp:coreProperties>
</file>