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Notes\Python\Project\kite_pnl_iota\"/>
    </mc:Choice>
  </mc:AlternateContent>
  <xr:revisionPtr revIDLastSave="0" documentId="13_ncr:1_{3C55ECC9-4569-4172-A078-C8F932F5837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aw Data" sheetId="3" r:id="rId1"/>
    <sheet name="Analysis" sheetId="4" r:id="rId2"/>
    <sheet name="Summaryy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5" l="1"/>
  <c r="D4" i="5"/>
  <c r="E4" i="5"/>
  <c r="B4" i="5"/>
  <c r="E3" i="5"/>
  <c r="E2" i="5"/>
  <c r="D3" i="5"/>
  <c r="D2" i="5"/>
  <c r="C3" i="5"/>
  <c r="C2" i="5"/>
  <c r="B2" i="5"/>
  <c r="B3" i="5"/>
  <c r="O3" i="4"/>
  <c r="O4" i="4"/>
  <c r="O5" i="4"/>
  <c r="O6" i="4"/>
  <c r="O7" i="4"/>
  <c r="O8" i="4"/>
  <c r="O9" i="4"/>
  <c r="O10" i="4"/>
  <c r="O11" i="4"/>
  <c r="O12" i="4"/>
  <c r="O13" i="4"/>
  <c r="O2" i="4"/>
  <c r="N3" i="4"/>
  <c r="N4" i="4"/>
  <c r="N5" i="4"/>
  <c r="N6" i="4"/>
  <c r="N7" i="4"/>
  <c r="N8" i="4"/>
  <c r="N9" i="4"/>
  <c r="N10" i="4"/>
  <c r="N11" i="4"/>
  <c r="N12" i="4"/>
  <c r="N13" i="4"/>
  <c r="N2" i="4"/>
  <c r="M3" i="4"/>
  <c r="M4" i="4"/>
  <c r="M5" i="4"/>
  <c r="M6" i="4"/>
  <c r="M7" i="4"/>
  <c r="M8" i="4"/>
  <c r="M9" i="4"/>
  <c r="M10" i="4"/>
  <c r="M11" i="4"/>
  <c r="M12" i="4"/>
  <c r="M13" i="4"/>
  <c r="M2" i="4"/>
  <c r="L3" i="4"/>
  <c r="L4" i="4"/>
  <c r="L5" i="4"/>
  <c r="L6" i="4"/>
  <c r="L7" i="4"/>
  <c r="L8" i="4"/>
  <c r="L9" i="4"/>
  <c r="L10" i="4"/>
  <c r="L11" i="4"/>
  <c r="L12" i="4"/>
  <c r="L13" i="4"/>
  <c r="L2" i="4"/>
  <c r="K3" i="4"/>
  <c r="K4" i="4"/>
  <c r="K5" i="4"/>
  <c r="K6" i="4"/>
  <c r="K7" i="4"/>
  <c r="K8" i="4"/>
  <c r="K9" i="4"/>
  <c r="K10" i="4"/>
  <c r="K11" i="4"/>
  <c r="K12" i="4"/>
  <c r="K13" i="4"/>
  <c r="K2" i="4"/>
  <c r="J3" i="4"/>
  <c r="J4" i="4"/>
  <c r="J5" i="4"/>
  <c r="J6" i="4"/>
  <c r="J7" i="4"/>
  <c r="J8" i="4"/>
  <c r="J9" i="4"/>
  <c r="J10" i="4"/>
  <c r="J11" i="4"/>
  <c r="J12" i="4"/>
  <c r="J13" i="4"/>
  <c r="J2" i="4"/>
  <c r="I3" i="4"/>
  <c r="I4" i="4"/>
  <c r="I5" i="4"/>
  <c r="I6" i="4"/>
  <c r="I7" i="4"/>
  <c r="I8" i="4"/>
  <c r="I9" i="4"/>
  <c r="I10" i="4"/>
  <c r="I11" i="4"/>
  <c r="I12" i="4"/>
  <c r="I13" i="4"/>
  <c r="I2" i="4"/>
  <c r="H3" i="4"/>
  <c r="H4" i="4"/>
  <c r="H5" i="4"/>
  <c r="H6" i="4"/>
  <c r="H7" i="4"/>
  <c r="H8" i="4"/>
  <c r="H9" i="4"/>
  <c r="H10" i="4"/>
  <c r="H11" i="4"/>
  <c r="H12" i="4"/>
  <c r="H13" i="4"/>
  <c r="H2" i="4"/>
</calcChain>
</file>

<file path=xl/sharedStrings.xml><?xml version="1.0" encoding="utf-8"?>
<sst xmlns="http://schemas.openxmlformats.org/spreadsheetml/2006/main" count="138" uniqueCount="30">
  <si>
    <t>Time</t>
  </si>
  <si>
    <t>Type</t>
  </si>
  <si>
    <t>Instrument</t>
  </si>
  <si>
    <t>Product</t>
  </si>
  <si>
    <t>Qty.</t>
  </si>
  <si>
    <t>Avg. price</t>
  </si>
  <si>
    <t>Status</t>
  </si>
  <si>
    <t>Total</t>
  </si>
  <si>
    <t>Charge</t>
  </si>
  <si>
    <t>ETC</t>
  </si>
  <si>
    <t>GST</t>
  </si>
  <si>
    <t>STT</t>
  </si>
  <si>
    <t>Stamp Duty</t>
  </si>
  <si>
    <t>Total Charges</t>
  </si>
  <si>
    <t>BUY</t>
  </si>
  <si>
    <t>SELL</t>
  </si>
  <si>
    <t>ASHOKLEY</t>
  </si>
  <si>
    <t>TATAMOTORS</t>
  </si>
  <si>
    <t>MIS</t>
  </si>
  <si>
    <t>COMPLETE</t>
  </si>
  <si>
    <t>CANCELLED</t>
  </si>
  <si>
    <t>1000/1000</t>
  </si>
  <si>
    <t>250/250</t>
  </si>
  <si>
    <t>0/1000</t>
  </si>
  <si>
    <t>0/250</t>
  </si>
  <si>
    <t>2000/2000</t>
  </si>
  <si>
    <t>0/2000</t>
  </si>
  <si>
    <t>Gross PNL</t>
  </si>
  <si>
    <t>Net PNL</t>
  </si>
  <si>
    <t>Charges%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</si>
</sst>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0" formatCode="yyyy/mm/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Fill="1" applyAlignment="1">
      <alignment horizontal="center" vertical="center"/>
    </xf>
    <xf numFmtId="43" fontId="0" fillId="0" borderId="0" xfId="1" applyFont="1"/>
    <xf numFmtId="43" fontId="0" fillId="0" borderId="0" xfId="0" applyNumberFormat="1"/>
    <xf numFmtId="9" fontId="0" fillId="0" borderId="0" xfId="2" applyFont="1"/>
    <xf numFmtId="0" fontId="1" fillId="0" borderId="0" xfId="0" applyFont="1" applyAlignment="1">
      <alignment horizontal="center"/>
    </xf>
    <xf numFmtId="9" fontId="1" fillId="0" borderId="0" xfId="2" applyFont="1"/>
    <xf numFmtId="170" fontId="1" fillId="0" borderId="0" xfId="0" applyNumberFormat="1" applyFont="1" applyFill="1" applyAlignment="1">
      <alignment horizontal="center" vertical="center"/>
    </xf>
    <xf numFmtId="17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7">
    <dxf>
      <numFmt numFmtId="170" formatCode="yyyy/mm/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88DFD3-A695-45D0-BFFB-438B13A39606}" name="Table3" displayName="Table3" ref="A1:O13" totalsRowShown="0" headerRowDxfId="1">
  <autoFilter ref="A1:O13" xr:uid="{3988DFD3-A695-45D0-BFFB-438B13A39606}"/>
  <tableColumns count="15">
    <tableColumn id="1" xr3:uid="{E730356A-86BB-43F6-814B-6E08B235A5EF}" name="Time" dataDxfId="0"/>
    <tableColumn id="2" xr3:uid="{0C451BDE-FDAB-4449-8AD2-38B0E8732A34}" name="Type"/>
    <tableColumn id="3" xr3:uid="{AE345311-DE36-40EE-B5FB-8115B3CADFD4}" name="Instrument"/>
    <tableColumn id="4" xr3:uid="{0694CE86-32AF-450F-A2FB-4DB521FBDA3D}" name="Product"/>
    <tableColumn id="5" xr3:uid="{1D40A079-A53A-4017-8F4F-1F60718C41FE}" name="Qty."/>
    <tableColumn id="6" xr3:uid="{2D2BD2F0-3D73-4335-9C9B-98DA75F3D745}" name="Avg. price"/>
    <tableColumn id="7" xr3:uid="{09C28B91-6D95-4EA6-B20A-23D59FE1DA4B}" name="Status"/>
    <tableColumn id="8" xr3:uid="{C59E30B8-33D6-47AE-BA51-C40D9953070B}" name="Total" dataDxfId="5" dataCellStyle="Comma">
      <calculatedColumnFormula>E2*F2</calculatedColumnFormula>
    </tableColumn>
    <tableColumn id="9" xr3:uid="{D4A370FF-F483-4AD0-86AA-7E565FB233E6}" name="Gross PNL" dataDxfId="4" dataCellStyle="Comma">
      <calculatedColumnFormula>IF(B2="BUY",H2*(-1),H2)</calculatedColumnFormula>
    </tableColumn>
    <tableColumn id="10" xr3:uid="{4EFC2135-103E-41BA-8691-93E9F23DC5FE}" name="Charge">
      <calculatedColumnFormula>MIN(20,(H2*0.03)/100)</calculatedColumnFormula>
    </tableColumn>
    <tableColumn id="11" xr3:uid="{A99C2673-B076-4B16-9464-129A341AEBED}" name="ETC" dataDxfId="3">
      <calculatedColumnFormula>(H2*0.003)/100</calculatedColumnFormula>
    </tableColumn>
    <tableColumn id="12" xr3:uid="{BFB717E4-51AA-400F-A986-6345E9A63376}" name="GST" dataDxfId="2">
      <calculatedColumnFormula>((J2+K2)*18)/100</calculatedColumnFormula>
    </tableColumn>
    <tableColumn id="13" xr3:uid="{2E53AF2D-8B62-46E5-85C8-1D859BD79100}" name="STT">
      <calculatedColumnFormula>IF(B2="BUY",0,(H2*0.025)/100)</calculatedColumnFormula>
    </tableColumn>
    <tableColumn id="14" xr3:uid="{14D6FFAA-A0AA-4387-B1F1-04355EABDB90}" name="Stamp Duty">
      <calculatedColumnFormula>IF(B2="BUY",(H2*0.003)/100,0)</calculatedColumnFormula>
    </tableColumn>
    <tableColumn id="15" xr3:uid="{EAB57A49-043E-4C80-9853-C374974B4F52}" name="Total Charges">
      <calculatedColumnFormula>SUM(J2:N2)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40EDE2-8451-4D71-A3B7-4BE4CBB7774A}" name="Table2" displayName="Table2" ref="A1:E4" totalsRowShown="0" headerRowDxfId="6">
  <autoFilter ref="A1:E4" xr:uid="{FB40EDE2-8451-4D71-A3B7-4BE4CBB7774A}"/>
  <tableColumns count="5">
    <tableColumn id="1" xr3:uid="{A5705B7F-D2E8-4C1F-B503-60A509BAA838}" name="Instrument"/>
    <tableColumn id="2" xr3:uid="{CC466A73-C794-46ED-AD35-5E4A30B25DC9}" name="Gross PNL"/>
    <tableColumn id="3" xr3:uid="{2941C7A2-01E3-435D-8E59-93F3E97A33BA}" name="Total Charges"/>
    <tableColumn id="4" xr3:uid="{457E0187-2EB1-4354-BCBC-E94FB576AA0F}" name="Net PNL"/>
    <tableColumn id="5" xr3:uid="{53A2F753-3502-40B8-8C7A-A64BA754877A}" name="Charges%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4E132-AF29-4C51-A5D2-388F7F75C2EF}">
  <dimension ref="A1:G13"/>
  <sheetViews>
    <sheetView workbookViewId="0">
      <selection activeCell="D20" sqref="D20"/>
    </sheetView>
  </sheetViews>
  <sheetFormatPr defaultRowHeight="14.4" x14ac:dyDescent="0.3"/>
  <cols>
    <col min="1" max="1" width="12" bestFit="1" customWidth="1"/>
    <col min="2" max="2" width="5.109375" bestFit="1" customWidth="1"/>
    <col min="3" max="3" width="12.5546875" bestFit="1" customWidth="1"/>
    <col min="4" max="4" width="7.6640625" bestFit="1" customWidth="1"/>
    <col min="5" max="5" width="9.77734375" bestFit="1" customWidth="1"/>
    <col min="6" max="6" width="9.33203125" bestFit="1" customWidth="1"/>
    <col min="7" max="7" width="10.6640625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>
        <v>44546.630601851852</v>
      </c>
      <c r="B2" t="s">
        <v>14</v>
      </c>
      <c r="C2" t="s">
        <v>16</v>
      </c>
      <c r="D2" t="s">
        <v>18</v>
      </c>
      <c r="E2" t="s">
        <v>21</v>
      </c>
      <c r="F2">
        <v>125.7</v>
      </c>
      <c r="G2" t="s">
        <v>19</v>
      </c>
    </row>
    <row r="3" spans="1:7" x14ac:dyDescent="0.3">
      <c r="A3">
        <v>44546.592407407406</v>
      </c>
      <c r="B3" t="s">
        <v>14</v>
      </c>
      <c r="C3" t="s">
        <v>17</v>
      </c>
      <c r="D3" t="s">
        <v>18</v>
      </c>
      <c r="E3" t="s">
        <v>22</v>
      </c>
      <c r="F3">
        <v>490.55</v>
      </c>
      <c r="G3" t="s">
        <v>19</v>
      </c>
    </row>
    <row r="4" spans="1:7" x14ac:dyDescent="0.3">
      <c r="A4">
        <v>44546.579212962963</v>
      </c>
      <c r="B4" t="s">
        <v>14</v>
      </c>
      <c r="C4" t="s">
        <v>16</v>
      </c>
      <c r="D4" t="s">
        <v>18</v>
      </c>
      <c r="E4" t="s">
        <v>23</v>
      </c>
      <c r="F4">
        <v>127.1</v>
      </c>
      <c r="G4" t="s">
        <v>20</v>
      </c>
    </row>
    <row r="5" spans="1:7" x14ac:dyDescent="0.3">
      <c r="A5">
        <v>44546.556388888886</v>
      </c>
      <c r="B5" t="s">
        <v>15</v>
      </c>
      <c r="C5" t="s">
        <v>17</v>
      </c>
      <c r="D5" t="s">
        <v>18</v>
      </c>
      <c r="E5" t="s">
        <v>22</v>
      </c>
      <c r="F5">
        <v>492.1</v>
      </c>
      <c r="G5" t="s">
        <v>19</v>
      </c>
    </row>
    <row r="6" spans="1:7" x14ac:dyDescent="0.3">
      <c r="A6">
        <v>44546.53570601852</v>
      </c>
      <c r="B6" t="s">
        <v>14</v>
      </c>
      <c r="C6" t="s">
        <v>17</v>
      </c>
      <c r="D6" t="s">
        <v>18</v>
      </c>
      <c r="E6" t="s">
        <v>24</v>
      </c>
      <c r="F6">
        <v>490.8</v>
      </c>
      <c r="G6" t="s">
        <v>20</v>
      </c>
    </row>
    <row r="7" spans="1:7" x14ac:dyDescent="0.3">
      <c r="A7">
        <v>44546.527303240742</v>
      </c>
      <c r="B7" t="s">
        <v>15</v>
      </c>
      <c r="C7" t="s">
        <v>16</v>
      </c>
      <c r="D7" t="s">
        <v>18</v>
      </c>
      <c r="E7" t="s">
        <v>21</v>
      </c>
      <c r="F7">
        <v>125.96</v>
      </c>
      <c r="G7" t="s">
        <v>19</v>
      </c>
    </row>
    <row r="8" spans="1:7" x14ac:dyDescent="0.3">
      <c r="A8">
        <v>44546.520243055558</v>
      </c>
      <c r="B8" t="s">
        <v>14</v>
      </c>
      <c r="C8" t="s">
        <v>16</v>
      </c>
      <c r="D8" t="s">
        <v>18</v>
      </c>
      <c r="E8" t="s">
        <v>25</v>
      </c>
      <c r="F8">
        <v>125.7</v>
      </c>
      <c r="G8" t="s">
        <v>19</v>
      </c>
    </row>
    <row r="9" spans="1:7" x14ac:dyDescent="0.3">
      <c r="A9">
        <v>44546.473981481482</v>
      </c>
      <c r="B9" t="s">
        <v>15</v>
      </c>
      <c r="C9" t="s">
        <v>16</v>
      </c>
      <c r="D9" t="s">
        <v>18</v>
      </c>
      <c r="E9" t="s">
        <v>25</v>
      </c>
      <c r="F9">
        <v>125.95</v>
      </c>
      <c r="G9" t="s">
        <v>19</v>
      </c>
    </row>
    <row r="10" spans="1:7" x14ac:dyDescent="0.3">
      <c r="A10">
        <v>44546.449340277781</v>
      </c>
      <c r="B10" t="s">
        <v>15</v>
      </c>
      <c r="C10" t="s">
        <v>16</v>
      </c>
      <c r="D10" t="s">
        <v>18</v>
      </c>
      <c r="E10" t="s">
        <v>26</v>
      </c>
      <c r="F10">
        <v>124.45</v>
      </c>
      <c r="G10" t="s">
        <v>20</v>
      </c>
    </row>
    <row r="11" spans="1:7" x14ac:dyDescent="0.3">
      <c r="A11">
        <v>44546.449201388888</v>
      </c>
      <c r="B11" t="s">
        <v>15</v>
      </c>
      <c r="C11" t="s">
        <v>16</v>
      </c>
      <c r="D11" t="s">
        <v>18</v>
      </c>
      <c r="E11" t="s">
        <v>25</v>
      </c>
      <c r="F11">
        <v>125.95</v>
      </c>
      <c r="G11" t="s">
        <v>19</v>
      </c>
    </row>
    <row r="12" spans="1:7" x14ac:dyDescent="0.3">
      <c r="A12">
        <v>44546.43341435185</v>
      </c>
      <c r="B12" t="s">
        <v>14</v>
      </c>
      <c r="C12" t="s">
        <v>16</v>
      </c>
      <c r="D12" t="s">
        <v>18</v>
      </c>
      <c r="E12" t="s">
        <v>21</v>
      </c>
      <c r="F12">
        <v>125.6</v>
      </c>
      <c r="G12" t="s">
        <v>19</v>
      </c>
    </row>
    <row r="13" spans="1:7" x14ac:dyDescent="0.3">
      <c r="A13">
        <v>44546.433298611111</v>
      </c>
      <c r="B13" t="s">
        <v>14</v>
      </c>
      <c r="C13" t="s">
        <v>16</v>
      </c>
      <c r="D13" t="s">
        <v>18</v>
      </c>
      <c r="E13" t="s">
        <v>21</v>
      </c>
      <c r="F13">
        <v>125.65</v>
      </c>
      <c r="G13" t="s">
        <v>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DFCDF-0877-41BA-9911-D4B5A2898B5A}">
  <dimension ref="A1:O13"/>
  <sheetViews>
    <sheetView zoomScale="115" zoomScaleNormal="115" workbookViewId="0">
      <selection sqref="A1:A1048576"/>
    </sheetView>
  </sheetViews>
  <sheetFormatPr defaultRowHeight="14.4" x14ac:dyDescent="0.3"/>
  <cols>
    <col min="1" max="1" width="18.77734375" style="9" bestFit="1" customWidth="1"/>
    <col min="2" max="2" width="9.5546875" bestFit="1" customWidth="1"/>
    <col min="3" max="3" width="14.77734375" bestFit="1" customWidth="1"/>
    <col min="4" max="4" width="12.109375" bestFit="1" customWidth="1"/>
    <col min="5" max="5" width="9" bestFit="1" customWidth="1"/>
    <col min="6" max="6" width="13.77734375" bestFit="1" customWidth="1"/>
    <col min="7" max="7" width="10.6640625" bestFit="1" customWidth="1"/>
    <col min="8" max="8" width="11.77734375" bestFit="1" customWidth="1"/>
    <col min="9" max="9" width="13.77734375" bestFit="1" customWidth="1"/>
    <col min="10" max="10" width="11.33203125" bestFit="1" customWidth="1"/>
    <col min="11" max="11" width="8.5546875" bestFit="1" customWidth="1"/>
    <col min="12" max="12" width="8.6640625" bestFit="1" customWidth="1"/>
    <col min="13" max="13" width="9.33203125" bestFit="1" customWidth="1"/>
    <col min="14" max="14" width="15.33203125" bestFit="1" customWidth="1"/>
    <col min="15" max="15" width="16.77734375" bestFit="1" customWidth="1"/>
  </cols>
  <sheetData>
    <row r="1" spans="1:15" x14ac:dyDescent="0.3">
      <c r="A1" s="8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3">
      <c r="A2" s="9">
        <v>44546.630601851852</v>
      </c>
      <c r="B2" t="s">
        <v>14</v>
      </c>
      <c r="C2" t="s">
        <v>16</v>
      </c>
      <c r="D2" t="s">
        <v>18</v>
      </c>
      <c r="E2">
        <v>1000</v>
      </c>
      <c r="F2">
        <v>125.7</v>
      </c>
      <c r="G2" t="s">
        <v>19</v>
      </c>
      <c r="H2" s="3">
        <f>E2*F2</f>
        <v>125700</v>
      </c>
      <c r="I2" s="3">
        <f>IF(B2="BUY",H2*(-1),H2)</f>
        <v>-125700</v>
      </c>
      <c r="J2">
        <f>MIN(20,(H2*0.03)/100)</f>
        <v>20</v>
      </c>
      <c r="K2" s="4">
        <f>(H2*0.003)/100</f>
        <v>3.7710000000000004</v>
      </c>
      <c r="L2" s="4">
        <f>((J2+K2)*18)/100</f>
        <v>4.2787800000000002</v>
      </c>
      <c r="M2">
        <f>IF(B2="BUY",0,(H2*0.025)/100)</f>
        <v>0</v>
      </c>
      <c r="N2">
        <f>IF(B2="BUY",(H2*0.003)/100,0)</f>
        <v>3.7710000000000004</v>
      </c>
      <c r="O2">
        <f>SUM(J2:N2)</f>
        <v>31.820780000000003</v>
      </c>
    </row>
    <row r="3" spans="1:15" x14ac:dyDescent="0.3">
      <c r="A3" s="9">
        <v>44546.592407407406</v>
      </c>
      <c r="B3" t="s">
        <v>14</v>
      </c>
      <c r="C3" t="s">
        <v>17</v>
      </c>
      <c r="D3" t="s">
        <v>18</v>
      </c>
      <c r="E3">
        <v>250</v>
      </c>
      <c r="F3">
        <v>490.55</v>
      </c>
      <c r="G3" t="s">
        <v>19</v>
      </c>
      <c r="H3" s="3">
        <f t="shared" ref="H3:H13" si="0">E3*F3</f>
        <v>122637.5</v>
      </c>
      <c r="I3" s="3">
        <f t="shared" ref="I3:I13" si="1">IF(B3="BUY",H3*(-1),H3)</f>
        <v>-122637.5</v>
      </c>
      <c r="J3">
        <f t="shared" ref="J3:J13" si="2">MIN(20,(H3*0.03)/100)</f>
        <v>20</v>
      </c>
      <c r="K3" s="4">
        <f t="shared" ref="K3:K13" si="3">(H3*0.003)/100</f>
        <v>3.6791250000000004</v>
      </c>
      <c r="L3" s="4">
        <f t="shared" ref="L3:L13" si="4">((J3+K3)*18)/100</f>
        <v>4.2622425000000002</v>
      </c>
      <c r="M3">
        <f t="shared" ref="M3:M13" si="5">IF(B3="BUY",0,(H3*0.025)/100)</f>
        <v>0</v>
      </c>
      <c r="N3">
        <f t="shared" ref="N3:N13" si="6">IF(B3="BUY",(H3*0.003)/100,0)</f>
        <v>3.6791250000000004</v>
      </c>
      <c r="O3">
        <f t="shared" ref="O3:O13" si="7">SUM(J3:N3)</f>
        <v>31.620492499999997</v>
      </c>
    </row>
    <row r="4" spans="1:15" x14ac:dyDescent="0.3">
      <c r="A4" s="9">
        <v>44546.579212962963</v>
      </c>
      <c r="B4" t="s">
        <v>14</v>
      </c>
      <c r="C4" t="s">
        <v>16</v>
      </c>
      <c r="D4" t="s">
        <v>18</v>
      </c>
      <c r="E4">
        <v>0</v>
      </c>
      <c r="F4">
        <v>127.1</v>
      </c>
      <c r="G4" t="s">
        <v>20</v>
      </c>
      <c r="H4" s="3">
        <f t="shared" si="0"/>
        <v>0</v>
      </c>
      <c r="I4" s="3">
        <f t="shared" si="1"/>
        <v>0</v>
      </c>
      <c r="J4">
        <f t="shared" si="2"/>
        <v>0</v>
      </c>
      <c r="K4" s="4">
        <f t="shared" si="3"/>
        <v>0</v>
      </c>
      <c r="L4" s="4">
        <f t="shared" si="4"/>
        <v>0</v>
      </c>
      <c r="M4">
        <f t="shared" si="5"/>
        <v>0</v>
      </c>
      <c r="N4">
        <f t="shared" si="6"/>
        <v>0</v>
      </c>
      <c r="O4">
        <f t="shared" si="7"/>
        <v>0</v>
      </c>
    </row>
    <row r="5" spans="1:15" x14ac:dyDescent="0.3">
      <c r="A5" s="9">
        <v>44546.556388888886</v>
      </c>
      <c r="B5" t="s">
        <v>15</v>
      </c>
      <c r="C5" t="s">
        <v>17</v>
      </c>
      <c r="D5" t="s">
        <v>18</v>
      </c>
      <c r="E5">
        <v>250</v>
      </c>
      <c r="F5">
        <v>492.1</v>
      </c>
      <c r="G5" t="s">
        <v>19</v>
      </c>
      <c r="H5" s="3">
        <f t="shared" si="0"/>
        <v>123025</v>
      </c>
      <c r="I5" s="3">
        <f t="shared" si="1"/>
        <v>123025</v>
      </c>
      <c r="J5">
        <f t="shared" si="2"/>
        <v>20</v>
      </c>
      <c r="K5" s="4">
        <f t="shared" si="3"/>
        <v>3.69075</v>
      </c>
      <c r="L5" s="4">
        <f t="shared" si="4"/>
        <v>4.264335</v>
      </c>
      <c r="M5">
        <f t="shared" si="5"/>
        <v>30.756250000000001</v>
      </c>
      <c r="N5">
        <f t="shared" si="6"/>
        <v>0</v>
      </c>
      <c r="O5">
        <f t="shared" si="7"/>
        <v>58.711335000000005</v>
      </c>
    </row>
    <row r="6" spans="1:15" x14ac:dyDescent="0.3">
      <c r="A6" s="9">
        <v>44546.53570601852</v>
      </c>
      <c r="B6" t="s">
        <v>14</v>
      </c>
      <c r="C6" t="s">
        <v>17</v>
      </c>
      <c r="D6" t="s">
        <v>18</v>
      </c>
      <c r="E6">
        <v>0</v>
      </c>
      <c r="F6">
        <v>490.8</v>
      </c>
      <c r="G6" t="s">
        <v>20</v>
      </c>
      <c r="H6" s="3">
        <f t="shared" si="0"/>
        <v>0</v>
      </c>
      <c r="I6" s="3">
        <f t="shared" si="1"/>
        <v>0</v>
      </c>
      <c r="J6">
        <f t="shared" si="2"/>
        <v>0</v>
      </c>
      <c r="K6" s="4">
        <f t="shared" si="3"/>
        <v>0</v>
      </c>
      <c r="L6" s="4">
        <f t="shared" si="4"/>
        <v>0</v>
      </c>
      <c r="M6">
        <f t="shared" si="5"/>
        <v>0</v>
      </c>
      <c r="N6">
        <f t="shared" si="6"/>
        <v>0</v>
      </c>
      <c r="O6">
        <f t="shared" si="7"/>
        <v>0</v>
      </c>
    </row>
    <row r="7" spans="1:15" x14ac:dyDescent="0.3">
      <c r="A7" s="9">
        <v>44546.527303240742</v>
      </c>
      <c r="B7" t="s">
        <v>15</v>
      </c>
      <c r="C7" t="s">
        <v>16</v>
      </c>
      <c r="D7" t="s">
        <v>18</v>
      </c>
      <c r="E7">
        <v>1000</v>
      </c>
      <c r="F7">
        <v>125.96</v>
      </c>
      <c r="G7" t="s">
        <v>19</v>
      </c>
      <c r="H7" s="3">
        <f t="shared" si="0"/>
        <v>125960</v>
      </c>
      <c r="I7" s="3">
        <f t="shared" si="1"/>
        <v>125960</v>
      </c>
      <c r="J7">
        <f t="shared" si="2"/>
        <v>20</v>
      </c>
      <c r="K7" s="4">
        <f t="shared" si="3"/>
        <v>3.7787999999999999</v>
      </c>
      <c r="L7" s="4">
        <f t="shared" si="4"/>
        <v>4.2801840000000002</v>
      </c>
      <c r="M7">
        <f t="shared" si="5"/>
        <v>31.49</v>
      </c>
      <c r="N7">
        <f t="shared" si="6"/>
        <v>0</v>
      </c>
      <c r="O7">
        <f t="shared" si="7"/>
        <v>59.548984000000004</v>
      </c>
    </row>
    <row r="8" spans="1:15" x14ac:dyDescent="0.3">
      <c r="A8" s="9">
        <v>44546.520243055558</v>
      </c>
      <c r="B8" t="s">
        <v>14</v>
      </c>
      <c r="C8" t="s">
        <v>16</v>
      </c>
      <c r="D8" t="s">
        <v>18</v>
      </c>
      <c r="E8">
        <v>2000</v>
      </c>
      <c r="F8">
        <v>125.7</v>
      </c>
      <c r="G8" t="s">
        <v>19</v>
      </c>
      <c r="H8" s="3">
        <f t="shared" si="0"/>
        <v>251400</v>
      </c>
      <c r="I8" s="3">
        <f t="shared" si="1"/>
        <v>-251400</v>
      </c>
      <c r="J8">
        <f t="shared" si="2"/>
        <v>20</v>
      </c>
      <c r="K8" s="4">
        <f t="shared" si="3"/>
        <v>7.5420000000000007</v>
      </c>
      <c r="L8" s="4">
        <f t="shared" si="4"/>
        <v>4.95756</v>
      </c>
      <c r="M8">
        <f t="shared" si="5"/>
        <v>0</v>
      </c>
      <c r="N8">
        <f t="shared" si="6"/>
        <v>7.5420000000000007</v>
      </c>
      <c r="O8">
        <f t="shared" si="7"/>
        <v>40.041560000000004</v>
      </c>
    </row>
    <row r="9" spans="1:15" x14ac:dyDescent="0.3">
      <c r="A9" s="9">
        <v>44546.473981481482</v>
      </c>
      <c r="B9" t="s">
        <v>15</v>
      </c>
      <c r="C9" t="s">
        <v>16</v>
      </c>
      <c r="D9" t="s">
        <v>18</v>
      </c>
      <c r="E9">
        <v>2000</v>
      </c>
      <c r="F9">
        <v>125.95</v>
      </c>
      <c r="G9" t="s">
        <v>19</v>
      </c>
      <c r="H9" s="3">
        <f t="shared" si="0"/>
        <v>251900</v>
      </c>
      <c r="I9" s="3">
        <f t="shared" si="1"/>
        <v>251900</v>
      </c>
      <c r="J9">
        <f t="shared" si="2"/>
        <v>20</v>
      </c>
      <c r="K9" s="4">
        <f t="shared" si="3"/>
        <v>7.5570000000000004</v>
      </c>
      <c r="L9" s="4">
        <f t="shared" si="4"/>
        <v>4.9602600000000008</v>
      </c>
      <c r="M9">
        <f t="shared" si="5"/>
        <v>62.975000000000001</v>
      </c>
      <c r="N9">
        <f t="shared" si="6"/>
        <v>0</v>
      </c>
      <c r="O9">
        <f t="shared" si="7"/>
        <v>95.492260000000002</v>
      </c>
    </row>
    <row r="10" spans="1:15" x14ac:dyDescent="0.3">
      <c r="A10" s="9">
        <v>44546.449340277781</v>
      </c>
      <c r="B10" t="s">
        <v>15</v>
      </c>
      <c r="C10" t="s">
        <v>16</v>
      </c>
      <c r="D10" t="s">
        <v>18</v>
      </c>
      <c r="E10">
        <v>0</v>
      </c>
      <c r="F10">
        <v>124.45</v>
      </c>
      <c r="G10" t="s">
        <v>20</v>
      </c>
      <c r="H10" s="3">
        <f t="shared" si="0"/>
        <v>0</v>
      </c>
      <c r="I10" s="3">
        <f t="shared" si="1"/>
        <v>0</v>
      </c>
      <c r="J10">
        <f t="shared" si="2"/>
        <v>0</v>
      </c>
      <c r="K10" s="4">
        <f t="shared" si="3"/>
        <v>0</v>
      </c>
      <c r="L10" s="4">
        <f t="shared" si="4"/>
        <v>0</v>
      </c>
      <c r="M10">
        <f t="shared" si="5"/>
        <v>0</v>
      </c>
      <c r="N10">
        <f t="shared" si="6"/>
        <v>0</v>
      </c>
      <c r="O10">
        <f t="shared" si="7"/>
        <v>0</v>
      </c>
    </row>
    <row r="11" spans="1:15" x14ac:dyDescent="0.3">
      <c r="A11" s="9">
        <v>44546.449201388888</v>
      </c>
      <c r="B11" t="s">
        <v>15</v>
      </c>
      <c r="C11" t="s">
        <v>16</v>
      </c>
      <c r="D11" t="s">
        <v>18</v>
      </c>
      <c r="E11">
        <v>2000</v>
      </c>
      <c r="F11">
        <v>125.95</v>
      </c>
      <c r="G11" t="s">
        <v>19</v>
      </c>
      <c r="H11" s="3">
        <f t="shared" si="0"/>
        <v>251900</v>
      </c>
      <c r="I11" s="3">
        <f t="shared" si="1"/>
        <v>251900</v>
      </c>
      <c r="J11">
        <f t="shared" si="2"/>
        <v>20</v>
      </c>
      <c r="K11" s="4">
        <f t="shared" si="3"/>
        <v>7.5570000000000004</v>
      </c>
      <c r="L11" s="4">
        <f t="shared" si="4"/>
        <v>4.9602600000000008</v>
      </c>
      <c r="M11">
        <f t="shared" si="5"/>
        <v>62.975000000000001</v>
      </c>
      <c r="N11">
        <f t="shared" si="6"/>
        <v>0</v>
      </c>
      <c r="O11">
        <f t="shared" si="7"/>
        <v>95.492260000000002</v>
      </c>
    </row>
    <row r="12" spans="1:15" x14ac:dyDescent="0.3">
      <c r="A12" s="9">
        <v>44546.43341435185</v>
      </c>
      <c r="B12" t="s">
        <v>14</v>
      </c>
      <c r="C12" t="s">
        <v>16</v>
      </c>
      <c r="D12" t="s">
        <v>18</v>
      </c>
      <c r="E12">
        <v>1000</v>
      </c>
      <c r="F12">
        <v>125.6</v>
      </c>
      <c r="G12" t="s">
        <v>19</v>
      </c>
      <c r="H12" s="3">
        <f t="shared" si="0"/>
        <v>125600</v>
      </c>
      <c r="I12" s="3">
        <f t="shared" si="1"/>
        <v>-125600</v>
      </c>
      <c r="J12">
        <f t="shared" si="2"/>
        <v>20</v>
      </c>
      <c r="K12" s="4">
        <f t="shared" si="3"/>
        <v>3.7680000000000002</v>
      </c>
      <c r="L12" s="4">
        <f t="shared" si="4"/>
        <v>4.2782400000000003</v>
      </c>
      <c r="M12">
        <f t="shared" si="5"/>
        <v>0</v>
      </c>
      <c r="N12">
        <f t="shared" si="6"/>
        <v>3.7680000000000002</v>
      </c>
      <c r="O12">
        <f t="shared" si="7"/>
        <v>31.814240000000002</v>
      </c>
    </row>
    <row r="13" spans="1:15" x14ac:dyDescent="0.3">
      <c r="A13" s="9">
        <v>44546.433298611111</v>
      </c>
      <c r="B13" t="s">
        <v>14</v>
      </c>
      <c r="C13" t="s">
        <v>16</v>
      </c>
      <c r="D13" t="s">
        <v>18</v>
      </c>
      <c r="E13">
        <v>1000</v>
      </c>
      <c r="F13">
        <v>125.65</v>
      </c>
      <c r="G13" t="s">
        <v>19</v>
      </c>
      <c r="H13" s="3">
        <f t="shared" si="0"/>
        <v>125650</v>
      </c>
      <c r="I13" s="3">
        <f t="shared" si="1"/>
        <v>-125650</v>
      </c>
      <c r="J13">
        <f t="shared" si="2"/>
        <v>20</v>
      </c>
      <c r="K13" s="4">
        <f t="shared" si="3"/>
        <v>3.7694999999999999</v>
      </c>
      <c r="L13" s="4">
        <f t="shared" si="4"/>
        <v>4.2785099999999998</v>
      </c>
      <c r="M13">
        <f t="shared" si="5"/>
        <v>0</v>
      </c>
      <c r="N13">
        <f t="shared" si="6"/>
        <v>3.7694999999999999</v>
      </c>
      <c r="O13">
        <f t="shared" si="7"/>
        <v>31.817510000000002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79A26-D2B6-4C0D-8541-C137D74830F3}">
  <dimension ref="A1:E4"/>
  <sheetViews>
    <sheetView tabSelected="1" zoomScale="115" zoomScaleNormal="115" workbookViewId="0">
      <selection activeCell="D16" sqref="D16"/>
    </sheetView>
  </sheetViews>
  <sheetFormatPr defaultRowHeight="14.4" x14ac:dyDescent="0.3"/>
  <cols>
    <col min="1" max="1" width="12.5546875" bestFit="1" customWidth="1"/>
    <col min="2" max="2" width="11.21875" customWidth="1"/>
    <col min="3" max="3" width="14.21875" customWidth="1"/>
    <col min="4" max="4" width="9.6640625" customWidth="1"/>
    <col min="5" max="5" width="11" customWidth="1"/>
  </cols>
  <sheetData>
    <row r="1" spans="1:5" x14ac:dyDescent="0.3">
      <c r="A1" s="2" t="s">
        <v>2</v>
      </c>
      <c r="B1" s="1" t="s">
        <v>27</v>
      </c>
      <c r="C1" s="1" t="s">
        <v>13</v>
      </c>
      <c r="D1" s="1" t="s">
        <v>28</v>
      </c>
      <c r="E1" s="1" t="s">
        <v>29</v>
      </c>
    </row>
    <row r="2" spans="1:5" x14ac:dyDescent="0.3">
      <c r="A2" t="s">
        <v>16</v>
      </c>
      <c r="B2">
        <f>SUMIFS(Analysis!$I$1:$I$13,Analysis!$C$1:$C$13,Summaryy!$A2)</f>
        <v>1410</v>
      </c>
      <c r="C2">
        <f>SUMIFS(Analysis!$O$1:$O$13,Analysis!$C$1:$C$13,Summaryy!$A2)</f>
        <v>386.02759400000002</v>
      </c>
      <c r="D2">
        <f>B2-C2</f>
        <v>1023.972406</v>
      </c>
      <c r="E2" s="5">
        <f>(C2/B2)</f>
        <v>0.2737784354609929</v>
      </c>
    </row>
    <row r="3" spans="1:5" x14ac:dyDescent="0.3">
      <c r="A3" t="s">
        <v>17</v>
      </c>
      <c r="B3">
        <f>SUMIFS(Analysis!$I$1:$I$13,Analysis!$C$1:$C$13,Summaryy!$A3)</f>
        <v>387.5</v>
      </c>
      <c r="C3">
        <f>SUMIFS(Analysis!$O$1:$O$13,Analysis!$C$1:$C$13,Summaryy!$A3)</f>
        <v>90.331827500000003</v>
      </c>
      <c r="D3">
        <f>B3-C3</f>
        <v>297.16817249999997</v>
      </c>
      <c r="E3" s="5">
        <f>(C3/B3)</f>
        <v>0.23311439354838712</v>
      </c>
    </row>
    <row r="4" spans="1:5" x14ac:dyDescent="0.3">
      <c r="A4" s="6" t="s">
        <v>7</v>
      </c>
      <c r="B4" s="1">
        <f>SUM(B2:B3)</f>
        <v>1797.5</v>
      </c>
      <c r="C4" s="1">
        <f t="shared" ref="C4:E4" si="0">SUM(C2:C3)</f>
        <v>476.35942150000005</v>
      </c>
      <c r="D4" s="1">
        <f t="shared" si="0"/>
        <v>1321.1405784999999</v>
      </c>
      <c r="E4" s="7">
        <f t="shared" si="0"/>
        <v>0.50689282900938004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Analysis</vt:lpstr>
      <vt:lpstr>Summaryy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2022-04-25T11:29:19Z</dcterms:created>
  <dcterms:modified xsi:type="dcterms:W3CDTF">2023-04-24T08:31:05Z</dcterms:modified>
</cp:coreProperties>
</file>