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5600" windowHeight="9855" tabRatio="890" activeTab="8"/>
  </bookViews>
  <sheets>
    <sheet name="계산(예제)" sheetId="1" r:id="rId1"/>
    <sheet name="계산(결과)" sheetId="4" r:id="rId2"/>
    <sheet name="날짜1(예제)" sheetId="2" r:id="rId3"/>
    <sheet name="날짜1(결과)" sheetId="5" r:id="rId4"/>
    <sheet name="날짜2(예제)" sheetId="3" r:id="rId5"/>
    <sheet name="날짜2(결과)" sheetId="6" r:id="rId6"/>
    <sheet name="논리(예제)" sheetId="7" r:id="rId7"/>
    <sheet name="논리(결과)" sheetId="8" r:id="rId8"/>
    <sheet name="데이터베이스(예제)" sheetId="9" r:id="rId9"/>
    <sheet name="데이터베이스(결과)" sheetId="11" r:id="rId10"/>
    <sheet name="문자열1(예제)" sheetId="10" r:id="rId11"/>
    <sheet name="문자열1(결과)" sheetId="12" r:id="rId12"/>
    <sheet name="문자열2(예제)" sheetId="13" r:id="rId13"/>
    <sheet name="문자열2(결과)" sheetId="14" r:id="rId14"/>
    <sheet name="문자열3(예제)" sheetId="15" r:id="rId15"/>
    <sheet name="문자열3(결과)" sheetId="16" r:id="rId16"/>
    <sheet name="수학1(예제)" sheetId="17" r:id="rId17"/>
    <sheet name="수학1(결과)" sheetId="23" r:id="rId18"/>
    <sheet name="수학2(예제)" sheetId="18" r:id="rId19"/>
    <sheet name="수학2(결과)" sheetId="19" r:id="rId20"/>
    <sheet name="통계1(예제)" sheetId="20" r:id="rId21"/>
    <sheet name="통계1(결과)" sheetId="24" r:id="rId22"/>
    <sheet name="통계2(예제)" sheetId="21" r:id="rId23"/>
    <sheet name="통계2(결과)" sheetId="25" r:id="rId24"/>
    <sheet name="통계3(예제)" sheetId="37" r:id="rId25"/>
    <sheet name="통계3(결과)" sheetId="22" r:id="rId26"/>
    <sheet name="찾기1(예제)" sheetId="36" r:id="rId27"/>
    <sheet name="찾기1(결과)" sheetId="35" r:id="rId28"/>
    <sheet name="찾기2(예제)" sheetId="32" r:id="rId29"/>
    <sheet name="찾기2(결과)" sheetId="26" r:id="rId30"/>
    <sheet name="실습1(예제)" sheetId="31" r:id="rId31"/>
    <sheet name="실습1(결과)" sheetId="27" r:id="rId32"/>
    <sheet name="실습2(예제)" sheetId="30" r:id="rId33"/>
    <sheet name="실습2(결과)" sheetId="28" r:id="rId34"/>
  </sheets>
  <calcPr calcId="145621"/>
</workbook>
</file>

<file path=xl/calcChain.xml><?xml version="1.0" encoding="utf-8"?>
<calcChain xmlns="http://schemas.openxmlformats.org/spreadsheetml/2006/main">
  <c r="H37" i="9" l="1"/>
  <c r="C37" i="9"/>
  <c r="F24" i="9"/>
  <c r="C24" i="9"/>
  <c r="B24" i="9"/>
  <c r="I12" i="9"/>
  <c r="D12" i="9"/>
  <c r="D27" i="7"/>
  <c r="D28" i="7"/>
  <c r="D29" i="7"/>
  <c r="D30" i="7"/>
  <c r="D31" i="7"/>
  <c r="D32" i="7"/>
  <c r="D33" i="7"/>
  <c r="D34" i="7"/>
  <c r="J16" i="7"/>
  <c r="J17" i="7"/>
  <c r="J18" i="7"/>
  <c r="J19" i="7"/>
  <c r="J20" i="7"/>
  <c r="J21" i="7"/>
  <c r="J22" i="7"/>
  <c r="J23" i="7"/>
  <c r="D26" i="7"/>
  <c r="J15" i="7"/>
  <c r="D16" i="7"/>
  <c r="D17" i="7"/>
  <c r="D18" i="7"/>
  <c r="D19" i="7"/>
  <c r="D20" i="7"/>
  <c r="D21" i="7"/>
  <c r="D15" i="7"/>
  <c r="I4" i="7"/>
  <c r="I5" i="7"/>
  <c r="I6" i="7"/>
  <c r="I7" i="7"/>
  <c r="I8" i="7"/>
  <c r="I9" i="7"/>
  <c r="I3" i="7"/>
  <c r="D4" i="7"/>
  <c r="D5" i="7"/>
  <c r="D6" i="7"/>
  <c r="D7" i="7"/>
  <c r="D8" i="7"/>
  <c r="D9" i="7"/>
  <c r="D10" i="7"/>
  <c r="D11" i="7"/>
  <c r="D3" i="7"/>
  <c r="E5" i="3"/>
  <c r="E6" i="3"/>
  <c r="E7" i="3"/>
  <c r="E8" i="3"/>
  <c r="E9" i="3"/>
  <c r="E4" i="3"/>
  <c r="C22" i="3"/>
  <c r="C23" i="3"/>
  <c r="C24" i="3"/>
  <c r="C25" i="3"/>
  <c r="C26" i="3"/>
  <c r="C21" i="3"/>
  <c r="C14" i="3"/>
  <c r="C15" i="3"/>
  <c r="C16" i="3"/>
  <c r="C17" i="3"/>
  <c r="C13" i="3"/>
  <c r="D5" i="3"/>
  <c r="D6" i="3"/>
  <c r="D7" i="3"/>
  <c r="D8" i="3"/>
  <c r="D9" i="3"/>
  <c r="D4" i="3"/>
  <c r="B2" i="2"/>
  <c r="B5" i="2" s="1"/>
  <c r="B1" i="2"/>
  <c r="D23" i="1"/>
  <c r="D24" i="1"/>
  <c r="D25" i="1"/>
  <c r="D26" i="1"/>
  <c r="D27" i="1"/>
  <c r="D22" i="1"/>
  <c r="I13" i="1"/>
  <c r="I14" i="1"/>
  <c r="I15" i="1"/>
  <c r="I16" i="1"/>
  <c r="I17" i="1"/>
  <c r="I12" i="1"/>
  <c r="E17" i="1"/>
  <c r="E14" i="1"/>
  <c r="E15" i="1"/>
  <c r="E16" i="1"/>
  <c r="E13" i="1"/>
  <c r="D4" i="1"/>
  <c r="D5" i="1"/>
  <c r="D6" i="1"/>
  <c r="D7" i="1"/>
  <c r="I4" i="1"/>
  <c r="I5" i="1"/>
  <c r="I6" i="1"/>
  <c r="I7" i="1"/>
  <c r="I3" i="1"/>
  <c r="D3" i="1"/>
  <c r="B1" i="5"/>
  <c r="B2" i="5"/>
  <c r="M10" i="35"/>
  <c r="M9" i="35"/>
  <c r="M8" i="35"/>
  <c r="M7" i="35"/>
  <c r="M6" i="35"/>
  <c r="M5" i="35"/>
  <c r="M4" i="35"/>
  <c r="M3" i="35"/>
  <c r="B13" i="2" l="1"/>
  <c r="B10" i="2"/>
  <c r="B9" i="2"/>
  <c r="B8" i="2"/>
  <c r="B7" i="2"/>
  <c r="B6" i="2"/>
  <c r="D16" i="8"/>
  <c r="D17" i="8"/>
  <c r="D18" i="8"/>
  <c r="D19" i="8"/>
  <c r="D20" i="8"/>
  <c r="D21" i="8"/>
  <c r="D15" i="8"/>
  <c r="K12" i="22"/>
  <c r="K9" i="22"/>
  <c r="K6" i="22"/>
  <c r="K3" i="22"/>
  <c r="J23" i="35"/>
  <c r="D23" i="35"/>
  <c r="J22" i="35"/>
  <c r="D22" i="35"/>
  <c r="J21" i="35"/>
  <c r="D21" i="35"/>
  <c r="J20" i="35"/>
  <c r="D20" i="35"/>
  <c r="J19" i="35"/>
  <c r="D19" i="35"/>
  <c r="J18" i="35"/>
  <c r="D18" i="35"/>
  <c r="J17" i="35"/>
  <c r="J16" i="35"/>
  <c r="I10" i="35"/>
  <c r="D10" i="35"/>
  <c r="D9" i="35"/>
  <c r="D8" i="35"/>
  <c r="D7" i="35"/>
  <c r="D6" i="35"/>
  <c r="D5" i="35"/>
  <c r="D4" i="35"/>
  <c r="D3" i="35"/>
  <c r="E13" i="26"/>
  <c r="E12" i="26"/>
  <c r="E11" i="26"/>
  <c r="E10" i="26"/>
  <c r="B8" i="26"/>
  <c r="B7" i="26"/>
  <c r="B6" i="26"/>
  <c r="B5" i="26"/>
  <c r="B4" i="26"/>
  <c r="F3" i="26"/>
  <c r="E3" i="26"/>
  <c r="D3" i="26"/>
  <c r="C3" i="26"/>
  <c r="E30" i="27"/>
  <c r="D30" i="27"/>
  <c r="C30" i="27"/>
  <c r="B30" i="27"/>
  <c r="K20" i="27"/>
  <c r="J20" i="27"/>
  <c r="I20" i="27"/>
  <c r="H20" i="27"/>
  <c r="D20" i="27"/>
  <c r="D19" i="27"/>
  <c r="D18" i="27"/>
  <c r="D17" i="27"/>
  <c r="D16" i="27"/>
  <c r="D15" i="27"/>
  <c r="D14" i="27"/>
  <c r="E9" i="27"/>
  <c r="J8" i="27"/>
  <c r="E8" i="27"/>
  <c r="J7" i="27"/>
  <c r="E7" i="27"/>
  <c r="J6" i="27"/>
  <c r="E6" i="27"/>
  <c r="J5" i="27"/>
  <c r="E5" i="27"/>
  <c r="J4" i="27"/>
  <c r="E4" i="27"/>
  <c r="J3" i="27"/>
  <c r="E3" i="27"/>
  <c r="E35" i="30"/>
  <c r="E34" i="30"/>
  <c r="E33" i="30"/>
  <c r="E32" i="30"/>
  <c r="E31" i="30"/>
  <c r="E30" i="30"/>
  <c r="E29" i="30"/>
  <c r="K4" i="28"/>
  <c r="E35" i="28"/>
  <c r="E34" i="28"/>
  <c r="E33" i="28"/>
  <c r="E32" i="28"/>
  <c r="F31" i="28"/>
  <c r="E31" i="28"/>
  <c r="E30" i="28"/>
  <c r="E29" i="28"/>
  <c r="K27" i="28"/>
  <c r="K26" i="28"/>
  <c r="K25" i="28"/>
  <c r="K24" i="28"/>
  <c r="E24" i="28"/>
  <c r="K23" i="28"/>
  <c r="E23" i="28"/>
  <c r="K22" i="28"/>
  <c r="E22" i="28"/>
  <c r="K21" i="28"/>
  <c r="E21" i="28"/>
  <c r="K20" i="28"/>
  <c r="E20" i="28"/>
  <c r="E19" i="28"/>
  <c r="E18" i="28"/>
  <c r="E17" i="28"/>
  <c r="D13" i="28"/>
  <c r="K10" i="28"/>
  <c r="K9" i="28"/>
  <c r="K8" i="28"/>
  <c r="K7" i="28"/>
  <c r="K6" i="28"/>
  <c r="K5" i="28"/>
  <c r="B11" i="2" l="1"/>
  <c r="B12" i="2"/>
  <c r="K23" i="25"/>
  <c r="J23" i="25"/>
  <c r="I23" i="25"/>
  <c r="H23" i="25"/>
  <c r="D23" i="25"/>
  <c r="C23" i="25"/>
  <c r="B23" i="25"/>
  <c r="I5" i="25"/>
  <c r="D4" i="25"/>
  <c r="D31" i="24"/>
  <c r="C31" i="24"/>
  <c r="B31" i="24"/>
  <c r="D30" i="24"/>
  <c r="C30" i="24"/>
  <c r="B30" i="24"/>
  <c r="I20" i="24"/>
  <c r="C20" i="24"/>
  <c r="I19" i="24"/>
  <c r="C19" i="24"/>
  <c r="I18" i="24"/>
  <c r="I17" i="24"/>
  <c r="I16" i="24"/>
  <c r="I15" i="24"/>
  <c r="I14" i="24"/>
  <c r="I10" i="24"/>
  <c r="I9" i="24"/>
  <c r="I8" i="24"/>
  <c r="I7" i="24"/>
  <c r="E7" i="24"/>
  <c r="I6" i="24"/>
  <c r="E6" i="24"/>
  <c r="I5" i="24"/>
  <c r="E5" i="24"/>
  <c r="I4" i="24"/>
  <c r="E4" i="24"/>
  <c r="I3" i="24"/>
  <c r="E3" i="24"/>
  <c r="F19" i="19"/>
  <c r="E19" i="19"/>
  <c r="D19" i="19"/>
  <c r="C19" i="19"/>
  <c r="G15" i="19"/>
  <c r="G14" i="19"/>
  <c r="G13" i="19"/>
  <c r="H19" i="19" s="1"/>
  <c r="G12" i="19"/>
  <c r="G11" i="19"/>
  <c r="G10" i="19"/>
  <c r="G9" i="19"/>
  <c r="D6" i="19"/>
  <c r="H4" i="19"/>
  <c r="D4" i="19"/>
  <c r="H2" i="19"/>
  <c r="D2" i="19"/>
  <c r="G15" i="18"/>
  <c r="G14" i="18"/>
  <c r="G13" i="18"/>
  <c r="G12" i="18"/>
  <c r="G11" i="18"/>
  <c r="G10" i="18"/>
  <c r="G9" i="18"/>
  <c r="C17" i="23" l="1"/>
  <c r="D17" i="23"/>
  <c r="C18" i="23"/>
  <c r="D18" i="23"/>
  <c r="C19" i="23"/>
  <c r="D19" i="23"/>
  <c r="D10" i="23"/>
  <c r="E10" i="23"/>
  <c r="F10" i="23"/>
  <c r="G10" i="23"/>
  <c r="D11" i="23"/>
  <c r="E11" i="23"/>
  <c r="F11" i="23"/>
  <c r="G11" i="23"/>
  <c r="D12" i="23"/>
  <c r="E12" i="23"/>
  <c r="F12" i="23"/>
  <c r="G12" i="23"/>
  <c r="D13" i="23"/>
  <c r="E13" i="23"/>
  <c r="F13" i="23"/>
  <c r="G13" i="23"/>
  <c r="C4" i="23"/>
  <c r="C5" i="23"/>
  <c r="C6" i="23"/>
  <c r="D16" i="23"/>
  <c r="C16" i="23"/>
  <c r="G9" i="23"/>
  <c r="F9" i="23"/>
  <c r="E9" i="23"/>
  <c r="D9" i="23"/>
  <c r="C3" i="23"/>
  <c r="C4" i="16"/>
  <c r="D4" i="16"/>
  <c r="C5" i="16"/>
  <c r="D5" i="16"/>
  <c r="C6" i="16"/>
  <c r="D6" i="16"/>
  <c r="C7" i="16"/>
  <c r="D7" i="16"/>
  <c r="D3" i="16"/>
  <c r="C3" i="16"/>
  <c r="C4" i="14"/>
  <c r="D4" i="14"/>
  <c r="E4" i="14"/>
  <c r="F4" i="14"/>
  <c r="C5" i="14"/>
  <c r="D5" i="14"/>
  <c r="E5" i="14"/>
  <c r="F5" i="14"/>
  <c r="C6" i="14"/>
  <c r="D6" i="14"/>
  <c r="E6" i="14"/>
  <c r="F6" i="14"/>
  <c r="C7" i="14"/>
  <c r="D7" i="14"/>
  <c r="E7" i="14"/>
  <c r="F7" i="14"/>
  <c r="F3" i="14"/>
  <c r="E3" i="14"/>
  <c r="D3" i="14"/>
  <c r="C3" i="14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F3" i="12"/>
  <c r="E3" i="12"/>
  <c r="D4" i="12"/>
  <c r="D5" i="12"/>
  <c r="D6" i="12"/>
  <c r="D7" i="12"/>
  <c r="D8" i="12"/>
  <c r="D9" i="12"/>
  <c r="D10" i="12"/>
  <c r="D11" i="12"/>
  <c r="D12" i="12"/>
  <c r="D13" i="12"/>
  <c r="D3" i="12"/>
  <c r="C37" i="11"/>
  <c r="F24" i="11"/>
  <c r="C24" i="11"/>
  <c r="B24" i="11"/>
  <c r="D12" i="11"/>
  <c r="I34" i="11"/>
  <c r="I33" i="11"/>
  <c r="I32" i="11"/>
  <c r="I31" i="11"/>
  <c r="I30" i="11"/>
  <c r="I29" i="11"/>
  <c r="I28" i="11"/>
  <c r="I10" i="11"/>
  <c r="I9" i="11"/>
  <c r="I8" i="11"/>
  <c r="I7" i="11"/>
  <c r="I6" i="11"/>
  <c r="I5" i="11"/>
  <c r="I4" i="11"/>
  <c r="I3" i="11"/>
  <c r="I12" i="11" s="1"/>
  <c r="I34" i="9"/>
  <c r="I33" i="9"/>
  <c r="I32" i="9"/>
  <c r="I31" i="9"/>
  <c r="I30" i="9"/>
  <c r="I29" i="9"/>
  <c r="I28" i="9"/>
  <c r="I10" i="9"/>
  <c r="I9" i="9"/>
  <c r="I8" i="9"/>
  <c r="I7" i="9"/>
  <c r="I6" i="9"/>
  <c r="I5" i="9"/>
  <c r="I4" i="9"/>
  <c r="I3" i="9"/>
  <c r="H37" i="11" l="1"/>
  <c r="D27" i="8"/>
  <c r="D28" i="8"/>
  <c r="D29" i="8"/>
  <c r="D30" i="8"/>
  <c r="D31" i="8"/>
  <c r="D32" i="8"/>
  <c r="D33" i="8"/>
  <c r="D34" i="8"/>
  <c r="D26" i="8"/>
  <c r="J16" i="8"/>
  <c r="J17" i="8"/>
  <c r="J18" i="8"/>
  <c r="J19" i="8"/>
  <c r="J20" i="8"/>
  <c r="J21" i="8"/>
  <c r="J22" i="8"/>
  <c r="J23" i="8"/>
  <c r="J15" i="8"/>
  <c r="I4" i="8"/>
  <c r="I5" i="8"/>
  <c r="I6" i="8"/>
  <c r="I7" i="8"/>
  <c r="I8" i="8"/>
  <c r="I9" i="8"/>
  <c r="I3" i="8"/>
  <c r="D4" i="8"/>
  <c r="D5" i="8"/>
  <c r="D6" i="8"/>
  <c r="D7" i="8"/>
  <c r="D8" i="8"/>
  <c r="D9" i="8"/>
  <c r="D10" i="8"/>
  <c r="D11" i="8"/>
  <c r="D3" i="8"/>
  <c r="C22" i="6"/>
  <c r="C23" i="6"/>
  <c r="C24" i="6"/>
  <c r="C25" i="6"/>
  <c r="C26" i="6"/>
  <c r="C14" i="6"/>
  <c r="C15" i="6"/>
  <c r="C16" i="6"/>
  <c r="C17" i="6"/>
  <c r="C21" i="6"/>
  <c r="C13" i="6"/>
  <c r="D5" i="6"/>
  <c r="E5" i="6"/>
  <c r="D6" i="6"/>
  <c r="E6" i="6"/>
  <c r="D7" i="6"/>
  <c r="E7" i="6"/>
  <c r="D8" i="6"/>
  <c r="E8" i="6"/>
  <c r="D9" i="6"/>
  <c r="E9" i="6"/>
  <c r="E4" i="6"/>
  <c r="D4" i="6"/>
  <c r="B5" i="5"/>
  <c r="D23" i="4"/>
  <c r="D24" i="4"/>
  <c r="D25" i="4"/>
  <c r="D26" i="4"/>
  <c r="D27" i="4"/>
  <c r="D22" i="4"/>
  <c r="I13" i="4"/>
  <c r="I14" i="4"/>
  <c r="I15" i="4"/>
  <c r="I16" i="4"/>
  <c r="I17" i="4"/>
  <c r="I12" i="4"/>
  <c r="E14" i="4"/>
  <c r="E15" i="4"/>
  <c r="E16" i="4"/>
  <c r="E17" i="4"/>
  <c r="E13" i="4"/>
  <c r="B9" i="5" l="1"/>
  <c r="B13" i="5"/>
  <c r="B7" i="5"/>
  <c r="B8" i="5"/>
  <c r="B6" i="5"/>
  <c r="B10" i="5"/>
  <c r="B11" i="5" l="1"/>
  <c r="B12" i="5"/>
  <c r="G8" i="4" l="1"/>
  <c r="I7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G8" i="1"/>
  <c r="C8" i="1"/>
  <c r="C7" i="1"/>
  <c r="C6" i="1"/>
  <c r="C5" i="1"/>
  <c r="C4" i="1"/>
  <c r="C3" i="1"/>
  <c r="I6" i="4" l="1"/>
  <c r="I5" i="4"/>
  <c r="I4" i="4"/>
  <c r="I3" i="4"/>
</calcChain>
</file>

<file path=xl/sharedStrings.xml><?xml version="1.0" encoding="utf-8"?>
<sst xmlns="http://schemas.openxmlformats.org/spreadsheetml/2006/main" count="1884" uniqueCount="963">
  <si>
    <t>품목별 판매 현황</t>
  </si>
  <si>
    <t>고공 낙하 회수별 인원</t>
  </si>
  <si>
    <t>펜던트 판매 현황</t>
  </si>
  <si>
    <t>사원별 수당지급현황</t>
  </si>
  <si>
    <t>도서 포인트 관리</t>
  </si>
  <si>
    <t xml:space="preserve">[표1] </t>
    <phoneticPr fontId="3" type="noConversion"/>
  </si>
  <si>
    <t xml:space="preserve">[표2] </t>
    <phoneticPr fontId="3" type="noConversion"/>
  </si>
  <si>
    <t>품목명</t>
    <phoneticPr fontId="3" type="noConversion"/>
  </si>
  <si>
    <t>판매수량</t>
    <phoneticPr fontId="3" type="noConversion"/>
  </si>
  <si>
    <t>판매금액</t>
    <phoneticPr fontId="3" type="noConversion"/>
  </si>
  <si>
    <t>이익금액</t>
    <phoneticPr fontId="3" type="noConversion"/>
  </si>
  <si>
    <t>낙하회수</t>
    <phoneticPr fontId="3" type="noConversion"/>
  </si>
  <si>
    <t>인원수</t>
    <phoneticPr fontId="3" type="noConversion"/>
  </si>
  <si>
    <t>누적인원수</t>
    <phoneticPr fontId="3" type="noConversion"/>
  </si>
  <si>
    <t>누계비율</t>
    <phoneticPr fontId="3" type="noConversion"/>
  </si>
  <si>
    <t>샤프</t>
    <phoneticPr fontId="3" type="noConversion"/>
  </si>
  <si>
    <t>3000이상</t>
    <phoneticPr fontId="3" type="noConversion"/>
  </si>
  <si>
    <t>연필</t>
    <phoneticPr fontId="3" type="noConversion"/>
  </si>
  <si>
    <t>1000이상</t>
    <phoneticPr fontId="3" type="noConversion"/>
  </si>
  <si>
    <t>만년필</t>
    <phoneticPr fontId="3" type="noConversion"/>
  </si>
  <si>
    <t>500이상</t>
    <phoneticPr fontId="3" type="noConversion"/>
  </si>
  <si>
    <t>색연필</t>
    <phoneticPr fontId="3" type="noConversion"/>
  </si>
  <si>
    <t>100이상</t>
    <phoneticPr fontId="3" type="noConversion"/>
  </si>
  <si>
    <t>볼펜</t>
    <phoneticPr fontId="3" type="noConversion"/>
  </si>
  <si>
    <t>10이상</t>
    <phoneticPr fontId="3" type="noConversion"/>
  </si>
  <si>
    <t>플러스펜</t>
    <phoneticPr fontId="3" type="noConversion"/>
  </si>
  <si>
    <t>합계</t>
    <phoneticPr fontId="3" type="noConversion"/>
  </si>
  <si>
    <t>마진율</t>
    <phoneticPr fontId="3" type="noConversion"/>
  </si>
  <si>
    <t xml:space="preserve">[표4] </t>
    <phoneticPr fontId="3" type="noConversion"/>
  </si>
  <si>
    <t xml:space="preserve">[표3] </t>
    <phoneticPr fontId="3" type="noConversion"/>
  </si>
  <si>
    <t>월</t>
    <phoneticPr fontId="3" type="noConversion"/>
  </si>
  <si>
    <t>판매량</t>
    <phoneticPr fontId="3" type="noConversion"/>
  </si>
  <si>
    <t>매출총액</t>
    <phoneticPr fontId="3" type="noConversion"/>
  </si>
  <si>
    <t>성명</t>
    <phoneticPr fontId="3" type="noConversion"/>
  </si>
  <si>
    <t>근무년수</t>
    <phoneticPr fontId="3" type="noConversion"/>
  </si>
  <si>
    <t>기본급</t>
    <phoneticPr fontId="3" type="noConversion"/>
  </si>
  <si>
    <t>상여비율</t>
    <phoneticPr fontId="3" type="noConversion"/>
  </si>
  <si>
    <t>수당</t>
    <phoneticPr fontId="3" type="noConversion"/>
  </si>
  <si>
    <t>1월</t>
    <phoneticPr fontId="3" type="noConversion"/>
  </si>
  <si>
    <t>홍기재</t>
    <phoneticPr fontId="3" type="noConversion"/>
  </si>
  <si>
    <t>2월</t>
    <phoneticPr fontId="3" type="noConversion"/>
  </si>
  <si>
    <t>이민찬</t>
    <phoneticPr fontId="3" type="noConversion"/>
  </si>
  <si>
    <t>3월</t>
    <phoneticPr fontId="3" type="noConversion"/>
  </si>
  <si>
    <t>가영수</t>
    <phoneticPr fontId="3" type="noConversion"/>
  </si>
  <si>
    <t>4월</t>
    <phoneticPr fontId="3" type="noConversion"/>
  </si>
  <si>
    <t>류민완</t>
    <phoneticPr fontId="3" type="noConversion"/>
  </si>
  <si>
    <t>5월</t>
    <phoneticPr fontId="3" type="noConversion"/>
  </si>
  <si>
    <t>강술래</t>
    <phoneticPr fontId="3" type="noConversion"/>
  </si>
  <si>
    <t>6월</t>
    <phoneticPr fontId="3" type="noConversion"/>
  </si>
  <si>
    <t>추가 상여율</t>
    <phoneticPr fontId="3" type="noConversion"/>
  </si>
  <si>
    <t>단가</t>
    <phoneticPr fontId="3" type="noConversion"/>
  </si>
  <si>
    <t>할인율</t>
    <phoneticPr fontId="3" type="noConversion"/>
  </si>
  <si>
    <t xml:space="preserve">[표5] </t>
    <phoneticPr fontId="3" type="noConversion"/>
  </si>
  <si>
    <t>대출자</t>
    <phoneticPr fontId="3" type="noConversion"/>
  </si>
  <si>
    <t>대출권수</t>
    <phoneticPr fontId="3" type="noConversion"/>
  </si>
  <si>
    <t>연체권수</t>
    <phoneticPr fontId="3" type="noConversion"/>
  </si>
  <si>
    <t>포인트 총계</t>
    <phoneticPr fontId="3" type="noConversion"/>
  </si>
  <si>
    <t>이원섭</t>
    <phoneticPr fontId="3" type="noConversion"/>
  </si>
  <si>
    <t>최준기</t>
    <phoneticPr fontId="3" type="noConversion"/>
  </si>
  <si>
    <t>구현서</t>
    <phoneticPr fontId="3" type="noConversion"/>
  </si>
  <si>
    <t>안유경</t>
    <phoneticPr fontId="3" type="noConversion"/>
  </si>
  <si>
    <t>강흥석</t>
    <phoneticPr fontId="3" type="noConversion"/>
  </si>
  <si>
    <t>조용욱</t>
    <phoneticPr fontId="3" type="noConversion"/>
  </si>
  <si>
    <t>대출포인트</t>
    <phoneticPr fontId="3" type="noConversion"/>
  </si>
  <si>
    <t>연체포인트</t>
    <phoneticPr fontId="3" type="noConversion"/>
  </si>
  <si>
    <t>오늘의 날짜</t>
    <phoneticPr fontId="3" type="noConversion"/>
  </si>
  <si>
    <t>오늘의 날짜와 시간</t>
    <phoneticPr fontId="3" type="noConversion"/>
  </si>
  <si>
    <t>표시 부분</t>
    <phoneticPr fontId="3" type="noConversion"/>
  </si>
  <si>
    <t>결과</t>
    <phoneticPr fontId="3" type="noConversion"/>
  </si>
  <si>
    <t>연도(YEAR)</t>
    <phoneticPr fontId="3" type="noConversion"/>
  </si>
  <si>
    <t>월(MONTH)</t>
    <phoneticPr fontId="3" type="noConversion"/>
  </si>
  <si>
    <t>일(DAY)</t>
    <phoneticPr fontId="3" type="noConversion"/>
  </si>
  <si>
    <t>시(HOUR)</t>
    <phoneticPr fontId="3" type="noConversion"/>
  </si>
  <si>
    <t>분(MINUTE)</t>
    <phoneticPr fontId="3" type="noConversion"/>
  </si>
  <si>
    <t>초(SECOND)</t>
    <phoneticPr fontId="3" type="noConversion"/>
  </si>
  <si>
    <t>날짜(DATE)</t>
    <phoneticPr fontId="3" type="noConversion"/>
  </si>
  <si>
    <t>시간(TIME)</t>
    <phoneticPr fontId="3" type="noConversion"/>
  </si>
  <si>
    <t>요일(WEEKDAY)</t>
    <phoneticPr fontId="3" type="noConversion"/>
  </si>
  <si>
    <t>[표1]</t>
    <phoneticPr fontId="3" type="noConversion"/>
  </si>
  <si>
    <t>구입일</t>
    <phoneticPr fontId="3" type="noConversion"/>
  </si>
  <si>
    <t>구입품목</t>
    <phoneticPr fontId="3" type="noConversion"/>
  </si>
  <si>
    <t>가격</t>
    <phoneticPr fontId="3" type="noConversion"/>
  </si>
  <si>
    <t>결제일1(EDATE)</t>
    <phoneticPr fontId="3" type="noConversion"/>
  </si>
  <si>
    <t>결제일2(EOMONTH)</t>
    <phoneticPr fontId="3" type="noConversion"/>
  </si>
  <si>
    <t>침구청소기</t>
    <phoneticPr fontId="3" type="noConversion"/>
  </si>
  <si>
    <t>냉장고</t>
    <phoneticPr fontId="3" type="noConversion"/>
  </si>
  <si>
    <t>청소기</t>
    <phoneticPr fontId="3" type="noConversion"/>
  </si>
  <si>
    <t>제습기</t>
    <phoneticPr fontId="3" type="noConversion"/>
  </si>
  <si>
    <t>에어컨</t>
    <phoneticPr fontId="3" type="noConversion"/>
  </si>
  <si>
    <t>선풍기</t>
    <phoneticPr fontId="3" type="noConversion"/>
  </si>
  <si>
    <t>[표2]</t>
    <phoneticPr fontId="3" type="noConversion"/>
  </si>
  <si>
    <t>주문일</t>
    <phoneticPr fontId="3" type="noConversion"/>
  </si>
  <si>
    <t>배송기간</t>
    <phoneticPr fontId="3" type="noConversion"/>
  </si>
  <si>
    <t>배송 예정일</t>
    <phoneticPr fontId="3" type="noConversion"/>
  </si>
  <si>
    <t>[표3]</t>
    <phoneticPr fontId="3" type="noConversion"/>
  </si>
  <si>
    <t>대출일</t>
    <phoneticPr fontId="3" type="noConversion"/>
  </si>
  <si>
    <t>상환일</t>
    <phoneticPr fontId="3" type="noConversion"/>
  </si>
  <si>
    <t>대출 기간</t>
    <phoneticPr fontId="3" type="noConversion"/>
  </si>
  <si>
    <t>성명</t>
  </si>
  <si>
    <t>1-K001</t>
  </si>
  <si>
    <t>1-K002</t>
  </si>
  <si>
    <t>1-K003</t>
  </si>
  <si>
    <t>1-K004</t>
  </si>
  <si>
    <t>2-K001</t>
  </si>
  <si>
    <t>2-K002</t>
  </si>
  <si>
    <t>2-K003</t>
  </si>
  <si>
    <t>이세민</t>
  </si>
  <si>
    <t>이태건</t>
  </si>
  <si>
    <t>오유진</t>
  </si>
  <si>
    <t>김주원</t>
  </si>
  <si>
    <t>김슬기</t>
  </si>
  <si>
    <t>황지호</t>
  </si>
  <si>
    <t>임효진</t>
  </si>
  <si>
    <t>김종욱</t>
  </si>
  <si>
    <t>최혁재</t>
  </si>
  <si>
    <t>[표1]</t>
    <phoneticPr fontId="3" type="noConversion"/>
  </si>
  <si>
    <t>[표2]</t>
    <phoneticPr fontId="3" type="noConversion"/>
  </si>
  <si>
    <t>수험번호</t>
    <phoneticPr fontId="3" type="noConversion"/>
  </si>
  <si>
    <t>이름</t>
    <phoneticPr fontId="3" type="noConversion"/>
  </si>
  <si>
    <t>점수</t>
    <phoneticPr fontId="3" type="noConversion"/>
  </si>
  <si>
    <t>평가</t>
    <phoneticPr fontId="3" type="noConversion"/>
  </si>
  <si>
    <t>최종성적</t>
    <phoneticPr fontId="3" type="noConversion"/>
  </si>
  <si>
    <t>부서배치</t>
    <phoneticPr fontId="3" type="noConversion"/>
  </si>
  <si>
    <t>이나영</t>
    <phoneticPr fontId="3" type="noConversion"/>
  </si>
  <si>
    <t>오나라</t>
    <phoneticPr fontId="3" type="noConversion"/>
  </si>
  <si>
    <t>추영조</t>
    <phoneticPr fontId="3" type="noConversion"/>
  </si>
  <si>
    <t>유채화</t>
    <phoneticPr fontId="3" type="noConversion"/>
  </si>
  <si>
    <t>탁수민</t>
    <phoneticPr fontId="3" type="noConversion"/>
  </si>
  <si>
    <t>김사랑</t>
    <phoneticPr fontId="3" type="noConversion"/>
  </si>
  <si>
    <t>강전한</t>
    <phoneticPr fontId="3" type="noConversion"/>
  </si>
  <si>
    <t>한나리</t>
    <phoneticPr fontId="3" type="noConversion"/>
  </si>
  <si>
    <t>김이중</t>
    <phoneticPr fontId="3" type="noConversion"/>
  </si>
  <si>
    <t>조절해</t>
    <phoneticPr fontId="3" type="noConversion"/>
  </si>
  <si>
    <t>전대철</t>
    <phoneticPr fontId="3" type="noConversion"/>
  </si>
  <si>
    <t>사오정</t>
    <phoneticPr fontId="3" type="noConversion"/>
  </si>
  <si>
    <t>사은봉</t>
    <phoneticPr fontId="3" type="noConversion"/>
  </si>
  <si>
    <t>금나라</t>
    <phoneticPr fontId="3" type="noConversion"/>
  </si>
  <si>
    <t>노영철</t>
    <phoneticPr fontId="3" type="noConversion"/>
  </si>
  <si>
    <t>면도영</t>
    <phoneticPr fontId="3" type="noConversion"/>
  </si>
  <si>
    <t>[표3]</t>
    <phoneticPr fontId="3" type="noConversion"/>
  </si>
  <si>
    <t>[표4]</t>
    <phoneticPr fontId="3" type="noConversion"/>
  </si>
  <si>
    <t>직원코드</t>
    <phoneticPr fontId="3" type="noConversion"/>
  </si>
  <si>
    <t>근무년수</t>
    <phoneticPr fontId="3" type="noConversion"/>
  </si>
  <si>
    <t>판매부수</t>
    <phoneticPr fontId="3" type="noConversion"/>
  </si>
  <si>
    <t>승진여부</t>
    <phoneticPr fontId="3" type="noConversion"/>
  </si>
  <si>
    <t>연수번호</t>
    <phoneticPr fontId="3" type="noConversion"/>
  </si>
  <si>
    <t>성명</t>
    <phoneticPr fontId="3" type="noConversion"/>
  </si>
  <si>
    <t>컴일</t>
    <phoneticPr fontId="3" type="noConversion"/>
  </si>
  <si>
    <t>시트</t>
    <phoneticPr fontId="3" type="noConversion"/>
  </si>
  <si>
    <t>강구석</t>
    <phoneticPr fontId="3" type="noConversion"/>
  </si>
  <si>
    <t>이지나</t>
    <phoneticPr fontId="3" type="noConversion"/>
  </si>
  <si>
    <t>남인성</t>
    <phoneticPr fontId="3" type="noConversion"/>
  </si>
  <si>
    <t>오지혜</t>
    <phoneticPr fontId="3" type="noConversion"/>
  </si>
  <si>
    <t>류민철</t>
    <phoneticPr fontId="3" type="noConversion"/>
  </si>
  <si>
    <t>김동석</t>
    <phoneticPr fontId="3" type="noConversion"/>
  </si>
  <si>
    <t>사인구</t>
    <phoneticPr fontId="3" type="noConversion"/>
  </si>
  <si>
    <t>푸영아</t>
    <phoneticPr fontId="3" type="noConversion"/>
  </si>
  <si>
    <t>[표5]</t>
    <phoneticPr fontId="3" type="noConversion"/>
  </si>
  <si>
    <t>한남석</t>
    <phoneticPr fontId="3" type="noConversion"/>
  </si>
  <si>
    <t>기본급</t>
    <phoneticPr fontId="3" type="noConversion"/>
  </si>
  <si>
    <t>가족수당</t>
    <phoneticPr fontId="3" type="noConversion"/>
  </si>
  <si>
    <t>인원</t>
    <phoneticPr fontId="3" type="noConversion"/>
  </si>
  <si>
    <t>금액</t>
    <phoneticPr fontId="3" type="noConversion"/>
  </si>
  <si>
    <t>없음</t>
    <phoneticPr fontId="3" type="noConversion"/>
  </si>
  <si>
    <t>없음</t>
    <phoneticPr fontId="3" type="noConversion"/>
  </si>
  <si>
    <t>[표1]</t>
    <phoneticPr fontId="3" type="noConversion"/>
  </si>
  <si>
    <t>[표2]</t>
    <phoneticPr fontId="3" type="noConversion"/>
  </si>
  <si>
    <t>성명</t>
    <phoneticPr fontId="3" type="noConversion"/>
  </si>
  <si>
    <t>응시구분</t>
    <phoneticPr fontId="3" type="noConversion"/>
  </si>
  <si>
    <t>1차</t>
    <phoneticPr fontId="3" type="noConversion"/>
  </si>
  <si>
    <t>2차</t>
    <phoneticPr fontId="3" type="noConversion"/>
  </si>
  <si>
    <t>대리점</t>
    <phoneticPr fontId="3" type="noConversion"/>
  </si>
  <si>
    <t>단가</t>
    <phoneticPr fontId="3" type="noConversion"/>
  </si>
  <si>
    <t>출고수량</t>
    <phoneticPr fontId="3" type="noConversion"/>
  </si>
  <si>
    <t>판매금액</t>
    <phoneticPr fontId="3" type="noConversion"/>
  </si>
  <si>
    <t>한가람</t>
    <phoneticPr fontId="3" type="noConversion"/>
  </si>
  <si>
    <t>금성물산</t>
    <phoneticPr fontId="3" type="noConversion"/>
  </si>
  <si>
    <t>김은철</t>
    <phoneticPr fontId="3" type="noConversion"/>
  </si>
  <si>
    <t>우주상사</t>
    <phoneticPr fontId="3" type="noConversion"/>
  </si>
  <si>
    <t>고사리</t>
    <phoneticPr fontId="3" type="noConversion"/>
  </si>
  <si>
    <t>신안공업</t>
    <phoneticPr fontId="3" type="noConversion"/>
  </si>
  <si>
    <t>박은별</t>
    <phoneticPr fontId="3" type="noConversion"/>
  </si>
  <si>
    <t>삼성상사</t>
    <phoneticPr fontId="3" type="noConversion"/>
  </si>
  <si>
    <t>성준서</t>
    <phoneticPr fontId="3" type="noConversion"/>
  </si>
  <si>
    <t>이성연</t>
    <phoneticPr fontId="3" type="noConversion"/>
  </si>
  <si>
    <t>박한나</t>
    <phoneticPr fontId="3" type="noConversion"/>
  </si>
  <si>
    <t>이미리</t>
    <phoneticPr fontId="3" type="noConversion"/>
  </si>
  <si>
    <t>종로상사</t>
    <phoneticPr fontId="3" type="noConversion"/>
  </si>
  <si>
    <t>P-1의 1차 평균</t>
    <phoneticPr fontId="3" type="noConversion"/>
  </si>
  <si>
    <t>금성물산 판매금액 합계</t>
    <phoneticPr fontId="3" type="noConversion"/>
  </si>
  <si>
    <t>[표3]</t>
    <phoneticPr fontId="3" type="noConversion"/>
  </si>
  <si>
    <t>[표4]</t>
    <phoneticPr fontId="3" type="noConversion"/>
  </si>
  <si>
    <t>부서</t>
    <phoneticPr fontId="3" type="noConversion"/>
  </si>
  <si>
    <t>1/4분기</t>
    <phoneticPr fontId="3" type="noConversion"/>
  </si>
  <si>
    <t>2/4분기</t>
    <phoneticPr fontId="3" type="noConversion"/>
  </si>
  <si>
    <t>소속</t>
    <phoneticPr fontId="3" type="noConversion"/>
  </si>
  <si>
    <t>기사</t>
    <phoneticPr fontId="3" type="noConversion"/>
  </si>
  <si>
    <t>우승횟수</t>
    <phoneticPr fontId="3" type="noConversion"/>
  </si>
  <si>
    <t>준우승횟수</t>
    <phoneticPr fontId="3" type="noConversion"/>
  </si>
  <si>
    <t>김남이</t>
    <phoneticPr fontId="3" type="noConversion"/>
  </si>
  <si>
    <t>영업1부</t>
    <phoneticPr fontId="3" type="noConversion"/>
  </si>
  <si>
    <t>상공</t>
    <phoneticPr fontId="3" type="noConversion"/>
  </si>
  <si>
    <t>김기호</t>
    <phoneticPr fontId="3" type="noConversion"/>
  </si>
  <si>
    <t>이지영</t>
    <phoneticPr fontId="3" type="noConversion"/>
  </si>
  <si>
    <t>영업2부</t>
    <phoneticPr fontId="3" type="noConversion"/>
  </si>
  <si>
    <t>대한</t>
    <phoneticPr fontId="3" type="noConversion"/>
  </si>
  <si>
    <t>최종명</t>
    <phoneticPr fontId="3" type="noConversion"/>
  </si>
  <si>
    <t>하나미</t>
    <phoneticPr fontId="3" type="noConversion"/>
  </si>
  <si>
    <t>나필승</t>
    <phoneticPr fontId="3" type="noConversion"/>
  </si>
  <si>
    <t>임진태</t>
    <phoneticPr fontId="3" type="noConversion"/>
  </si>
  <si>
    <t>서울</t>
    <phoneticPr fontId="3" type="noConversion"/>
  </si>
  <si>
    <t>고대로</t>
    <phoneticPr fontId="3" type="noConversion"/>
  </si>
  <si>
    <t>현민대</t>
    <phoneticPr fontId="3" type="noConversion"/>
  </si>
  <si>
    <t>정상승</t>
    <phoneticPr fontId="3" type="noConversion"/>
  </si>
  <si>
    <t>한민국</t>
    <phoneticPr fontId="3" type="noConversion"/>
  </si>
  <si>
    <t>채고다</t>
    <phoneticPr fontId="3" type="noConversion"/>
  </si>
  <si>
    <t>대한팀 우승횟수</t>
    <phoneticPr fontId="3" type="noConversion"/>
  </si>
  <si>
    <t>[표5]</t>
    <phoneticPr fontId="3" type="noConversion"/>
  </si>
  <si>
    <t>[표6]</t>
    <phoneticPr fontId="3" type="noConversion"/>
  </si>
  <si>
    <t>학과</t>
    <phoneticPr fontId="3" type="noConversion"/>
  </si>
  <si>
    <t>학년</t>
    <phoneticPr fontId="3" type="noConversion"/>
  </si>
  <si>
    <t>평가점수</t>
    <phoneticPr fontId="3" type="noConversion"/>
  </si>
  <si>
    <t>직원코드</t>
    <phoneticPr fontId="3" type="noConversion"/>
  </si>
  <si>
    <t>1사분기</t>
    <phoneticPr fontId="3" type="noConversion"/>
  </si>
  <si>
    <t>2사분기</t>
    <phoneticPr fontId="3" type="noConversion"/>
  </si>
  <si>
    <t>상반기합계</t>
    <phoneticPr fontId="3" type="noConversion"/>
  </si>
  <si>
    <t>디자인</t>
    <phoneticPr fontId="3" type="noConversion"/>
  </si>
  <si>
    <t>고승수</t>
    <phoneticPr fontId="3" type="noConversion"/>
  </si>
  <si>
    <t>1-J001</t>
    <phoneticPr fontId="3" type="noConversion"/>
  </si>
  <si>
    <t>미디어</t>
    <phoneticPr fontId="3" type="noConversion"/>
  </si>
  <si>
    <t>구만리</t>
    <phoneticPr fontId="3" type="noConversion"/>
  </si>
  <si>
    <t>1-J002</t>
  </si>
  <si>
    <t>노상식</t>
    <phoneticPr fontId="3" type="noConversion"/>
  </si>
  <si>
    <t>1-J003</t>
  </si>
  <si>
    <t>나잘난</t>
    <phoneticPr fontId="3" type="noConversion"/>
  </si>
  <si>
    <t>1-J004</t>
  </si>
  <si>
    <t>마고수</t>
    <phoneticPr fontId="3" type="noConversion"/>
  </si>
  <si>
    <t>2-J001</t>
    <phoneticPr fontId="3" type="noConversion"/>
  </si>
  <si>
    <t>박흥철</t>
    <phoneticPr fontId="3" type="noConversion"/>
  </si>
  <si>
    <t>2-J002</t>
  </si>
  <si>
    <t>사수해</t>
    <phoneticPr fontId="3" type="noConversion"/>
  </si>
  <si>
    <t>2-J003</t>
  </si>
  <si>
    <t>50000~100000의 합</t>
    <phoneticPr fontId="3" type="noConversion"/>
  </si>
  <si>
    <t>[표1]</t>
    <phoneticPr fontId="3" type="noConversion"/>
  </si>
  <si>
    <t>[표2]</t>
    <phoneticPr fontId="3" type="noConversion"/>
  </si>
  <si>
    <t>성명</t>
    <phoneticPr fontId="3" type="noConversion"/>
  </si>
  <si>
    <t>응시구분</t>
    <phoneticPr fontId="3" type="noConversion"/>
  </si>
  <si>
    <t>1차</t>
    <phoneticPr fontId="3" type="noConversion"/>
  </si>
  <si>
    <t>2차</t>
    <phoneticPr fontId="3" type="noConversion"/>
  </si>
  <si>
    <t>대리점</t>
    <phoneticPr fontId="3" type="noConversion"/>
  </si>
  <si>
    <t>단가</t>
    <phoneticPr fontId="3" type="noConversion"/>
  </si>
  <si>
    <t>출고수량</t>
    <phoneticPr fontId="3" type="noConversion"/>
  </si>
  <si>
    <t>판매금액</t>
    <phoneticPr fontId="3" type="noConversion"/>
  </si>
  <si>
    <t>한가람</t>
    <phoneticPr fontId="3" type="noConversion"/>
  </si>
  <si>
    <r>
      <t>P</t>
    </r>
    <r>
      <rPr>
        <sz val="11"/>
        <color theme="1"/>
        <rFont val="맑은 고딕"/>
        <family val="3"/>
        <charset val="129"/>
        <scheme val="minor"/>
      </rPr>
      <t>-1</t>
    </r>
    <phoneticPr fontId="3" type="noConversion"/>
  </si>
  <si>
    <t>금성물산</t>
    <phoneticPr fontId="3" type="noConversion"/>
  </si>
  <si>
    <t>김은철</t>
    <phoneticPr fontId="3" type="noConversion"/>
  </si>
  <si>
    <r>
      <t>P</t>
    </r>
    <r>
      <rPr>
        <sz val="11"/>
        <color theme="1"/>
        <rFont val="맑은 고딕"/>
        <family val="3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</si>
  <si>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t>우주상사</t>
    <phoneticPr fontId="3" type="noConversion"/>
  </si>
  <si>
    <t>고사리</t>
    <phoneticPr fontId="3" type="noConversion"/>
  </si>
  <si>
    <t>신안공업</t>
    <phoneticPr fontId="3" type="noConversion"/>
  </si>
  <si>
    <t>박은별</t>
    <phoneticPr fontId="3" type="noConversion"/>
  </si>
  <si>
    <t>삼성상사</t>
    <phoneticPr fontId="3" type="noConversion"/>
  </si>
  <si>
    <t>성준서</t>
    <phoneticPr fontId="3" type="noConversion"/>
  </si>
  <si>
    <t>이성연</t>
    <phoneticPr fontId="3" type="noConversion"/>
  </si>
  <si>
    <t>박한나</t>
    <phoneticPr fontId="3" type="noConversion"/>
  </si>
  <si>
    <t>이미리</t>
    <phoneticPr fontId="3" type="noConversion"/>
  </si>
  <si>
    <t>종로상사</t>
    <phoneticPr fontId="3" type="noConversion"/>
  </si>
  <si>
    <t>P-1의 1차 평균</t>
    <phoneticPr fontId="3" type="noConversion"/>
  </si>
  <si>
    <t>금성물산 판매금액 합계</t>
    <phoneticPr fontId="3" type="noConversion"/>
  </si>
  <si>
    <t>[표3]</t>
    <phoneticPr fontId="3" type="noConversion"/>
  </si>
  <si>
    <t>[표4]</t>
    <phoneticPr fontId="3" type="noConversion"/>
  </si>
  <si>
    <t>부서</t>
    <phoneticPr fontId="3" type="noConversion"/>
  </si>
  <si>
    <t>1/4분기</t>
    <phoneticPr fontId="3" type="noConversion"/>
  </si>
  <si>
    <t>2/4분기</t>
    <phoneticPr fontId="3" type="noConversion"/>
  </si>
  <si>
    <t>소속</t>
    <phoneticPr fontId="3" type="noConversion"/>
  </si>
  <si>
    <t>기사</t>
    <phoneticPr fontId="3" type="noConversion"/>
  </si>
  <si>
    <t>우승횟수</t>
    <phoneticPr fontId="3" type="noConversion"/>
  </si>
  <si>
    <t>준우승횟수</t>
    <phoneticPr fontId="3" type="noConversion"/>
  </si>
  <si>
    <t>김남이</t>
    <phoneticPr fontId="3" type="noConversion"/>
  </si>
  <si>
    <t>영업1부</t>
    <phoneticPr fontId="3" type="noConversion"/>
  </si>
  <si>
    <t>상공</t>
    <phoneticPr fontId="3" type="noConversion"/>
  </si>
  <si>
    <t>김기호</t>
    <phoneticPr fontId="3" type="noConversion"/>
  </si>
  <si>
    <t>이지영</t>
    <phoneticPr fontId="3" type="noConversion"/>
  </si>
  <si>
    <t>영업2부</t>
    <phoneticPr fontId="3" type="noConversion"/>
  </si>
  <si>
    <t>대한</t>
    <phoneticPr fontId="3" type="noConversion"/>
  </si>
  <si>
    <t>최종명</t>
    <phoneticPr fontId="3" type="noConversion"/>
  </si>
  <si>
    <t>하나미</t>
    <phoneticPr fontId="3" type="noConversion"/>
  </si>
  <si>
    <t>나필승</t>
    <phoneticPr fontId="3" type="noConversion"/>
  </si>
  <si>
    <t>임진태</t>
    <phoneticPr fontId="3" type="noConversion"/>
  </si>
  <si>
    <t>서울</t>
    <phoneticPr fontId="3" type="noConversion"/>
  </si>
  <si>
    <t>고대로</t>
    <phoneticPr fontId="3" type="noConversion"/>
  </si>
  <si>
    <t>현민대</t>
    <phoneticPr fontId="3" type="noConversion"/>
  </si>
  <si>
    <t>정상승</t>
    <phoneticPr fontId="3" type="noConversion"/>
  </si>
  <si>
    <t>한민국</t>
    <phoneticPr fontId="3" type="noConversion"/>
  </si>
  <si>
    <t>채고다</t>
    <phoneticPr fontId="3" type="noConversion"/>
  </si>
  <si>
    <t>대한팀 우승횟수</t>
    <phoneticPr fontId="3" type="noConversion"/>
  </si>
  <si>
    <t>[표5]</t>
    <phoneticPr fontId="3" type="noConversion"/>
  </si>
  <si>
    <t>[표6]</t>
    <phoneticPr fontId="3" type="noConversion"/>
  </si>
  <si>
    <t>학과</t>
    <phoneticPr fontId="3" type="noConversion"/>
  </si>
  <si>
    <t>학년</t>
    <phoneticPr fontId="3" type="noConversion"/>
  </si>
  <si>
    <t>평가점수</t>
    <phoneticPr fontId="3" type="noConversion"/>
  </si>
  <si>
    <t>직원코드</t>
    <phoneticPr fontId="3" type="noConversion"/>
  </si>
  <si>
    <t>1사분기</t>
    <phoneticPr fontId="3" type="noConversion"/>
  </si>
  <si>
    <t>2사분기</t>
    <phoneticPr fontId="3" type="noConversion"/>
  </si>
  <si>
    <t>상반기합계</t>
    <phoneticPr fontId="3" type="noConversion"/>
  </si>
  <si>
    <t>디자인</t>
    <phoneticPr fontId="3" type="noConversion"/>
  </si>
  <si>
    <t>고승수</t>
    <phoneticPr fontId="3" type="noConversion"/>
  </si>
  <si>
    <t>1-J001</t>
    <phoneticPr fontId="3" type="noConversion"/>
  </si>
  <si>
    <t>미디어</t>
    <phoneticPr fontId="3" type="noConversion"/>
  </si>
  <si>
    <t>구만리</t>
    <phoneticPr fontId="3" type="noConversion"/>
  </si>
  <si>
    <t>노상식</t>
    <phoneticPr fontId="3" type="noConversion"/>
  </si>
  <si>
    <t>나잘난</t>
    <phoneticPr fontId="3" type="noConversion"/>
  </si>
  <si>
    <t>마고수</t>
    <phoneticPr fontId="3" type="noConversion"/>
  </si>
  <si>
    <t>2-J001</t>
    <phoneticPr fontId="3" type="noConversion"/>
  </si>
  <si>
    <t>박흥철</t>
    <phoneticPr fontId="3" type="noConversion"/>
  </si>
  <si>
    <t>사수해</t>
    <phoneticPr fontId="3" type="noConversion"/>
  </si>
  <si>
    <t>50000~100000의 합</t>
    <phoneticPr fontId="3" type="noConversion"/>
  </si>
  <si>
    <t>&gt;=5</t>
    <phoneticPr fontId="3" type="noConversion"/>
  </si>
  <si>
    <t>&gt;=400</t>
    <phoneticPr fontId="3" type="noConversion"/>
  </si>
  <si>
    <t>&gt;=50000</t>
    <phoneticPr fontId="3" type="noConversion"/>
  </si>
  <si>
    <t>&lt;=100000</t>
    <phoneticPr fontId="3" type="noConversion"/>
  </si>
  <si>
    <r>
      <t>P</t>
    </r>
    <r>
      <rPr>
        <sz val="11"/>
        <color theme="1"/>
        <rFont val="맑은 고딕"/>
        <family val="3"/>
        <charset val="129"/>
        <scheme val="minor"/>
      </rPr>
      <t>-1</t>
    </r>
    <phoneticPr fontId="3" type="noConversion"/>
  </si>
  <si>
    <t>주민등록번호</t>
    <phoneticPr fontId="3" type="noConversion"/>
  </si>
  <si>
    <t>생년월일</t>
    <phoneticPr fontId="3" type="noConversion"/>
  </si>
  <si>
    <t>성별</t>
    <phoneticPr fontId="3" type="noConversion"/>
  </si>
  <si>
    <t>나이</t>
    <phoneticPr fontId="3" type="noConversion"/>
  </si>
  <si>
    <t>심행래</t>
    <phoneticPr fontId="3" type="noConversion"/>
  </si>
  <si>
    <t>650218-1584623</t>
    <phoneticPr fontId="3" type="noConversion"/>
  </si>
  <si>
    <t>김봉현</t>
    <phoneticPr fontId="3" type="noConversion"/>
  </si>
  <si>
    <t>601204-1864523</t>
    <phoneticPr fontId="3" type="noConversion"/>
  </si>
  <si>
    <t>이찬호</t>
    <phoneticPr fontId="3" type="noConversion"/>
  </si>
  <si>
    <t>620718-1845237</t>
    <phoneticPr fontId="3" type="noConversion"/>
  </si>
  <si>
    <t>박이슈</t>
    <phoneticPr fontId="3" type="noConversion"/>
  </si>
  <si>
    <t>720124-2356427</t>
    <phoneticPr fontId="3" type="noConversion"/>
  </si>
  <si>
    <t>이장군</t>
    <phoneticPr fontId="3" type="noConversion"/>
  </si>
  <si>
    <t>730512-1845615</t>
    <phoneticPr fontId="3" type="noConversion"/>
  </si>
  <si>
    <t>황건이</t>
    <phoneticPr fontId="3" type="noConversion"/>
  </si>
  <si>
    <t>760314-1875234</t>
    <phoneticPr fontId="3" type="noConversion"/>
  </si>
  <si>
    <t>이율용</t>
    <phoneticPr fontId="3" type="noConversion"/>
  </si>
  <si>
    <t>660217-2485628</t>
    <phoneticPr fontId="3" type="noConversion"/>
  </si>
  <si>
    <t>장보가</t>
    <phoneticPr fontId="3" type="noConversion"/>
  </si>
  <si>
    <t>710523-2784652</t>
    <phoneticPr fontId="3" type="noConversion"/>
  </si>
  <si>
    <t>서정수</t>
    <phoneticPr fontId="3" type="noConversion"/>
  </si>
  <si>
    <t>640819-1864521</t>
    <phoneticPr fontId="3" type="noConversion"/>
  </si>
  <si>
    <t>왕순원</t>
    <phoneticPr fontId="3" type="noConversion"/>
  </si>
  <si>
    <t>610126-2845967</t>
    <phoneticPr fontId="3" type="noConversion"/>
  </si>
  <si>
    <t>박목일</t>
    <phoneticPr fontId="3" type="noConversion"/>
  </si>
  <si>
    <t>740630-1875241</t>
    <phoneticPr fontId="3" type="noConversion"/>
  </si>
  <si>
    <t>예제</t>
    <phoneticPr fontId="3" type="noConversion"/>
  </si>
  <si>
    <t>LOWER</t>
    <phoneticPr fontId="3" type="noConversion"/>
  </si>
  <si>
    <t>UPPER</t>
    <phoneticPr fontId="3" type="noConversion"/>
  </si>
  <si>
    <t>PROPER</t>
    <phoneticPr fontId="3" type="noConversion"/>
  </si>
  <si>
    <t>TRIM</t>
    <phoneticPr fontId="3" type="noConversion"/>
  </si>
  <si>
    <t>AaAa    a</t>
    <phoneticPr fontId="3" type="noConversion"/>
  </si>
  <si>
    <t>BB   bbb</t>
    <phoneticPr fontId="3" type="noConversion"/>
  </si>
  <si>
    <t>CCC  cc</t>
    <phoneticPr fontId="3" type="noConversion"/>
  </si>
  <si>
    <t>D   dDdD</t>
    <phoneticPr fontId="3" type="noConversion"/>
  </si>
  <si>
    <t>EE  eee</t>
    <phoneticPr fontId="3" type="noConversion"/>
  </si>
  <si>
    <t>찾을 문자열</t>
    <phoneticPr fontId="3" type="noConversion"/>
  </si>
  <si>
    <t>대상</t>
    <phoneticPr fontId="3" type="noConversion"/>
  </si>
  <si>
    <t>문자의 위치(FIND)</t>
    <phoneticPr fontId="3" type="noConversion"/>
  </si>
  <si>
    <t>문자의 위치(SEARCH)</t>
    <phoneticPr fontId="3" type="noConversion"/>
  </si>
  <si>
    <t>EXCEL</t>
    <phoneticPr fontId="3" type="noConversion"/>
  </si>
  <si>
    <t>Microsoft Excel 2007</t>
    <phoneticPr fontId="3" type="noConversion"/>
  </si>
  <si>
    <t>POINT</t>
    <phoneticPr fontId="3" type="noConversion"/>
  </si>
  <si>
    <t>MICROSOFT POWERPOINT 2007</t>
    <phoneticPr fontId="3" type="noConversion"/>
  </si>
  <si>
    <t>Soft</t>
    <phoneticPr fontId="3" type="noConversion"/>
  </si>
  <si>
    <t>microsoft access 2007</t>
    <phoneticPr fontId="3" type="noConversion"/>
  </si>
  <si>
    <t>서초동</t>
    <phoneticPr fontId="3" type="noConversion"/>
  </si>
  <si>
    <t>서울 서초구 서초동 1625-7</t>
    <phoneticPr fontId="3" type="noConversion"/>
  </si>
  <si>
    <t>전화번호 : 02-555-3029</t>
    <phoneticPr fontId="3" type="noConversion"/>
  </si>
  <si>
    <t>TRUNC</t>
  </si>
  <si>
    <r>
      <t>1</t>
    </r>
    <r>
      <rPr>
        <sz val="11"/>
        <color theme="1"/>
        <rFont val="맑은 고딕"/>
        <family val="3"/>
        <charset val="129"/>
        <scheme val="minor"/>
      </rPr>
      <t>)</t>
    </r>
    <phoneticPr fontId="3" type="noConversion"/>
  </si>
  <si>
    <t>숫자</t>
    <phoneticPr fontId="3" type="noConversion"/>
  </si>
  <si>
    <t>짝수/홀수</t>
    <phoneticPr fontId="3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</si>
  <si>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)</t>
    </r>
    <phoneticPr fontId="3" type="noConversion"/>
  </si>
  <si>
    <t>자릿수</t>
    <phoneticPr fontId="3" type="noConversion"/>
  </si>
  <si>
    <t>ROUND</t>
    <phoneticPr fontId="3" type="noConversion"/>
  </si>
  <si>
    <t>ROUNDUP</t>
    <phoneticPr fontId="3" type="noConversion"/>
  </si>
  <si>
    <t>ROUNDDOWN</t>
    <phoneticPr fontId="3" type="noConversion"/>
  </si>
  <si>
    <r>
      <t>3</t>
    </r>
    <r>
      <rPr>
        <sz val="11"/>
        <color theme="1"/>
        <rFont val="맑은 고딕"/>
        <family val="3"/>
        <charset val="129"/>
        <scheme val="minor"/>
      </rPr>
      <t>)</t>
    </r>
    <phoneticPr fontId="3" type="noConversion"/>
  </si>
  <si>
    <t>INT</t>
    <phoneticPr fontId="3" type="noConversion"/>
  </si>
  <si>
    <t>ABS</t>
    <phoneticPr fontId="3" type="noConversion"/>
  </si>
  <si>
    <t>• SQRT</t>
    <phoneticPr fontId="3" type="noConversion"/>
  </si>
  <si>
    <t>• PI</t>
    <phoneticPr fontId="3" type="noConversion"/>
  </si>
  <si>
    <t>• FACT</t>
    <phoneticPr fontId="3" type="noConversion"/>
  </si>
  <si>
    <t>• RAND</t>
    <phoneticPr fontId="3" type="noConversion"/>
  </si>
  <si>
    <t>• POWER</t>
    <phoneticPr fontId="3" type="noConversion"/>
  </si>
  <si>
    <t>이름</t>
    <phoneticPr fontId="3" type="noConversion"/>
  </si>
  <si>
    <t>부서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</si>
  <si>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</si>
  <si>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</si>
  <si>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</si>
  <si>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총합계</t>
    <phoneticPr fontId="3" type="noConversion"/>
  </si>
  <si>
    <t>총합계</t>
    <phoneticPr fontId="3" type="noConversion"/>
  </si>
  <si>
    <t>김상원</t>
    <phoneticPr fontId="3" type="noConversion"/>
  </si>
  <si>
    <t>김상원</t>
    <phoneticPr fontId="3" type="noConversion"/>
  </si>
  <si>
    <t>영업1부</t>
    <phoneticPr fontId="3" type="noConversion"/>
  </si>
  <si>
    <t>이갑봉</t>
    <phoneticPr fontId="3" type="noConversion"/>
  </si>
  <si>
    <t>영업2부</t>
    <phoneticPr fontId="3" type="noConversion"/>
  </si>
  <si>
    <t>강정희</t>
    <phoneticPr fontId="3" type="noConversion"/>
  </si>
  <si>
    <t>김동호</t>
    <phoneticPr fontId="3" type="noConversion"/>
  </si>
  <si>
    <t>이남주</t>
    <phoneticPr fontId="3" type="noConversion"/>
  </si>
  <si>
    <t>왕영애</t>
    <phoneticPr fontId="3" type="noConversion"/>
  </si>
  <si>
    <t>박효남</t>
    <phoneticPr fontId="3" type="noConversion"/>
  </si>
  <si>
    <t>인원</t>
    <phoneticPr fontId="3" type="noConversion"/>
  </si>
  <si>
    <t>1월합계</t>
    <phoneticPr fontId="3" type="noConversion"/>
  </si>
  <si>
    <t>2월합계</t>
    <phoneticPr fontId="3" type="noConversion"/>
  </si>
  <si>
    <t>3월합계</t>
    <phoneticPr fontId="3" type="noConversion"/>
  </si>
  <si>
    <t>1월~3월이 400 이상인 합계</t>
    <phoneticPr fontId="3" type="noConversion"/>
  </si>
  <si>
    <t>• SQRT</t>
    <phoneticPr fontId="3" type="noConversion"/>
  </si>
  <si>
    <t>• PI</t>
    <phoneticPr fontId="3" type="noConversion"/>
  </si>
  <si>
    <t>• RAND</t>
    <phoneticPr fontId="3" type="noConversion"/>
  </si>
  <si>
    <t>• POWER</t>
    <phoneticPr fontId="3" type="noConversion"/>
  </si>
  <si>
    <t>이갑봉</t>
    <phoneticPr fontId="3" type="noConversion"/>
  </si>
  <si>
    <t>영업2부</t>
    <phoneticPr fontId="3" type="noConversion"/>
  </si>
  <si>
    <t>강정희</t>
    <phoneticPr fontId="3" type="noConversion"/>
  </si>
  <si>
    <t>영업1부</t>
    <phoneticPr fontId="3" type="noConversion"/>
  </si>
  <si>
    <t>김동호</t>
    <phoneticPr fontId="3" type="noConversion"/>
  </si>
  <si>
    <t>이남주</t>
    <phoneticPr fontId="3" type="noConversion"/>
  </si>
  <si>
    <t>왕영애</t>
    <phoneticPr fontId="3" type="noConversion"/>
  </si>
  <si>
    <t>박효남</t>
    <phoneticPr fontId="3" type="noConversion"/>
  </si>
  <si>
    <t>부서</t>
    <phoneticPr fontId="3" type="noConversion"/>
  </si>
  <si>
    <t>인원</t>
    <phoneticPr fontId="3" type="noConversion"/>
  </si>
  <si>
    <t>1월합계</t>
    <phoneticPr fontId="3" type="noConversion"/>
  </si>
  <si>
    <t>2월합계</t>
    <phoneticPr fontId="3" type="noConversion"/>
  </si>
  <si>
    <t>3월합계</t>
    <phoneticPr fontId="3" type="noConversion"/>
  </si>
  <si>
    <t>1월~3월이 400 이상인 합계</t>
    <phoneticPr fontId="3" type="noConversion"/>
  </si>
  <si>
    <t>도서별 대출실적 합계</t>
  </si>
  <si>
    <t>신입사원 면접결과</t>
    <phoneticPr fontId="3" type="noConversion"/>
  </si>
  <si>
    <t>구분</t>
    <phoneticPr fontId="3" type="noConversion"/>
  </si>
  <si>
    <t>5월</t>
  </si>
  <si>
    <t>6월</t>
  </si>
  <si>
    <t>평균</t>
    <phoneticPr fontId="3" type="noConversion"/>
  </si>
  <si>
    <t>성명</t>
    <phoneticPr fontId="3" type="noConversion"/>
  </si>
  <si>
    <t>면접점수</t>
    <phoneticPr fontId="3" type="noConversion"/>
  </si>
  <si>
    <t>순위</t>
    <phoneticPr fontId="3" type="noConversion"/>
  </si>
  <si>
    <t>총서</t>
    <phoneticPr fontId="3" type="noConversion"/>
  </si>
  <si>
    <t>하길주</t>
    <phoneticPr fontId="3" type="noConversion"/>
  </si>
  <si>
    <t>사회과학</t>
    <phoneticPr fontId="3" type="noConversion"/>
  </si>
  <si>
    <t>이선호</t>
    <phoneticPr fontId="3" type="noConversion"/>
  </si>
  <si>
    <t>인문과학</t>
    <phoneticPr fontId="3" type="noConversion"/>
  </si>
  <si>
    <t>강성수</t>
    <phoneticPr fontId="3" type="noConversion"/>
  </si>
  <si>
    <t>공학</t>
    <phoneticPr fontId="3" type="noConversion"/>
  </si>
  <si>
    <t>김보견</t>
    <phoneticPr fontId="3" type="noConversion"/>
  </si>
  <si>
    <t>디자인</t>
    <phoneticPr fontId="3" type="noConversion"/>
  </si>
  <si>
    <t>천수만</t>
    <phoneticPr fontId="3" type="noConversion"/>
  </si>
  <si>
    <t>이소영</t>
    <phoneticPr fontId="3" type="noConversion"/>
  </si>
  <si>
    <t>[표3]</t>
    <phoneticPr fontId="3" type="noConversion"/>
  </si>
  <si>
    <t>직급별 연봉액</t>
    <phoneticPr fontId="3" type="noConversion"/>
  </si>
  <si>
    <t>맹순자</t>
    <phoneticPr fontId="3" type="noConversion"/>
  </si>
  <si>
    <t>성명</t>
    <phoneticPr fontId="3" type="noConversion"/>
  </si>
  <si>
    <t>직급</t>
    <phoneticPr fontId="3" type="noConversion"/>
  </si>
  <si>
    <t>연봉액</t>
    <phoneticPr fontId="3" type="noConversion"/>
  </si>
  <si>
    <t>전기수</t>
    <phoneticPr fontId="3" type="noConversion"/>
  </si>
  <si>
    <t>강희정</t>
    <phoneticPr fontId="3" type="noConversion"/>
  </si>
  <si>
    <t>부장</t>
    <phoneticPr fontId="3" type="noConversion"/>
  </si>
  <si>
    <t>김민수</t>
    <phoneticPr fontId="3" type="noConversion"/>
  </si>
  <si>
    <t>사원</t>
    <phoneticPr fontId="3" type="noConversion"/>
  </si>
  <si>
    <t>[표4]</t>
    <phoneticPr fontId="3" type="noConversion"/>
  </si>
  <si>
    <t>영진고등학교 2학년 모의고사 성적 현황</t>
    <phoneticPr fontId="3" type="noConversion"/>
  </si>
  <si>
    <t>나인성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</si>
  <si>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</si>
  <si>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</si>
  <si>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</si>
  <si>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점수변동폭</t>
    <phoneticPr fontId="3" type="noConversion"/>
  </si>
  <si>
    <t>민성진</t>
    <phoneticPr fontId="3" type="noConversion"/>
  </si>
  <si>
    <t>대리</t>
    <phoneticPr fontId="3" type="noConversion"/>
  </si>
  <si>
    <t>배수진</t>
    <phoneticPr fontId="3" type="noConversion"/>
  </si>
  <si>
    <t>박정아</t>
    <phoneticPr fontId="3" type="noConversion"/>
  </si>
  <si>
    <t>과장</t>
    <phoneticPr fontId="3" type="noConversion"/>
  </si>
  <si>
    <t>강경화</t>
    <phoneticPr fontId="3" type="noConversion"/>
  </si>
  <si>
    <t>서진이</t>
    <phoneticPr fontId="3" type="noConversion"/>
  </si>
  <si>
    <t>사원</t>
    <phoneticPr fontId="3" type="noConversion"/>
  </si>
  <si>
    <t>김순응</t>
    <phoneticPr fontId="3" type="noConversion"/>
  </si>
  <si>
    <t>강창우</t>
    <phoneticPr fontId="3" type="noConversion"/>
  </si>
  <si>
    <t>이사</t>
    <phoneticPr fontId="3" type="noConversion"/>
  </si>
  <si>
    <t>고해진</t>
    <phoneticPr fontId="3" type="noConversion"/>
  </si>
  <si>
    <t>박병철</t>
    <phoneticPr fontId="3" type="noConversion"/>
  </si>
  <si>
    <t>2번째 큰값</t>
    <phoneticPr fontId="3" type="noConversion"/>
  </si>
  <si>
    <t>이선화</t>
    <phoneticPr fontId="3" type="noConversion"/>
  </si>
  <si>
    <t>2번째 작은 값</t>
    <phoneticPr fontId="3" type="noConversion"/>
  </si>
  <si>
    <t>김태민</t>
    <phoneticPr fontId="3" type="noConversion"/>
  </si>
  <si>
    <t xml:space="preserve">[표5] </t>
    <phoneticPr fontId="3" type="noConversion"/>
  </si>
  <si>
    <t>컴퓨터 연수 결과</t>
  </si>
  <si>
    <t>성명</t>
    <phoneticPr fontId="3" type="noConversion"/>
  </si>
  <si>
    <t>엑셀</t>
    <phoneticPr fontId="3" type="noConversion"/>
  </si>
  <si>
    <t>워드</t>
    <phoneticPr fontId="3" type="noConversion"/>
  </si>
  <si>
    <t>인터넷활용</t>
    <phoneticPr fontId="3" type="noConversion"/>
  </si>
  <si>
    <t>이지용</t>
    <phoneticPr fontId="3" type="noConversion"/>
  </si>
  <si>
    <t>남진철</t>
    <phoneticPr fontId="3" type="noConversion"/>
  </si>
  <si>
    <t>어인애</t>
    <phoneticPr fontId="3" type="noConversion"/>
  </si>
  <si>
    <t>천우덕</t>
    <phoneticPr fontId="3" type="noConversion"/>
  </si>
  <si>
    <t>민지환</t>
    <phoneticPr fontId="3" type="noConversion"/>
  </si>
  <si>
    <t>박성자</t>
    <phoneticPr fontId="3" type="noConversion"/>
  </si>
  <si>
    <t>표준편차</t>
    <phoneticPr fontId="3" type="noConversion"/>
  </si>
  <si>
    <t>분산</t>
    <phoneticPr fontId="3" type="noConversion"/>
  </si>
  <si>
    <t>영어 시험 점수</t>
    <phoneticPr fontId="3" type="noConversion"/>
  </si>
  <si>
    <t>직원 근무 평가</t>
    <phoneticPr fontId="3" type="noConversion"/>
  </si>
  <si>
    <t>입사일</t>
    <phoneticPr fontId="3" type="noConversion"/>
  </si>
  <si>
    <t>근무점수</t>
    <phoneticPr fontId="3" type="noConversion"/>
  </si>
  <si>
    <t>이름</t>
    <phoneticPr fontId="3" type="noConversion"/>
  </si>
  <si>
    <t>영어점수</t>
    <phoneticPr fontId="3" type="noConversion"/>
  </si>
  <si>
    <t>응시 인원수</t>
    <phoneticPr fontId="3" type="noConversion"/>
  </si>
  <si>
    <t>박정호</t>
    <phoneticPr fontId="3" type="noConversion"/>
  </si>
  <si>
    <t>강인월</t>
    <phoneticPr fontId="3" type="noConversion"/>
  </si>
  <si>
    <t>신정희</t>
    <phoneticPr fontId="3" type="noConversion"/>
  </si>
  <si>
    <t>70점대</t>
    <phoneticPr fontId="3" type="noConversion"/>
  </si>
  <si>
    <t>차영국</t>
    <phoneticPr fontId="3" type="noConversion"/>
  </si>
  <si>
    <t>김용태</t>
    <phoneticPr fontId="3" type="noConversion"/>
  </si>
  <si>
    <t>이미자</t>
    <phoneticPr fontId="3" type="noConversion"/>
  </si>
  <si>
    <t>김진영</t>
    <phoneticPr fontId="3" type="noConversion"/>
  </si>
  <si>
    <t>류장결</t>
    <phoneticPr fontId="3" type="noConversion"/>
  </si>
  <si>
    <t>유현숙</t>
    <phoneticPr fontId="3" type="noConversion"/>
  </si>
  <si>
    <t>송태영</t>
    <phoneticPr fontId="3" type="noConversion"/>
  </si>
  <si>
    <t>최정렬</t>
    <phoneticPr fontId="3" type="noConversion"/>
  </si>
  <si>
    <t>박상영</t>
    <phoneticPr fontId="3" type="noConversion"/>
  </si>
  <si>
    <t>강창희</t>
    <phoneticPr fontId="3" type="noConversion"/>
  </si>
  <si>
    <t>최현구</t>
    <phoneticPr fontId="3" type="noConversion"/>
  </si>
  <si>
    <t>천영주</t>
    <phoneticPr fontId="3" type="noConversion"/>
  </si>
  <si>
    <t>박인수</t>
    <phoneticPr fontId="3" type="noConversion"/>
  </si>
  <si>
    <t>대금 납부 현황</t>
  </si>
  <si>
    <t>교재 대금 납부 현황</t>
    <phoneticPr fontId="3" type="noConversion"/>
  </si>
  <si>
    <t>공통필수</t>
    <phoneticPr fontId="3" type="noConversion"/>
  </si>
  <si>
    <t>전공필수</t>
    <phoneticPr fontId="3" type="noConversion"/>
  </si>
  <si>
    <t>전공선택</t>
    <phoneticPr fontId="3" type="noConversion"/>
  </si>
  <si>
    <t>번호</t>
    <phoneticPr fontId="3" type="noConversion"/>
  </si>
  <si>
    <t>어학</t>
    <phoneticPr fontId="3" type="noConversion"/>
  </si>
  <si>
    <t>어동철</t>
    <phoneticPr fontId="3" type="noConversion"/>
  </si>
  <si>
    <t>O</t>
    <phoneticPr fontId="3" type="noConversion"/>
  </si>
  <si>
    <t>이동한</t>
    <phoneticPr fontId="3" type="noConversion"/>
  </si>
  <si>
    <t>납부</t>
    <phoneticPr fontId="3" type="noConversion"/>
  </si>
  <si>
    <t>인당수</t>
    <phoneticPr fontId="3" type="noConversion"/>
  </si>
  <si>
    <t>어형부</t>
    <phoneticPr fontId="3" type="noConversion"/>
  </si>
  <si>
    <t>기형도</t>
    <phoneticPr fontId="3" type="noConversion"/>
  </si>
  <si>
    <t>강철민</t>
    <phoneticPr fontId="3" type="noConversion"/>
  </si>
  <si>
    <t>안지만</t>
    <phoneticPr fontId="3" type="noConversion"/>
  </si>
  <si>
    <t>오지훈</t>
    <phoneticPr fontId="3" type="noConversion"/>
  </si>
  <si>
    <t>신호연</t>
    <phoneticPr fontId="3" type="noConversion"/>
  </si>
  <si>
    <t>사용철</t>
    <phoneticPr fontId="3" type="noConversion"/>
  </si>
  <si>
    <t>윤동훈</t>
    <phoneticPr fontId="3" type="noConversion"/>
  </si>
  <si>
    <t>우동철</t>
    <phoneticPr fontId="3" type="noConversion"/>
  </si>
  <si>
    <t>임미영</t>
    <phoneticPr fontId="3" type="noConversion"/>
  </si>
  <si>
    <t>유민국</t>
    <phoneticPr fontId="3" type="noConversion"/>
  </si>
  <si>
    <t>구대성</t>
    <phoneticPr fontId="3" type="noConversion"/>
  </si>
  <si>
    <t>안동수</t>
    <phoneticPr fontId="3" type="noConversion"/>
  </si>
  <si>
    <t>납부자수</t>
    <phoneticPr fontId="3" type="noConversion"/>
  </si>
  <si>
    <t>미납자수</t>
    <phoneticPr fontId="3" type="noConversion"/>
  </si>
  <si>
    <t>[표2] 상여금 지급 현황</t>
    <phoneticPr fontId="3" type="noConversion"/>
  </si>
  <si>
    <t>수험번호</t>
    <phoneticPr fontId="3" type="noConversion"/>
  </si>
  <si>
    <t>이름</t>
    <phoneticPr fontId="3" type="noConversion"/>
  </si>
  <si>
    <t>성별</t>
  </si>
  <si>
    <t>성적</t>
    <phoneticPr fontId="3" type="noConversion"/>
  </si>
  <si>
    <t>(단위:천원)</t>
    <phoneticPr fontId="3" type="noConversion"/>
  </si>
  <si>
    <t>강진정</t>
    <phoneticPr fontId="3" type="noConversion"/>
  </si>
  <si>
    <t>남</t>
    <phoneticPr fontId="3" type="noConversion"/>
  </si>
  <si>
    <t>팀별</t>
    <phoneticPr fontId="3" type="noConversion"/>
  </si>
  <si>
    <t>성명</t>
    <phoneticPr fontId="3" type="noConversion"/>
  </si>
  <si>
    <t>사번</t>
    <phoneticPr fontId="3" type="noConversion"/>
  </si>
  <si>
    <t>본봉</t>
    <phoneticPr fontId="3" type="noConversion"/>
  </si>
  <si>
    <t>상여금</t>
    <phoneticPr fontId="3" type="noConversion"/>
  </si>
  <si>
    <t>김용민</t>
    <phoneticPr fontId="3" type="noConversion"/>
  </si>
  <si>
    <t>여</t>
    <phoneticPr fontId="3" type="noConversion"/>
  </si>
  <si>
    <t>재무팀</t>
    <phoneticPr fontId="3" type="noConversion"/>
  </si>
  <si>
    <t>김나래</t>
    <phoneticPr fontId="3" type="noConversion"/>
  </si>
  <si>
    <t>9711P</t>
    <phoneticPr fontId="3" type="noConversion"/>
  </si>
  <si>
    <t>진경만</t>
    <phoneticPr fontId="3" type="noConversion"/>
  </si>
  <si>
    <t>윤기상</t>
    <phoneticPr fontId="3" type="noConversion"/>
  </si>
  <si>
    <t>9801A</t>
    <phoneticPr fontId="3" type="noConversion"/>
  </si>
  <si>
    <t>박자희</t>
    <phoneticPr fontId="3" type="noConversion"/>
  </si>
  <si>
    <t>남</t>
  </si>
  <si>
    <t>영업팀</t>
    <phoneticPr fontId="3" type="noConversion"/>
  </si>
  <si>
    <t>황선호</t>
    <phoneticPr fontId="3" type="noConversion"/>
  </si>
  <si>
    <t>9914A</t>
    <phoneticPr fontId="3" type="noConversion"/>
  </si>
  <si>
    <t>고현주</t>
    <phoneticPr fontId="3" type="noConversion"/>
  </si>
  <si>
    <t>여</t>
  </si>
  <si>
    <t>이재만</t>
    <phoneticPr fontId="3" type="noConversion"/>
  </si>
  <si>
    <t>9822Q</t>
    <phoneticPr fontId="3" type="noConversion"/>
  </si>
  <si>
    <t>성현이</t>
    <phoneticPr fontId="3" type="noConversion"/>
  </si>
  <si>
    <t>기획팀</t>
    <phoneticPr fontId="3" type="noConversion"/>
  </si>
  <si>
    <t>허준용</t>
    <phoneticPr fontId="3" type="noConversion"/>
  </si>
  <si>
    <t>9901B</t>
    <phoneticPr fontId="3" type="noConversion"/>
  </si>
  <si>
    <t>임수정</t>
    <phoneticPr fontId="3" type="noConversion"/>
  </si>
  <si>
    <t>방기차</t>
    <phoneticPr fontId="3" type="noConversion"/>
  </si>
  <si>
    <t>9612P</t>
    <phoneticPr fontId="3" type="noConversion"/>
  </si>
  <si>
    <t>주철한</t>
    <phoneticPr fontId="3" type="noConversion"/>
  </si>
  <si>
    <t>홍보팀</t>
    <phoneticPr fontId="3" type="noConversion"/>
  </si>
  <si>
    <t>채만종</t>
    <phoneticPr fontId="3" type="noConversion"/>
  </si>
  <si>
    <t>9912P</t>
    <phoneticPr fontId="3" type="noConversion"/>
  </si>
  <si>
    <t>나혼정</t>
    <phoneticPr fontId="3" type="noConversion"/>
  </si>
  <si>
    <t>상여금 지급 기준표</t>
    <phoneticPr fontId="3" type="noConversion"/>
  </si>
  <si>
    <t>표준편차(남)</t>
    <phoneticPr fontId="3" type="noConversion"/>
  </si>
  <si>
    <t>입사년도</t>
    <phoneticPr fontId="3" type="noConversion"/>
  </si>
  <si>
    <t>96</t>
  </si>
  <si>
    <t>97</t>
  </si>
  <si>
    <t>98</t>
  </si>
  <si>
    <t>99</t>
  </si>
  <si>
    <t>구성비율(%)</t>
    <phoneticPr fontId="3" type="noConversion"/>
  </si>
  <si>
    <t xml:space="preserve">[표3] 필기 시험 평가 </t>
    <phoneticPr fontId="3" type="noConversion"/>
  </si>
  <si>
    <t>영어</t>
    <phoneticPr fontId="3" type="noConversion"/>
  </si>
  <si>
    <t>전산</t>
    <phoneticPr fontId="3" type="noConversion"/>
  </si>
  <si>
    <t>상식</t>
    <phoneticPr fontId="3" type="noConversion"/>
  </si>
  <si>
    <t>평가</t>
    <phoneticPr fontId="3" type="noConversion"/>
  </si>
  <si>
    <t>장혁준</t>
    <phoneticPr fontId="3" type="noConversion"/>
  </si>
  <si>
    <t>이선돌</t>
    <phoneticPr fontId="3" type="noConversion"/>
  </si>
  <si>
    <t>[표4] 청소년 수련원 입소예약</t>
    <phoneticPr fontId="3" type="noConversion"/>
  </si>
  <si>
    <t>민영호</t>
    <phoneticPr fontId="3" type="noConversion"/>
  </si>
  <si>
    <t>접수코드</t>
    <phoneticPr fontId="3" type="noConversion"/>
  </si>
  <si>
    <t>동아리명</t>
    <phoneticPr fontId="3" type="noConversion"/>
  </si>
  <si>
    <t>입소월</t>
    <phoneticPr fontId="3" type="noConversion"/>
  </si>
  <si>
    <t>예정인원</t>
    <phoneticPr fontId="3" type="noConversion"/>
  </si>
  <si>
    <t>수련원명</t>
    <phoneticPr fontId="3" type="noConversion"/>
  </si>
  <si>
    <t>곽태우</t>
    <phoneticPr fontId="3" type="noConversion"/>
  </si>
  <si>
    <t>K001-1</t>
    <phoneticPr fontId="3" type="noConversion"/>
  </si>
  <si>
    <t>가야</t>
    <phoneticPr fontId="3" type="noConversion"/>
  </si>
  <si>
    <t>4월</t>
    <phoneticPr fontId="3" type="noConversion"/>
  </si>
  <si>
    <t>전준호</t>
    <phoneticPr fontId="3" type="noConversion"/>
  </si>
  <si>
    <t>K001-2</t>
    <phoneticPr fontId="3" type="noConversion"/>
  </si>
  <si>
    <t>걸스</t>
    <phoneticPr fontId="3" type="noConversion"/>
  </si>
  <si>
    <t>5월</t>
    <phoneticPr fontId="3" type="noConversion"/>
  </si>
  <si>
    <t>박태식</t>
    <phoneticPr fontId="3" type="noConversion"/>
  </si>
  <si>
    <t>S001-3</t>
    <phoneticPr fontId="3" type="noConversion"/>
  </si>
  <si>
    <t>한별</t>
    <phoneticPr fontId="3" type="noConversion"/>
  </si>
  <si>
    <t>차만석</t>
    <phoneticPr fontId="3" type="noConversion"/>
  </si>
  <si>
    <t>S001-4</t>
    <phoneticPr fontId="3" type="noConversion"/>
  </si>
  <si>
    <t>참빛</t>
    <phoneticPr fontId="3" type="noConversion"/>
  </si>
  <si>
    <t>6월</t>
    <phoneticPr fontId="3" type="noConversion"/>
  </si>
  <si>
    <t>이미자</t>
    <phoneticPr fontId="3" type="noConversion"/>
  </si>
  <si>
    <t>K002-2</t>
    <phoneticPr fontId="3" type="noConversion"/>
  </si>
  <si>
    <t>너럭</t>
    <phoneticPr fontId="3" type="noConversion"/>
  </si>
  <si>
    <t>K003-2</t>
    <phoneticPr fontId="3" type="noConversion"/>
  </si>
  <si>
    <t>참사랑</t>
    <phoneticPr fontId="3" type="noConversion"/>
  </si>
  <si>
    <t>7월</t>
    <phoneticPr fontId="3" type="noConversion"/>
  </si>
  <si>
    <t>S002-3</t>
    <phoneticPr fontId="3" type="noConversion"/>
  </si>
  <si>
    <t>새벽</t>
    <phoneticPr fontId="3" type="noConversion"/>
  </si>
  <si>
    <t>8월</t>
    <phoneticPr fontId="3" type="noConversion"/>
  </si>
  <si>
    <t>[표5] 매출 판매 수량 집계</t>
    <phoneticPr fontId="3" type="noConversion"/>
  </si>
  <si>
    <t>(단위 : 대)</t>
    <phoneticPr fontId="3" type="noConversion"/>
  </si>
  <si>
    <t>S001-1</t>
    <phoneticPr fontId="3" type="noConversion"/>
  </si>
  <si>
    <t>울트라</t>
    <phoneticPr fontId="3" type="noConversion"/>
  </si>
  <si>
    <t>판매점</t>
    <phoneticPr fontId="3" type="noConversion"/>
  </si>
  <si>
    <t>냉장고</t>
    <phoneticPr fontId="3" type="noConversion"/>
  </si>
  <si>
    <t>홈시어터</t>
    <phoneticPr fontId="3" type="noConversion"/>
  </si>
  <si>
    <t>세탁기</t>
    <phoneticPr fontId="3" type="noConversion"/>
  </si>
  <si>
    <t>합계</t>
    <phoneticPr fontId="3" type="noConversion"/>
  </si>
  <si>
    <t>중구</t>
    <phoneticPr fontId="3" type="noConversion"/>
  </si>
  <si>
    <t>동구</t>
    <phoneticPr fontId="3" type="noConversion"/>
  </si>
  <si>
    <t>중구지점의 냉장고 최대수량과 중구지점의 세탁기 최소수량의 차이</t>
    <phoneticPr fontId="3" type="noConversion"/>
  </si>
  <si>
    <t>북구</t>
    <phoneticPr fontId="3" type="noConversion"/>
  </si>
  <si>
    <t>성명</t>
    <phoneticPr fontId="3" type="noConversion"/>
  </si>
  <si>
    <t>영어</t>
    <phoneticPr fontId="3" type="noConversion"/>
  </si>
  <si>
    <r>
      <t>[표</t>
    </r>
    <r>
      <rPr>
        <sz val="11"/>
        <color theme="1"/>
        <rFont val="맑은 고딕"/>
        <family val="3"/>
        <charset val="129"/>
        <scheme val="minor"/>
      </rPr>
      <t>1] 채용 시험 성적</t>
    </r>
    <phoneticPr fontId="3" type="noConversion"/>
  </si>
  <si>
    <t>[표1] 연수대상자 결과표</t>
    <phoneticPr fontId="3" type="noConversion"/>
  </si>
  <si>
    <t xml:space="preserve">[표2] 6월분 급여 현황 </t>
    <phoneticPr fontId="3" type="noConversion"/>
  </si>
  <si>
    <t>필기</t>
    <phoneticPr fontId="3" type="noConversion"/>
  </si>
  <si>
    <t>실기</t>
    <phoneticPr fontId="3" type="noConversion"/>
  </si>
  <si>
    <t>외국어</t>
    <phoneticPr fontId="3" type="noConversion"/>
  </si>
  <si>
    <t>결과</t>
    <phoneticPr fontId="3" type="noConversion"/>
  </si>
  <si>
    <t>사원명</t>
    <phoneticPr fontId="3" type="noConversion"/>
  </si>
  <si>
    <t>기본급</t>
    <phoneticPr fontId="3" type="noConversion"/>
  </si>
  <si>
    <t>가족수당</t>
    <phoneticPr fontId="3" type="noConversion"/>
  </si>
  <si>
    <t>실지급액</t>
    <phoneticPr fontId="3" type="noConversion"/>
  </si>
  <si>
    <t>김나라</t>
    <phoneticPr fontId="3" type="noConversion"/>
  </si>
  <si>
    <t>나도향</t>
    <phoneticPr fontId="3" type="noConversion"/>
  </si>
  <si>
    <t>우태하</t>
    <phoneticPr fontId="3" type="noConversion"/>
  </si>
  <si>
    <t>양희원</t>
    <phoneticPr fontId="3" type="noConversion"/>
  </si>
  <si>
    <t>김종선</t>
    <phoneticPr fontId="3" type="noConversion"/>
  </si>
  <si>
    <t>배두나</t>
    <phoneticPr fontId="3" type="noConversion"/>
  </si>
  <si>
    <t>이슬기</t>
    <phoneticPr fontId="3" type="noConversion"/>
  </si>
  <si>
    <t>강철중</t>
    <phoneticPr fontId="3" type="noConversion"/>
  </si>
  <si>
    <t>안종범</t>
    <phoneticPr fontId="3" type="noConversion"/>
  </si>
  <si>
    <t>전나라</t>
    <phoneticPr fontId="3" type="noConversion"/>
  </si>
  <si>
    <t>정태수</t>
    <phoneticPr fontId="3" type="noConversion"/>
  </si>
  <si>
    <t>다슬기</t>
    <phoneticPr fontId="3" type="noConversion"/>
  </si>
  <si>
    <t>고구려</t>
    <phoneticPr fontId="3" type="noConversion"/>
  </si>
  <si>
    <t>인상율</t>
    <phoneticPr fontId="3" type="noConversion"/>
  </si>
  <si>
    <t>[표3] 회원 명단</t>
    <phoneticPr fontId="3" type="noConversion"/>
  </si>
  <si>
    <t>[표4] 제품 판매현황</t>
    <phoneticPr fontId="3" type="noConversion"/>
  </si>
  <si>
    <t>주민등록번호</t>
    <phoneticPr fontId="3" type="noConversion"/>
  </si>
  <si>
    <t>보호주민번호</t>
    <phoneticPr fontId="3" type="noConversion"/>
  </si>
  <si>
    <t>제품코드</t>
    <phoneticPr fontId="3" type="noConversion"/>
  </si>
  <si>
    <t>판매수량</t>
    <phoneticPr fontId="3" type="noConversion"/>
  </si>
  <si>
    <t>판매금액</t>
    <phoneticPr fontId="3" type="noConversion"/>
  </si>
  <si>
    <t>이익금액</t>
    <phoneticPr fontId="3" type="noConversion"/>
  </si>
  <si>
    <t>수수료</t>
    <phoneticPr fontId="3" type="noConversion"/>
  </si>
  <si>
    <t>정서인</t>
    <phoneticPr fontId="3" type="noConversion"/>
  </si>
  <si>
    <t>980609-2045135</t>
    <phoneticPr fontId="3" type="noConversion"/>
  </si>
  <si>
    <t>A-101</t>
    <phoneticPr fontId="3" type="noConversion"/>
  </si>
  <si>
    <t>이하늘</t>
    <phoneticPr fontId="3" type="noConversion"/>
  </si>
  <si>
    <t>780123-1025456</t>
    <phoneticPr fontId="3" type="noConversion"/>
  </si>
  <si>
    <t>B-102</t>
    <phoneticPr fontId="3" type="noConversion"/>
  </si>
  <si>
    <t>유하나</t>
    <phoneticPr fontId="3" type="noConversion"/>
  </si>
  <si>
    <t>860227-2534852</t>
    <phoneticPr fontId="3" type="noConversion"/>
  </si>
  <si>
    <t>C-103</t>
    <phoneticPr fontId="3" type="noConversion"/>
  </si>
  <si>
    <t>장서희</t>
    <phoneticPr fontId="3" type="noConversion"/>
  </si>
  <si>
    <t>650930-2135465</t>
    <phoneticPr fontId="3" type="noConversion"/>
  </si>
  <si>
    <t>D-104</t>
    <phoneticPr fontId="3" type="noConversion"/>
  </si>
  <si>
    <t>국진주</t>
    <phoneticPr fontId="3" type="noConversion"/>
  </si>
  <si>
    <t>890329-2154678</t>
    <phoneticPr fontId="3" type="noConversion"/>
  </si>
  <si>
    <t>E-105</t>
    <phoneticPr fontId="3" type="noConversion"/>
  </si>
  <si>
    <t>서백호</t>
    <phoneticPr fontId="3" type="noConversion"/>
  </si>
  <si>
    <t>981212-1023451</t>
    <phoneticPr fontId="3" type="noConversion"/>
  </si>
  <si>
    <t>F-106</t>
    <phoneticPr fontId="3" type="noConversion"/>
  </si>
  <si>
    <t>성국진</t>
    <phoneticPr fontId="3" type="noConversion"/>
  </si>
  <si>
    <t>811214-1005546</t>
    <phoneticPr fontId="3" type="noConversion"/>
  </si>
  <si>
    <t>최대최소차</t>
    <phoneticPr fontId="3" type="noConversion"/>
  </si>
  <si>
    <t>[표5] 학과별 외국어시험 결과표</t>
    <phoneticPr fontId="3" type="noConversion"/>
  </si>
  <si>
    <t>학과</t>
    <phoneticPr fontId="3" type="noConversion"/>
  </si>
  <si>
    <t>일어</t>
    <phoneticPr fontId="3" type="noConversion"/>
  </si>
  <si>
    <t>중국어</t>
    <phoneticPr fontId="3" type="noConversion"/>
  </si>
  <si>
    <t>프랑스어</t>
    <phoneticPr fontId="3" type="noConversion"/>
  </si>
  <si>
    <t>경영학과</t>
    <phoneticPr fontId="3" type="noConversion"/>
  </si>
  <si>
    <t>회계학과</t>
    <phoneticPr fontId="3" type="noConversion"/>
  </si>
  <si>
    <t>광고학과</t>
    <phoneticPr fontId="3" type="noConversion"/>
  </si>
  <si>
    <t>정보학과</t>
    <phoneticPr fontId="3" type="noConversion"/>
  </si>
  <si>
    <t>웹마스터과</t>
    <phoneticPr fontId="3" type="noConversion"/>
  </si>
  <si>
    <t>평균</t>
    <phoneticPr fontId="3" type="noConversion"/>
  </si>
  <si>
    <t>열번호(COLUMN)</t>
    <phoneticPr fontId="3" type="noConversion"/>
  </si>
  <si>
    <t>행번호(ROW)</t>
    <phoneticPr fontId="3" type="noConversion"/>
  </si>
  <si>
    <t>① [B3:F8] 영역의 열의 개수는?</t>
    <phoneticPr fontId="3" type="noConversion"/>
  </si>
  <si>
    <t>② [B3:F8] 영역의 행의 개수는?</t>
    <phoneticPr fontId="3" type="noConversion"/>
  </si>
  <si>
    <t>③ [B2] 셀의 열 번호는?</t>
    <phoneticPr fontId="3" type="noConversion"/>
  </si>
  <si>
    <t>④ [B2] 셀의 행 번호는?</t>
    <phoneticPr fontId="3" type="noConversion"/>
  </si>
  <si>
    <t>B_Sep1</t>
  </si>
  <si>
    <t>B_Sep2</t>
  </si>
  <si>
    <t>설악</t>
    <phoneticPr fontId="3" type="noConversion"/>
  </si>
  <si>
    <t>하태훈</t>
    <phoneticPr fontId="3" type="noConversion"/>
  </si>
  <si>
    <t>우수회원</t>
    <phoneticPr fontId="3" type="noConversion"/>
  </si>
  <si>
    <t>차인태</t>
    <phoneticPr fontId="3" type="noConversion"/>
  </si>
  <si>
    <t>B_Sep3</t>
  </si>
  <si>
    <t>김규리</t>
    <phoneticPr fontId="3" type="noConversion"/>
  </si>
  <si>
    <t>제주도</t>
    <phoneticPr fontId="3" type="noConversion"/>
  </si>
  <si>
    <t>안동식</t>
    <phoneticPr fontId="3" type="noConversion"/>
  </si>
  <si>
    <t>일반회원</t>
    <phoneticPr fontId="3" type="noConversion"/>
  </si>
  <si>
    <t>정구왕</t>
    <phoneticPr fontId="3" type="noConversion"/>
  </si>
  <si>
    <t>C_Tep3</t>
  </si>
  <si>
    <t>김동화</t>
    <phoneticPr fontId="3" type="noConversion"/>
  </si>
  <si>
    <t>안면도</t>
    <phoneticPr fontId="3" type="noConversion"/>
  </si>
  <si>
    <t>김민철</t>
    <phoneticPr fontId="3" type="noConversion"/>
  </si>
  <si>
    <t>V.I.P</t>
    <phoneticPr fontId="3" type="noConversion"/>
  </si>
  <si>
    <t>정재현</t>
    <phoneticPr fontId="3" type="noConversion"/>
  </si>
  <si>
    <t>C_Tep4</t>
  </si>
  <si>
    <t>김서현</t>
    <phoneticPr fontId="3" type="noConversion"/>
  </si>
  <si>
    <t>GOLD</t>
    <phoneticPr fontId="3" type="noConversion"/>
  </si>
  <si>
    <t>단양</t>
    <phoneticPr fontId="3" type="noConversion"/>
  </si>
  <si>
    <t>장유익</t>
    <phoneticPr fontId="3" type="noConversion"/>
  </si>
  <si>
    <t>황진하</t>
    <phoneticPr fontId="3" type="noConversion"/>
  </si>
  <si>
    <t>C_Tep5</t>
  </si>
  <si>
    <t>김서희</t>
    <phoneticPr fontId="3" type="noConversion"/>
  </si>
  <si>
    <t>SILVER</t>
    <phoneticPr fontId="3" type="noConversion"/>
  </si>
  <si>
    <t>삼척</t>
    <phoneticPr fontId="3" type="noConversion"/>
  </si>
  <si>
    <t>강태공</t>
    <phoneticPr fontId="3" type="noConversion"/>
  </si>
  <si>
    <t>이윤태</t>
    <phoneticPr fontId="3" type="noConversion"/>
  </si>
  <si>
    <t>C_Tep6</t>
  </si>
  <si>
    <t>류은서</t>
    <phoneticPr fontId="3" type="noConversion"/>
  </si>
  <si>
    <t>박한나</t>
    <phoneticPr fontId="3" type="noConversion"/>
  </si>
  <si>
    <t>C_Tep7</t>
  </si>
  <si>
    <t>형민태</t>
    <phoneticPr fontId="3" type="noConversion"/>
  </si>
  <si>
    <t>회원명</t>
    <phoneticPr fontId="3" type="noConversion"/>
  </si>
  <si>
    <t>이미리</t>
    <phoneticPr fontId="3" type="noConversion"/>
  </si>
  <si>
    <t>고객등급별 사은품 목록</t>
    <phoneticPr fontId="3" type="noConversion"/>
  </si>
  <si>
    <t>C</t>
    <phoneticPr fontId="3" type="noConversion"/>
  </si>
  <si>
    <t>S</t>
    <phoneticPr fontId="3" type="noConversion"/>
  </si>
  <si>
    <t>G</t>
    <phoneticPr fontId="3" type="noConversion"/>
  </si>
  <si>
    <t>D</t>
    <phoneticPr fontId="3" type="noConversion"/>
  </si>
  <si>
    <t>수강과목수</t>
    <phoneticPr fontId="3" type="noConversion"/>
  </si>
  <si>
    <t>없음</t>
    <phoneticPr fontId="3" type="noConversion"/>
  </si>
  <si>
    <t>전화기</t>
    <phoneticPr fontId="3" type="noConversion"/>
  </si>
  <si>
    <t>스마트폰</t>
    <phoneticPr fontId="3" type="noConversion"/>
  </si>
  <si>
    <t>아이패드</t>
    <phoneticPr fontId="3" type="noConversion"/>
  </si>
  <si>
    <t>[표5]</t>
    <phoneticPr fontId="3" type="noConversion"/>
  </si>
  <si>
    <t>사원코드</t>
    <phoneticPr fontId="3" type="noConversion"/>
  </si>
  <si>
    <t>담당부서</t>
    <phoneticPr fontId="3" type="noConversion"/>
  </si>
  <si>
    <t>근무년수</t>
    <phoneticPr fontId="3" type="noConversion"/>
  </si>
  <si>
    <t>직위</t>
    <phoneticPr fontId="3" type="noConversion"/>
  </si>
  <si>
    <t>김남이</t>
    <phoneticPr fontId="3" type="noConversion"/>
  </si>
  <si>
    <t>기획부</t>
    <phoneticPr fontId="3" type="noConversion"/>
  </si>
  <si>
    <t>교수코드</t>
    <phoneticPr fontId="3" type="noConversion"/>
  </si>
  <si>
    <t>교수명</t>
    <phoneticPr fontId="3" type="noConversion"/>
  </si>
  <si>
    <t>평가점수</t>
    <phoneticPr fontId="3" type="noConversion"/>
  </si>
  <si>
    <t>결과</t>
    <phoneticPr fontId="3" type="noConversion"/>
  </si>
  <si>
    <t>이지영</t>
    <phoneticPr fontId="3" type="noConversion"/>
  </si>
  <si>
    <t>영업부</t>
    <phoneticPr fontId="3" type="noConversion"/>
  </si>
  <si>
    <t>CP-0701</t>
  </si>
  <si>
    <t>한가람</t>
    <phoneticPr fontId="3" type="noConversion"/>
  </si>
  <si>
    <t>하나미</t>
    <phoneticPr fontId="3" type="noConversion"/>
  </si>
  <si>
    <t>CP-0503</t>
  </si>
  <si>
    <t>김은철</t>
    <phoneticPr fontId="3" type="noConversion"/>
  </si>
  <si>
    <t>이정훈</t>
    <phoneticPr fontId="3" type="noConversion"/>
  </si>
  <si>
    <t>TC-9505</t>
  </si>
  <si>
    <t>고사리</t>
    <phoneticPr fontId="3" type="noConversion"/>
  </si>
  <si>
    <t>임진태</t>
    <phoneticPr fontId="3" type="noConversion"/>
  </si>
  <si>
    <t>총무부</t>
    <phoneticPr fontId="3" type="noConversion"/>
  </si>
  <si>
    <t>TC-7801</t>
  </si>
  <si>
    <t>박은별</t>
    <phoneticPr fontId="3" type="noConversion"/>
  </si>
  <si>
    <t>강태형</t>
    <phoneticPr fontId="3" type="noConversion"/>
  </si>
  <si>
    <t>PT-0604</t>
  </si>
  <si>
    <t>성준서</t>
    <phoneticPr fontId="3" type="noConversion"/>
  </si>
  <si>
    <t>피정우</t>
    <phoneticPr fontId="3" type="noConversion"/>
  </si>
  <si>
    <t>AC-0906</t>
    <phoneticPr fontId="3" type="noConversion"/>
  </si>
  <si>
    <t>이성연</t>
    <phoneticPr fontId="3" type="noConversion"/>
  </si>
  <si>
    <t>이태민</t>
    <phoneticPr fontId="3" type="noConversion"/>
  </si>
  <si>
    <t>[표1]</t>
    <phoneticPr fontId="3" type="noConversion"/>
  </si>
  <si>
    <t>[표2]</t>
    <phoneticPr fontId="3" type="noConversion"/>
  </si>
  <si>
    <t>고객번호</t>
    <phoneticPr fontId="3" type="noConversion"/>
  </si>
  <si>
    <t>고객명</t>
    <phoneticPr fontId="3" type="noConversion"/>
  </si>
  <si>
    <t>고객등급</t>
    <phoneticPr fontId="3" type="noConversion"/>
  </si>
  <si>
    <t>사은품</t>
    <phoneticPr fontId="3" type="noConversion"/>
  </si>
  <si>
    <t>위치</t>
    <phoneticPr fontId="3" type="noConversion"/>
  </si>
  <si>
    <t>이용일수</t>
    <phoneticPr fontId="3" type="noConversion"/>
  </si>
  <si>
    <t>회원명</t>
    <phoneticPr fontId="3" type="noConversion"/>
  </si>
  <si>
    <t>비고</t>
    <phoneticPr fontId="3" type="noConversion"/>
  </si>
  <si>
    <t>수강료</t>
    <phoneticPr fontId="3" type="noConversion"/>
  </si>
  <si>
    <t>권태형</t>
    <phoneticPr fontId="3" type="noConversion"/>
  </si>
  <si>
    <r>
      <t>G</t>
    </r>
    <r>
      <rPr>
        <sz val="11"/>
        <color theme="1"/>
        <rFont val="맑은 고딕"/>
        <family val="3"/>
        <charset val="129"/>
        <scheme val="minor"/>
      </rPr>
      <t>OLD</t>
    </r>
    <phoneticPr fontId="3" type="noConversion"/>
  </si>
  <si>
    <t>통영</t>
    <phoneticPr fontId="3" type="noConversion"/>
  </si>
  <si>
    <t>서현진</t>
    <phoneticPr fontId="3" type="noConversion"/>
  </si>
  <si>
    <t>우수회원</t>
    <phoneticPr fontId="3" type="noConversion"/>
  </si>
  <si>
    <t>김병수</t>
    <phoneticPr fontId="3" type="noConversion"/>
  </si>
  <si>
    <t>강주호</t>
    <phoneticPr fontId="3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</si>
  <si>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IAMOND</t>
    </r>
    <phoneticPr fontId="3" type="noConversion"/>
  </si>
  <si>
    <t>설악</t>
    <phoneticPr fontId="3" type="noConversion"/>
  </si>
  <si>
    <t>하태훈</t>
    <phoneticPr fontId="3" type="noConversion"/>
  </si>
  <si>
    <t>김규리</t>
    <phoneticPr fontId="3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</si>
  <si>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ILVER</t>
    </r>
    <phoneticPr fontId="3" type="noConversion"/>
  </si>
  <si>
    <t>제주도</t>
    <phoneticPr fontId="3" type="noConversion"/>
  </si>
  <si>
    <t>안동식</t>
    <phoneticPr fontId="3" type="noConversion"/>
  </si>
  <si>
    <t>일반회원</t>
    <phoneticPr fontId="3" type="noConversion"/>
  </si>
  <si>
    <t>김동화</t>
    <phoneticPr fontId="3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</si>
  <si>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OPPER</t>
    </r>
    <phoneticPr fontId="3" type="noConversion"/>
  </si>
  <si>
    <t>안면도</t>
    <phoneticPr fontId="3" type="noConversion"/>
  </si>
  <si>
    <t>김민철</t>
    <phoneticPr fontId="3" type="noConversion"/>
  </si>
  <si>
    <t>V.I.P</t>
    <phoneticPr fontId="3" type="noConversion"/>
  </si>
  <si>
    <t>김서현</t>
    <phoneticPr fontId="3" type="noConversion"/>
  </si>
  <si>
    <t>GOLD</t>
    <phoneticPr fontId="3" type="noConversion"/>
  </si>
  <si>
    <t>단양</t>
    <phoneticPr fontId="3" type="noConversion"/>
  </si>
  <si>
    <t>장유익</t>
    <phoneticPr fontId="3" type="noConversion"/>
  </si>
  <si>
    <t>김서희</t>
    <phoneticPr fontId="3" type="noConversion"/>
  </si>
  <si>
    <t>SILVER</t>
    <phoneticPr fontId="3" type="noConversion"/>
  </si>
  <si>
    <t>삼척</t>
    <phoneticPr fontId="3" type="noConversion"/>
  </si>
  <si>
    <t>강태공</t>
    <phoneticPr fontId="3" type="noConversion"/>
  </si>
  <si>
    <t>류은서</t>
    <phoneticPr fontId="3" type="noConversion"/>
  </si>
  <si>
    <t>형민태</t>
    <phoneticPr fontId="3" type="noConversion"/>
  </si>
  <si>
    <t>고객등급별 사은품 목록</t>
    <phoneticPr fontId="3" type="noConversion"/>
  </si>
  <si>
    <t>C</t>
    <phoneticPr fontId="3" type="noConversion"/>
  </si>
  <si>
    <t>S</t>
    <phoneticPr fontId="3" type="noConversion"/>
  </si>
  <si>
    <t>G</t>
    <phoneticPr fontId="3" type="noConversion"/>
  </si>
  <si>
    <t>D</t>
    <phoneticPr fontId="3" type="noConversion"/>
  </si>
  <si>
    <t>없음</t>
    <phoneticPr fontId="3" type="noConversion"/>
  </si>
  <si>
    <t>전화기</t>
    <phoneticPr fontId="3" type="noConversion"/>
  </si>
  <si>
    <t>스마트폰</t>
    <phoneticPr fontId="3" type="noConversion"/>
  </si>
  <si>
    <t>아이패드</t>
    <phoneticPr fontId="3" type="noConversion"/>
  </si>
  <si>
    <t>[표5]</t>
    <phoneticPr fontId="3" type="noConversion"/>
  </si>
  <si>
    <t>사원코드</t>
    <phoneticPr fontId="3" type="noConversion"/>
  </si>
  <si>
    <t>담당부서</t>
    <phoneticPr fontId="3" type="noConversion"/>
  </si>
  <si>
    <t>근무년수</t>
    <phoneticPr fontId="3" type="noConversion"/>
  </si>
  <si>
    <t>직위</t>
    <phoneticPr fontId="3" type="noConversion"/>
  </si>
  <si>
    <t>[표 4]</t>
    <phoneticPr fontId="3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</si>
  <si>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-101</t>
    </r>
    <phoneticPr fontId="3" type="noConversion"/>
  </si>
  <si>
    <t>김남이</t>
    <phoneticPr fontId="3" type="noConversion"/>
  </si>
  <si>
    <t>기획부</t>
    <phoneticPr fontId="3" type="noConversion"/>
  </si>
  <si>
    <t>교수코드</t>
    <phoneticPr fontId="3" type="noConversion"/>
  </si>
  <si>
    <t>교수명</t>
    <phoneticPr fontId="3" type="noConversion"/>
  </si>
  <si>
    <t>평가점수</t>
    <phoneticPr fontId="3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</si>
  <si>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-201</t>
    </r>
    <phoneticPr fontId="3" type="noConversion"/>
  </si>
  <si>
    <t>이지영</t>
    <phoneticPr fontId="3" type="noConversion"/>
  </si>
  <si>
    <t>영업부</t>
    <phoneticPr fontId="3" type="noConversion"/>
  </si>
  <si>
    <t>한가람</t>
    <phoneticPr fontId="3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</si>
  <si>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-312</t>
    </r>
    <phoneticPr fontId="3" type="noConversion"/>
  </si>
  <si>
    <t>하나미</t>
    <phoneticPr fontId="3" type="noConversion"/>
  </si>
  <si>
    <t>김은철</t>
    <phoneticPr fontId="3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</si>
  <si>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-245</t>
    </r>
    <phoneticPr fontId="3" type="noConversion"/>
  </si>
  <si>
    <t>이정훈</t>
    <phoneticPr fontId="3" type="noConversion"/>
  </si>
  <si>
    <t>고사리</t>
    <phoneticPr fontId="3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</si>
  <si>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-431</t>
    </r>
    <phoneticPr fontId="3" type="noConversion"/>
  </si>
  <si>
    <t>임진태</t>
    <phoneticPr fontId="3" type="noConversion"/>
  </si>
  <si>
    <t>총무부</t>
    <phoneticPr fontId="3" type="noConversion"/>
  </si>
  <si>
    <t>박은별</t>
    <phoneticPr fontId="3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</si>
  <si>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-215</t>
    </r>
    <phoneticPr fontId="3" type="noConversion"/>
  </si>
  <si>
    <t>강태형</t>
    <phoneticPr fontId="3" type="noConversion"/>
  </si>
  <si>
    <t>성준서</t>
    <phoneticPr fontId="3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</si>
  <si>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-456</t>
    </r>
    <phoneticPr fontId="3" type="noConversion"/>
  </si>
  <si>
    <t>피정우</t>
    <phoneticPr fontId="3" type="noConversion"/>
  </si>
  <si>
    <t>AC-0906</t>
    <phoneticPr fontId="3" type="noConversion"/>
  </si>
  <si>
    <t>이성연</t>
    <phoneticPr fontId="3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</si>
  <si>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-123</t>
    </r>
    <phoneticPr fontId="3" type="noConversion"/>
  </si>
  <si>
    <t>이태민</t>
    <phoneticPr fontId="3" type="noConversion"/>
  </si>
  <si>
    <t>[표1]</t>
    <phoneticPr fontId="3" type="noConversion"/>
  </si>
  <si>
    <t>[표2]</t>
    <phoneticPr fontId="3" type="noConversion"/>
  </si>
  <si>
    <t>[표3]</t>
    <phoneticPr fontId="3" type="noConversion"/>
  </si>
  <si>
    <t>고객번호</t>
    <phoneticPr fontId="3" type="noConversion"/>
  </si>
  <si>
    <t>고객명</t>
    <phoneticPr fontId="3" type="noConversion"/>
  </si>
  <si>
    <t>고객등급</t>
    <phoneticPr fontId="3" type="noConversion"/>
  </si>
  <si>
    <t>사은품</t>
    <phoneticPr fontId="3" type="noConversion"/>
  </si>
  <si>
    <t>위치</t>
    <phoneticPr fontId="3" type="noConversion"/>
  </si>
  <si>
    <t>이용일수</t>
    <phoneticPr fontId="3" type="noConversion"/>
  </si>
  <si>
    <t>비고</t>
    <phoneticPr fontId="3" type="noConversion"/>
  </si>
  <si>
    <t>수강료</t>
    <phoneticPr fontId="3" type="noConversion"/>
  </si>
  <si>
    <t>권태형</t>
    <phoneticPr fontId="3" type="noConversion"/>
  </si>
  <si>
    <r>
      <t>G</t>
    </r>
    <r>
      <rPr>
        <sz val="11"/>
        <color theme="1"/>
        <rFont val="맑은 고딕"/>
        <family val="3"/>
        <charset val="129"/>
        <scheme val="minor"/>
      </rPr>
      <t>OLD</t>
    </r>
    <phoneticPr fontId="3" type="noConversion"/>
  </si>
  <si>
    <t>통영</t>
    <phoneticPr fontId="3" type="noConversion"/>
  </si>
  <si>
    <t>서현진</t>
    <phoneticPr fontId="3" type="noConversion"/>
  </si>
  <si>
    <t>김병수</t>
    <phoneticPr fontId="3" type="noConversion"/>
  </si>
  <si>
    <t>강주호</t>
    <phoneticPr fontId="3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</si>
  <si>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IAMOND</t>
    </r>
    <phoneticPr fontId="3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</si>
  <si>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ILVER</t>
    </r>
    <phoneticPr fontId="3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</si>
  <si>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OPPER</t>
    </r>
    <phoneticPr fontId="3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</si>
  <si>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-101</t>
    </r>
    <phoneticPr fontId="3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</si>
  <si>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-201</t>
    </r>
    <phoneticPr fontId="3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</si>
  <si>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-312</t>
    </r>
    <phoneticPr fontId="3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</si>
  <si>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-245</t>
    </r>
    <phoneticPr fontId="3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</si>
  <si>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-431</t>
    </r>
    <phoneticPr fontId="3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</si>
  <si>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-215</t>
    </r>
    <phoneticPr fontId="3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</si>
  <si>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-456</t>
    </r>
    <phoneticPr fontId="3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</si>
  <si>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-123</t>
    </r>
    <phoneticPr fontId="3" type="noConversion"/>
  </si>
  <si>
    <t>구상공업</t>
  </si>
  <si>
    <t>초석산업</t>
  </si>
  <si>
    <t>홍신기업</t>
  </si>
  <si>
    <t>[표1] 차량운송현황</t>
    <phoneticPr fontId="3" type="noConversion"/>
  </si>
  <si>
    <t>일자</t>
    <phoneticPr fontId="3" type="noConversion"/>
  </si>
  <si>
    <t>차량번호</t>
    <phoneticPr fontId="3" type="noConversion"/>
  </si>
  <si>
    <t>거래처</t>
    <phoneticPr fontId="3" type="noConversion"/>
  </si>
  <si>
    <t>도착지</t>
    <phoneticPr fontId="3" type="noConversion"/>
  </si>
  <si>
    <t>수량</t>
    <phoneticPr fontId="3" type="noConversion"/>
  </si>
  <si>
    <t>협력사</t>
    <phoneticPr fontId="3" type="noConversion"/>
  </si>
  <si>
    <t>지급액</t>
    <phoneticPr fontId="3" type="noConversion"/>
  </si>
  <si>
    <t>① 도착지가 '영천'인 지급액의 평균은?</t>
    <phoneticPr fontId="3" type="noConversion"/>
  </si>
  <si>
    <t>영천</t>
    <phoneticPr fontId="3" type="noConversion"/>
  </si>
  <si>
    <t>자차</t>
    <phoneticPr fontId="3" type="noConversion"/>
  </si>
  <si>
    <t>전국</t>
    <phoneticPr fontId="3" type="noConversion"/>
  </si>
  <si>
    <t>의왕</t>
    <phoneticPr fontId="3" type="noConversion"/>
  </si>
  <si>
    <t>② 도착지가 '고령'이면서 협력사가 '자차'인 
지급액의 평균은?</t>
    <phoneticPr fontId="3" type="noConversion"/>
  </si>
  <si>
    <t>서울</t>
    <phoneticPr fontId="3" type="noConversion"/>
  </si>
  <si>
    <t>군위</t>
    <phoneticPr fontId="3" type="noConversion"/>
  </si>
  <si>
    <t>ERROR</t>
    <phoneticPr fontId="3" type="noConversion"/>
  </si>
  <si>
    <t>③ 거래처가 '초석산업', 도착지 '영천', 
수량 &gt;=10 조건을 모두 만족한 건수는?</t>
    <phoneticPr fontId="3" type="noConversion"/>
  </si>
  <si>
    <t>고령</t>
    <phoneticPr fontId="3" type="noConversion"/>
  </si>
  <si>
    <t>한성</t>
    <phoneticPr fontId="3" type="noConversion"/>
  </si>
  <si>
    <t>④ 수량에서 최대값은?</t>
    <phoneticPr fontId="3" type="noConversion"/>
  </si>
  <si>
    <t>구미</t>
    <phoneticPr fontId="3" type="noConversion"/>
  </si>
  <si>
    <t>황소</t>
    <phoneticPr fontId="3" type="noConversion"/>
  </si>
  <si>
    <t>열번호(COLUMN)</t>
    <phoneticPr fontId="3" type="noConversion"/>
  </si>
  <si>
    <t>행번호(ROW)</t>
    <phoneticPr fontId="3" type="noConversion"/>
  </si>
  <si>
    <t>EXCEL</t>
    <phoneticPr fontId="3" type="noConversion"/>
  </si>
  <si>
    <t>① [B3:F8] 영역의 열의 개수는?</t>
    <phoneticPr fontId="3" type="noConversion"/>
  </si>
  <si>
    <t>② [B3:F8] 영역의 행의 개수는?</t>
    <phoneticPr fontId="3" type="noConversion"/>
  </si>
  <si>
    <t>③ [B2] 셀의 열 번호는?</t>
    <phoneticPr fontId="3" type="noConversion"/>
  </si>
  <si>
    <t>④ [B2] 셀의 행 번호는?</t>
    <phoneticPr fontId="3" type="noConversion"/>
  </si>
  <si>
    <t>400점 이상이거나 2학년</t>
    <phoneticPr fontId="3" type="noConversion"/>
  </si>
  <si>
    <t>기준표</t>
    <phoneticPr fontId="3" type="noConversion"/>
  </si>
  <si>
    <t>부서</t>
    <phoneticPr fontId="2" type="noConversion"/>
  </si>
  <si>
    <t>영업2부</t>
    <phoneticPr fontId="2" type="noConversion"/>
  </si>
  <si>
    <t>소속</t>
    <phoneticPr fontId="2" type="noConversion"/>
  </si>
  <si>
    <t>준우승횟수</t>
    <phoneticPr fontId="2" type="noConversion"/>
  </si>
  <si>
    <t>대한</t>
    <phoneticPr fontId="2" type="noConversion"/>
  </si>
  <si>
    <t>&gt;=5</t>
    <phoneticPr fontId="2" type="noConversion"/>
  </si>
  <si>
    <t>학년</t>
    <phoneticPr fontId="2" type="noConversion"/>
  </si>
  <si>
    <t>평가점수</t>
    <phoneticPr fontId="2" type="noConversion"/>
  </si>
  <si>
    <t>&gt;=400</t>
    <phoneticPr fontId="2" type="noConversion"/>
  </si>
  <si>
    <t>상반기합계</t>
    <phoneticPr fontId="2" type="noConversion"/>
  </si>
  <si>
    <t>&lt;=1000000</t>
    <phoneticPr fontId="2" type="noConversion"/>
  </si>
  <si>
    <t>&gt;=50000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</si>
</sst>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0.0%"/>
    <numFmt numFmtId="177" formatCode="_-* #,##0_-;\-* #,##0_-;_-* &quot;-&quot;??_-;_-@_-"/>
    <numFmt numFmtId="178" formatCode="0_);[Red]\(0\)"/>
    <numFmt numFmtId="179" formatCode="mm&quot;월&quot;\ dd&quot;일&quot;"/>
    <numFmt numFmtId="180" formatCode="#,##0_ "/>
    <numFmt numFmtId="181" formatCode="yy/mm/dd"/>
    <numFmt numFmtId="182" formatCode="#,##0_);[Red]\(#,##0\)"/>
    <numFmt numFmtId="183" formatCode="_-* #,##0.00_-;\-* #,##0.00_-;_-* &quot;-&quot;_-;_-@_-"/>
    <numFmt numFmtId="184" formatCode="0.0"/>
    <numFmt numFmtId="185" formatCode="mm&quot;월&quot;\ dd&quot;일&quot;;@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inor"/>
    </font>
    <font>
      <b/>
      <u/>
      <sz val="14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</cellStyleXfs>
  <cellXfs count="25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1" fontId="5" fillId="0" borderId="1" xfId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41" fontId="5" fillId="0" borderId="1" xfId="1" applyFont="1" applyBorder="1" applyAlignment="1">
      <alignment horizontal="left"/>
    </xf>
    <xf numFmtId="41" fontId="5" fillId="0" borderId="1" xfId="1" applyFont="1" applyBorder="1" applyAlignment="1"/>
    <xf numFmtId="176" fontId="5" fillId="0" borderId="1" xfId="2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41" fontId="5" fillId="0" borderId="1" xfId="1" applyFont="1" applyFill="1" applyBorder="1" applyAlignment="1">
      <alignment horizontal="left"/>
    </xf>
    <xf numFmtId="41" fontId="4" fillId="0" borderId="1" xfId="0" applyNumberFormat="1" applyFont="1" applyBorder="1" applyAlignment="1"/>
    <xf numFmtId="0" fontId="4" fillId="0" borderId="2" xfId="0" applyFont="1" applyBorder="1" applyAlignment="1"/>
    <xf numFmtId="0" fontId="4" fillId="0" borderId="0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41" fontId="5" fillId="0" borderId="0" xfId="1" applyFont="1" applyBorder="1" applyAlignment="1">
      <alignment horizontal="center"/>
    </xf>
    <xf numFmtId="0" fontId="5" fillId="0" borderId="0" xfId="0" applyFont="1">
      <alignment vertical="center"/>
    </xf>
    <xf numFmtId="177" fontId="4" fillId="0" borderId="1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0" applyNumberFormat="1" applyFont="1" applyBorder="1">
      <alignment vertical="center"/>
    </xf>
    <xf numFmtId="9" fontId="5" fillId="0" borderId="1" xfId="2" applyFont="1" applyBorder="1" applyAlignment="1"/>
    <xf numFmtId="0" fontId="4" fillId="0" borderId="1" xfId="0" applyFont="1" applyBorder="1" applyAlignment="1"/>
    <xf numFmtId="9" fontId="4" fillId="0" borderId="1" xfId="0" applyNumberFormat="1" applyFont="1" applyBorder="1" applyAlignment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2" borderId="1" xfId="0" applyNumberFormat="1" applyFill="1" applyBorder="1">
      <alignment vertical="center"/>
    </xf>
    <xf numFmtId="22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8" fontId="0" fillId="2" borderId="1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179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2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9" fontId="0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80" fontId="4" fillId="0" borderId="1" xfId="1" applyNumberFormat="1" applyFont="1" applyBorder="1" applyAlignment="1">
      <alignment vertical="center"/>
    </xf>
    <xf numFmtId="0" fontId="4" fillId="0" borderId="0" xfId="0" applyFont="1" applyFill="1">
      <alignment vertical="center"/>
    </xf>
    <xf numFmtId="0" fontId="5" fillId="0" borderId="1" xfId="3" applyFont="1" applyFill="1" applyBorder="1" applyAlignment="1">
      <alignment horizontal="center"/>
    </xf>
    <xf numFmtId="0" fontId="5" fillId="0" borderId="1" xfId="4" applyFont="1" applyBorder="1" applyAlignment="1">
      <alignment horizontal="center" shrinkToFit="1"/>
    </xf>
    <xf numFmtId="0" fontId="5" fillId="0" borderId="1" xfId="4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41" fontId="4" fillId="0" borderId="1" xfId="1" applyFont="1" applyBorder="1" applyAlignment="1">
      <alignment horizontal="center"/>
    </xf>
    <xf numFmtId="3" fontId="4" fillId="0" borderId="1" xfId="0" applyNumberFormat="1" applyFont="1" applyBorder="1">
      <alignment vertical="center"/>
    </xf>
    <xf numFmtId="0" fontId="5" fillId="0" borderId="0" xfId="4" applyFont="1"/>
    <xf numFmtId="180" fontId="4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1" fontId="5" fillId="0" borderId="1" xfId="1" applyFont="1" applyBorder="1" applyAlignment="1">
      <alignment vertical="center"/>
    </xf>
    <xf numFmtId="0" fontId="4" fillId="5" borderId="1" xfId="0" applyFont="1" applyFill="1" applyBorder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shrinkToFit="1"/>
    </xf>
    <xf numFmtId="0" fontId="5" fillId="0" borderId="1" xfId="4" applyFont="1" applyBorder="1" applyAlignment="1">
      <alignment horizontal="center" vertical="center"/>
    </xf>
    <xf numFmtId="0" fontId="5" fillId="0" borderId="1" xfId="5" applyFont="1" applyBorder="1" applyAlignment="1">
      <alignment horizontal="center" vertical="center"/>
    </xf>
    <xf numFmtId="3" fontId="4" fillId="0" borderId="1" xfId="0" applyNumberFormat="1" applyFont="1" applyBorder="1" applyAlignment="1">
      <alignment vertical="center"/>
    </xf>
    <xf numFmtId="0" fontId="5" fillId="0" borderId="0" xfId="4" applyFont="1" applyAlignment="1">
      <alignment vertical="center"/>
    </xf>
    <xf numFmtId="0" fontId="6" fillId="0" borderId="0" xfId="0" applyFont="1" applyAlignment="1">
      <alignment vertical="center"/>
    </xf>
    <xf numFmtId="0" fontId="4" fillId="5" borderId="1" xfId="0" applyFont="1" applyFill="1" applyBorder="1" applyAlignment="1">
      <alignment vertical="center"/>
    </xf>
    <xf numFmtId="180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4" fillId="0" borderId="1" xfId="1" applyNumberFormat="1" applyFont="1" applyBorder="1" applyAlignment="1">
      <alignment horizontal="center"/>
    </xf>
    <xf numFmtId="183" fontId="4" fillId="0" borderId="1" xfId="1" applyNumberFormat="1" applyFont="1" applyBorder="1" applyAlignment="1">
      <alignment horizontal="center"/>
    </xf>
    <xf numFmtId="0" fontId="5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80" fontId="5" fillId="0" borderId="1" xfId="2" applyNumberFormat="1" applyFont="1" applyBorder="1" applyAlignment="1"/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82" fontId="5" fillId="0" borderId="1" xfId="0" applyNumberFormat="1" applyFont="1" applyBorder="1" applyAlignment="1">
      <alignment horizontal="right"/>
    </xf>
    <xf numFmtId="182" fontId="5" fillId="0" borderId="1" xfId="1" applyNumberFormat="1" applyFont="1" applyBorder="1" applyAlignment="1">
      <alignment horizontal="right"/>
    </xf>
    <xf numFmtId="180" fontId="5" fillId="0" borderId="1" xfId="0" applyNumberFormat="1" applyFont="1" applyBorder="1" applyAlignment="1"/>
    <xf numFmtId="180" fontId="5" fillId="0" borderId="1" xfId="0" applyNumberFormat="1" applyFont="1" applyBorder="1">
      <alignment vertical="center"/>
    </xf>
    <xf numFmtId="0" fontId="5" fillId="2" borderId="1" xfId="0" applyFont="1" applyFill="1" applyBorder="1" applyAlignment="1">
      <alignment horizontal="center"/>
    </xf>
    <xf numFmtId="41" fontId="5" fillId="0" borderId="1" xfId="1" applyFont="1" applyFill="1" applyBorder="1" applyAlignment="1">
      <alignment vertical="center"/>
    </xf>
    <xf numFmtId="183" fontId="5" fillId="0" borderId="1" xfId="1" applyNumberFormat="1" applyFont="1" applyBorder="1">
      <alignment vertical="center"/>
    </xf>
    <xf numFmtId="0" fontId="6" fillId="0" borderId="0" xfId="6" applyFont="1" applyFill="1" applyBorder="1" applyAlignment="1">
      <alignment horizontal="left"/>
    </xf>
    <xf numFmtId="0" fontId="5" fillId="0" borderId="0" xfId="6" applyFont="1" applyFill="1" applyBorder="1" applyAlignment="1">
      <alignment horizontal="center"/>
    </xf>
    <xf numFmtId="0" fontId="5" fillId="0" borderId="0" xfId="6" applyFont="1" applyAlignment="1">
      <alignment horizontal="center"/>
    </xf>
    <xf numFmtId="0" fontId="5" fillId="0" borderId="0" xfId="6" applyFont="1" applyAlignment="1"/>
    <xf numFmtId="0" fontId="5" fillId="0" borderId="0" xfId="7" applyFont="1">
      <alignment vertical="center"/>
    </xf>
    <xf numFmtId="0" fontId="10" fillId="0" borderId="0" xfId="7" applyFont="1" applyAlignment="1">
      <alignment horizontal="left" vertical="center"/>
    </xf>
    <xf numFmtId="0" fontId="6" fillId="0" borderId="0" xfId="7" applyFont="1">
      <alignment vertical="center"/>
    </xf>
    <xf numFmtId="0" fontId="5" fillId="0" borderId="1" xfId="7" applyFont="1" applyBorder="1" applyAlignment="1">
      <alignment horizontal="center"/>
    </xf>
    <xf numFmtId="0" fontId="5" fillId="0" borderId="1" xfId="6" applyFont="1" applyBorder="1" applyAlignment="1">
      <alignment horizontal="center"/>
    </xf>
    <xf numFmtId="0" fontId="5" fillId="2" borderId="1" xfId="6" applyFont="1" applyFill="1" applyBorder="1" applyAlignment="1">
      <alignment horizontal="center"/>
    </xf>
    <xf numFmtId="14" fontId="5" fillId="0" borderId="1" xfId="7" applyNumberFormat="1" applyFont="1" applyBorder="1" applyAlignment="1">
      <alignment horizontal="center"/>
    </xf>
    <xf numFmtId="0" fontId="5" fillId="0" borderId="0" xfId="6" applyFont="1" applyBorder="1" applyAlignment="1"/>
    <xf numFmtId="0" fontId="5" fillId="0" borderId="1" xfId="7" applyFont="1" applyFill="1" applyBorder="1" applyAlignment="1">
      <alignment horizontal="center"/>
    </xf>
    <xf numFmtId="0" fontId="10" fillId="0" borderId="0" xfId="7" applyFont="1" applyAlignment="1">
      <alignment horizontal="left"/>
    </xf>
    <xf numFmtId="0" fontId="5" fillId="0" borderId="0" xfId="7" applyFont="1" applyAlignment="1">
      <alignment horizontal="left"/>
    </xf>
    <xf numFmtId="0" fontId="6" fillId="0" borderId="0" xfId="7" applyFont="1" applyAlignment="1">
      <alignment horizontal="center"/>
    </xf>
    <xf numFmtId="0" fontId="5" fillId="0" borderId="0" xfId="7" applyFont="1" applyAlignment="1">
      <alignment horizontal="center"/>
    </xf>
    <xf numFmtId="0" fontId="11" fillId="0" borderId="0" xfId="7" applyFont="1" applyAlignment="1">
      <alignment horizontal="left"/>
    </xf>
    <xf numFmtId="0" fontId="5" fillId="0" borderId="3" xfId="7" applyFont="1" applyBorder="1" applyAlignment="1">
      <alignment horizontal="center"/>
    </xf>
    <xf numFmtId="0" fontId="5" fillId="2" borderId="1" xfId="7" applyFont="1" applyFill="1" applyBorder="1" applyAlignment="1">
      <alignment horizontal="center"/>
    </xf>
    <xf numFmtId="0" fontId="5" fillId="2" borderId="1" xfId="7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4" fillId="0" borderId="1" xfId="0" applyNumberFormat="1" applyFont="1" applyBorder="1">
      <alignment vertical="center"/>
    </xf>
    <xf numFmtId="0" fontId="5" fillId="0" borderId="0" xfId="0" applyFont="1" applyAlignment="1">
      <alignment horizontal="left"/>
    </xf>
    <xf numFmtId="184" fontId="5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84" fontId="5" fillId="0" borderId="0" xfId="0" applyNumberFormat="1" applyFont="1" applyFill="1" applyBorder="1" applyAlignment="1">
      <alignment horizontal="center"/>
    </xf>
    <xf numFmtId="9" fontId="5" fillId="0" borderId="1" xfId="2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4" fillId="0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/>
    </xf>
    <xf numFmtId="176" fontId="4" fillId="0" borderId="8" xfId="2" applyNumberFormat="1" applyFont="1" applyBorder="1" applyAlignment="1">
      <alignment horizontal="center"/>
    </xf>
    <xf numFmtId="41" fontId="4" fillId="0" borderId="1" xfId="1" applyFont="1" applyBorder="1">
      <alignment vertical="center"/>
    </xf>
    <xf numFmtId="0" fontId="4" fillId="0" borderId="1" xfId="0" applyFont="1" applyBorder="1">
      <alignment vertical="center"/>
    </xf>
    <xf numFmtId="0" fontId="6" fillId="0" borderId="0" xfId="0" applyFont="1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8" applyFont="1" applyFill="1" applyBorder="1" applyAlignment="1">
      <alignment horizontal="left"/>
    </xf>
    <xf numFmtId="0" fontId="4" fillId="0" borderId="1" xfId="8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8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0" borderId="0" xfId="8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79" fontId="5" fillId="0" borderId="1" xfId="0" applyNumberFormat="1" applyFont="1" applyFill="1" applyBorder="1" applyAlignment="1">
      <alignment horizontal="center"/>
    </xf>
    <xf numFmtId="185" fontId="4" fillId="0" borderId="6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 vertical="center"/>
    </xf>
    <xf numFmtId="185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vertical="center"/>
    </xf>
    <xf numFmtId="185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3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7" applyFont="1" applyFill="1" applyBorder="1" applyAlignment="1">
      <alignment horizontal="center"/>
    </xf>
    <xf numFmtId="0" fontId="5" fillId="0" borderId="1" xfId="7" applyFont="1" applyBorder="1" applyAlignment="1">
      <alignment horizontal="center" vertical="center"/>
    </xf>
    <xf numFmtId="0" fontId="6" fillId="0" borderId="5" xfId="7" applyFont="1" applyBorder="1" applyAlignment="1">
      <alignment horizont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left" vertical="center"/>
    </xf>
    <xf numFmtId="41" fontId="4" fillId="0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41" fontId="4" fillId="0" borderId="1" xfId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textRotation="255"/>
    </xf>
    <xf numFmtId="0" fontId="0" fillId="0" borderId="3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9">
    <cellStyle name="백분율" xfId="2" builtinId="5"/>
    <cellStyle name="쉼표 [0]" xfId="1" builtinId="6"/>
    <cellStyle name="표준" xfId="0" builtinId="0"/>
    <cellStyle name="표준_seti" xfId="7"/>
    <cellStyle name="표준_계산작업" xfId="5"/>
    <cellStyle name="표준_기본작업-2" xfId="4"/>
    <cellStyle name="표준_기본작업-3" xfId="3"/>
    <cellStyle name="표준_소책자(1급)" xfId="8"/>
    <cellStyle name="표준_통계_seti" xfId="6"/>
  </cellStyles>
  <dxfs count="2"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95250</xdr:rowOff>
    </xdr:from>
    <xdr:to>
      <xdr:col>2</xdr:col>
      <xdr:colOff>704850</xdr:colOff>
      <xdr:row>1</xdr:row>
      <xdr:rowOff>95250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>
          <a:off x="1581150" y="28575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57150</xdr:colOff>
      <xdr:row>3</xdr:row>
      <xdr:rowOff>95250</xdr:rowOff>
    </xdr:from>
    <xdr:to>
      <xdr:col>2</xdr:col>
      <xdr:colOff>704850</xdr:colOff>
      <xdr:row>3</xdr:row>
      <xdr:rowOff>95250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1581150" y="66675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57150</xdr:colOff>
      <xdr:row>5</xdr:row>
      <xdr:rowOff>66675</xdr:rowOff>
    </xdr:from>
    <xdr:to>
      <xdr:col>2</xdr:col>
      <xdr:colOff>704850</xdr:colOff>
      <xdr:row>5</xdr:row>
      <xdr:rowOff>66675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1581150" y="1019175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6</xdr:col>
      <xdr:colOff>57150</xdr:colOff>
      <xdr:row>1</xdr:row>
      <xdr:rowOff>95250</xdr:rowOff>
    </xdr:from>
    <xdr:to>
      <xdr:col>6</xdr:col>
      <xdr:colOff>704850</xdr:colOff>
      <xdr:row>1</xdr:row>
      <xdr:rowOff>95250</xdr:rowOff>
    </xdr:to>
    <xdr:sp macro="" textlink="">
      <xdr:nvSpPr>
        <xdr:cNvPr id="5" name="Line 8"/>
        <xdr:cNvSpPr>
          <a:spLocks noChangeShapeType="1"/>
        </xdr:cNvSpPr>
      </xdr:nvSpPr>
      <xdr:spPr bwMode="auto">
        <a:xfrm>
          <a:off x="4629150" y="28575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6</xdr:col>
      <xdr:colOff>57150</xdr:colOff>
      <xdr:row>3</xdr:row>
      <xdr:rowOff>114300</xdr:rowOff>
    </xdr:from>
    <xdr:to>
      <xdr:col>6</xdr:col>
      <xdr:colOff>704850</xdr:colOff>
      <xdr:row>3</xdr:row>
      <xdr:rowOff>114300</xdr:rowOff>
    </xdr:to>
    <xdr:sp macro="" textlink="">
      <xdr:nvSpPr>
        <xdr:cNvPr id="6" name="Line 9"/>
        <xdr:cNvSpPr>
          <a:spLocks noChangeShapeType="1"/>
        </xdr:cNvSpPr>
      </xdr:nvSpPr>
      <xdr:spPr bwMode="auto">
        <a:xfrm>
          <a:off x="4629150" y="68580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57150</xdr:colOff>
      <xdr:row>1</xdr:row>
      <xdr:rowOff>95250</xdr:rowOff>
    </xdr:from>
    <xdr:to>
      <xdr:col>2</xdr:col>
      <xdr:colOff>704850</xdr:colOff>
      <xdr:row>1</xdr:row>
      <xdr:rowOff>95250</xdr:rowOff>
    </xdr:to>
    <xdr:sp macro="" textlink="">
      <xdr:nvSpPr>
        <xdr:cNvPr id="7" name="Line 34"/>
        <xdr:cNvSpPr>
          <a:spLocks noChangeShapeType="1"/>
        </xdr:cNvSpPr>
      </xdr:nvSpPr>
      <xdr:spPr bwMode="auto">
        <a:xfrm>
          <a:off x="1581150" y="28575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57150</xdr:colOff>
      <xdr:row>3</xdr:row>
      <xdr:rowOff>95250</xdr:rowOff>
    </xdr:from>
    <xdr:to>
      <xdr:col>2</xdr:col>
      <xdr:colOff>704850</xdr:colOff>
      <xdr:row>3</xdr:row>
      <xdr:rowOff>95250</xdr:rowOff>
    </xdr:to>
    <xdr:sp macro="" textlink="">
      <xdr:nvSpPr>
        <xdr:cNvPr id="8" name="Line 35"/>
        <xdr:cNvSpPr>
          <a:spLocks noChangeShapeType="1"/>
        </xdr:cNvSpPr>
      </xdr:nvSpPr>
      <xdr:spPr bwMode="auto">
        <a:xfrm>
          <a:off x="1581150" y="66675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57150</xdr:colOff>
      <xdr:row>5</xdr:row>
      <xdr:rowOff>66675</xdr:rowOff>
    </xdr:from>
    <xdr:to>
      <xdr:col>2</xdr:col>
      <xdr:colOff>704850</xdr:colOff>
      <xdr:row>5</xdr:row>
      <xdr:rowOff>66675</xdr:rowOff>
    </xdr:to>
    <xdr:sp macro="" textlink="">
      <xdr:nvSpPr>
        <xdr:cNvPr id="9" name="Line 36"/>
        <xdr:cNvSpPr>
          <a:spLocks noChangeShapeType="1"/>
        </xdr:cNvSpPr>
      </xdr:nvSpPr>
      <xdr:spPr bwMode="auto">
        <a:xfrm>
          <a:off x="1581150" y="1019175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6</xdr:col>
      <xdr:colOff>57150</xdr:colOff>
      <xdr:row>1</xdr:row>
      <xdr:rowOff>95250</xdr:rowOff>
    </xdr:from>
    <xdr:to>
      <xdr:col>6</xdr:col>
      <xdr:colOff>704850</xdr:colOff>
      <xdr:row>1</xdr:row>
      <xdr:rowOff>95250</xdr:rowOff>
    </xdr:to>
    <xdr:sp macro="" textlink="">
      <xdr:nvSpPr>
        <xdr:cNvPr id="10" name="Line 37"/>
        <xdr:cNvSpPr>
          <a:spLocks noChangeShapeType="1"/>
        </xdr:cNvSpPr>
      </xdr:nvSpPr>
      <xdr:spPr bwMode="auto">
        <a:xfrm>
          <a:off x="4629150" y="28575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6</xdr:col>
      <xdr:colOff>57150</xdr:colOff>
      <xdr:row>3</xdr:row>
      <xdr:rowOff>114300</xdr:rowOff>
    </xdr:from>
    <xdr:to>
      <xdr:col>6</xdr:col>
      <xdr:colOff>704850</xdr:colOff>
      <xdr:row>3</xdr:row>
      <xdr:rowOff>114300</xdr:rowOff>
    </xdr:to>
    <xdr:sp macro="" textlink="">
      <xdr:nvSpPr>
        <xdr:cNvPr id="11" name="Line 38"/>
        <xdr:cNvSpPr>
          <a:spLocks noChangeShapeType="1"/>
        </xdr:cNvSpPr>
      </xdr:nvSpPr>
      <xdr:spPr bwMode="auto">
        <a:xfrm>
          <a:off x="4629150" y="68580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95250</xdr:rowOff>
    </xdr:from>
    <xdr:to>
      <xdr:col>2</xdr:col>
      <xdr:colOff>704850</xdr:colOff>
      <xdr:row>1</xdr:row>
      <xdr:rowOff>95250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581150" y="28575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57150</xdr:colOff>
      <xdr:row>3</xdr:row>
      <xdr:rowOff>95250</xdr:rowOff>
    </xdr:from>
    <xdr:to>
      <xdr:col>2</xdr:col>
      <xdr:colOff>704850</xdr:colOff>
      <xdr:row>3</xdr:row>
      <xdr:rowOff>95250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581150" y="66675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57150</xdr:colOff>
      <xdr:row>5</xdr:row>
      <xdr:rowOff>66675</xdr:rowOff>
    </xdr:from>
    <xdr:to>
      <xdr:col>2</xdr:col>
      <xdr:colOff>704850</xdr:colOff>
      <xdr:row>5</xdr:row>
      <xdr:rowOff>66675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581150" y="1019175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6</xdr:col>
      <xdr:colOff>57150</xdr:colOff>
      <xdr:row>1</xdr:row>
      <xdr:rowOff>95250</xdr:rowOff>
    </xdr:from>
    <xdr:to>
      <xdr:col>6</xdr:col>
      <xdr:colOff>704850</xdr:colOff>
      <xdr:row>1</xdr:row>
      <xdr:rowOff>95250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4629150" y="28575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6</xdr:col>
      <xdr:colOff>57150</xdr:colOff>
      <xdr:row>3</xdr:row>
      <xdr:rowOff>114300</xdr:rowOff>
    </xdr:from>
    <xdr:to>
      <xdr:col>6</xdr:col>
      <xdr:colOff>704850</xdr:colOff>
      <xdr:row>3</xdr:row>
      <xdr:rowOff>114300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629150" y="685800"/>
          <a:ext cx="6477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37" sqref="D37"/>
    </sheetView>
  </sheetViews>
  <sheetFormatPr defaultRowHeight="16.5"/>
  <cols>
    <col min="3" max="3" width="10.875" bestFit="1" customWidth="1"/>
    <col min="4" max="4" width="11.625" bestFit="1" customWidth="1"/>
    <col min="5" max="5" width="10.875" bestFit="1" customWidth="1"/>
    <col min="8" max="8" width="12.875" customWidth="1"/>
    <col min="9" max="9" width="11.875" bestFit="1" customWidth="1"/>
  </cols>
  <sheetData>
    <row r="1" spans="1:9">
      <c r="A1" s="1" t="s">
        <v>5</v>
      </c>
      <c r="B1" s="1" t="s">
        <v>0</v>
      </c>
      <c r="C1" s="1"/>
      <c r="D1" s="1"/>
      <c r="E1" s="1"/>
      <c r="F1" s="2" t="s">
        <v>6</v>
      </c>
      <c r="G1" s="3" t="s">
        <v>1</v>
      </c>
      <c r="H1" s="4"/>
      <c r="I1" s="3"/>
    </row>
    <row r="2" spans="1:9">
      <c r="A2" s="5" t="s">
        <v>7</v>
      </c>
      <c r="B2" s="5" t="s">
        <v>8</v>
      </c>
      <c r="C2" s="5" t="s">
        <v>9</v>
      </c>
      <c r="D2" s="6" t="s">
        <v>10</v>
      </c>
      <c r="E2" s="1"/>
      <c r="F2" s="7" t="s">
        <v>11</v>
      </c>
      <c r="G2" s="7" t="s">
        <v>12</v>
      </c>
      <c r="H2" s="8" t="s">
        <v>13</v>
      </c>
      <c r="I2" s="6" t="s">
        <v>14</v>
      </c>
    </row>
    <row r="3" spans="1:9">
      <c r="A3" s="5" t="s">
        <v>15</v>
      </c>
      <c r="B3" s="5">
        <v>327</v>
      </c>
      <c r="C3" s="9">
        <f>B3*3000</f>
        <v>981000</v>
      </c>
      <c r="D3" s="9">
        <f>C3*$C$9</f>
        <v>245250</v>
      </c>
      <c r="E3" s="1"/>
      <c r="F3" s="10" t="s">
        <v>16</v>
      </c>
      <c r="G3" s="11">
        <v>5</v>
      </c>
      <c r="H3" s="12">
        <v>5</v>
      </c>
      <c r="I3" s="13">
        <f>H3/$G$8</f>
        <v>0.1</v>
      </c>
    </row>
    <row r="4" spans="1:9">
      <c r="A4" s="5" t="s">
        <v>17</v>
      </c>
      <c r="B4" s="5">
        <v>370</v>
      </c>
      <c r="C4" s="9">
        <f>B4*350</f>
        <v>129500</v>
      </c>
      <c r="D4" s="9">
        <f t="shared" ref="D4:D7" si="0">C4*$C$9</f>
        <v>32375</v>
      </c>
      <c r="E4" s="1"/>
      <c r="F4" s="10" t="s">
        <v>18</v>
      </c>
      <c r="G4" s="11">
        <v>20</v>
      </c>
      <c r="H4" s="12">
        <v>25</v>
      </c>
      <c r="I4" s="13">
        <f t="shared" ref="I4:I7" si="1">H4/$G$8</f>
        <v>0.5</v>
      </c>
    </row>
    <row r="5" spans="1:9">
      <c r="A5" s="5" t="s">
        <v>19</v>
      </c>
      <c r="B5" s="5">
        <v>450</v>
      </c>
      <c r="C5" s="9">
        <f>B5*6500</f>
        <v>2925000</v>
      </c>
      <c r="D5" s="9">
        <f t="shared" si="0"/>
        <v>731250</v>
      </c>
      <c r="E5" s="1"/>
      <c r="F5" s="10" t="s">
        <v>20</v>
      </c>
      <c r="G5" s="11">
        <v>15</v>
      </c>
      <c r="H5" s="12">
        <v>40</v>
      </c>
      <c r="I5" s="13">
        <f t="shared" si="1"/>
        <v>0.8</v>
      </c>
    </row>
    <row r="6" spans="1:9">
      <c r="A6" s="5" t="s">
        <v>21</v>
      </c>
      <c r="B6" s="5">
        <v>900</v>
      </c>
      <c r="C6" s="9">
        <f>B6*340</f>
        <v>306000</v>
      </c>
      <c r="D6" s="9">
        <f t="shared" si="0"/>
        <v>76500</v>
      </c>
      <c r="E6" s="1"/>
      <c r="F6" s="14" t="s">
        <v>22</v>
      </c>
      <c r="G6" s="15">
        <v>7</v>
      </c>
      <c r="H6" s="12">
        <v>47</v>
      </c>
      <c r="I6" s="13">
        <f t="shared" si="1"/>
        <v>0.94</v>
      </c>
    </row>
    <row r="7" spans="1:9">
      <c r="A7" s="5" t="s">
        <v>23</v>
      </c>
      <c r="B7" s="5">
        <v>789</v>
      </c>
      <c r="C7" s="9">
        <f>B7*220</f>
        <v>173580</v>
      </c>
      <c r="D7" s="9">
        <f t="shared" si="0"/>
        <v>43395</v>
      </c>
      <c r="E7" s="1"/>
      <c r="F7" s="14" t="s">
        <v>24</v>
      </c>
      <c r="G7" s="15">
        <v>3</v>
      </c>
      <c r="H7" s="12">
        <v>50</v>
      </c>
      <c r="I7" s="13">
        <f t="shared" si="1"/>
        <v>1</v>
      </c>
    </row>
    <row r="8" spans="1:9">
      <c r="A8" s="5" t="s">
        <v>25</v>
      </c>
      <c r="B8" s="5">
        <v>670</v>
      </c>
      <c r="C8" s="9">
        <f>B8*550</f>
        <v>368500</v>
      </c>
      <c r="D8" s="9"/>
      <c r="E8" s="1"/>
      <c r="F8" s="14" t="s">
        <v>26</v>
      </c>
      <c r="G8" s="16">
        <f>SUM(G3:G7)</f>
        <v>50</v>
      </c>
      <c r="H8" s="17"/>
      <c r="I8" s="17"/>
    </row>
    <row r="9" spans="1:9">
      <c r="A9" s="18"/>
      <c r="B9" s="5" t="s">
        <v>27</v>
      </c>
      <c r="C9" s="19">
        <v>0.25</v>
      </c>
      <c r="D9" s="20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 t="s">
        <v>28</v>
      </c>
      <c r="H10" s="1" t="s">
        <v>2</v>
      </c>
      <c r="I10" s="1"/>
    </row>
    <row r="11" spans="1:9">
      <c r="A11" s="21" t="s">
        <v>29</v>
      </c>
      <c r="B11" s="21" t="s">
        <v>3</v>
      </c>
      <c r="C11" s="1"/>
      <c r="D11" s="1"/>
      <c r="E11" s="1"/>
      <c r="F11" s="1"/>
      <c r="G11" s="5" t="s">
        <v>30</v>
      </c>
      <c r="H11" s="5" t="s">
        <v>31</v>
      </c>
      <c r="I11" s="6" t="s">
        <v>32</v>
      </c>
    </row>
    <row r="12" spans="1:9">
      <c r="A12" s="5" t="s">
        <v>33</v>
      </c>
      <c r="B12" s="5" t="s">
        <v>34</v>
      </c>
      <c r="C12" s="8" t="s">
        <v>35</v>
      </c>
      <c r="D12" s="8" t="s">
        <v>36</v>
      </c>
      <c r="E12" s="6" t="s">
        <v>37</v>
      </c>
      <c r="F12" s="1"/>
      <c r="G12" s="5" t="s">
        <v>38</v>
      </c>
      <c r="H12" s="12">
        <v>75</v>
      </c>
      <c r="I12" s="22">
        <f>H12*$G$20*(1-$H$20)</f>
        <v>15000000</v>
      </c>
    </row>
    <row r="13" spans="1:9">
      <c r="A13" s="5" t="s">
        <v>39</v>
      </c>
      <c r="B13" s="23">
        <v>15</v>
      </c>
      <c r="C13" s="12">
        <v>2550000</v>
      </c>
      <c r="D13" s="24">
        <v>0.15</v>
      </c>
      <c r="E13" s="12">
        <f>C13+C13*(D13+$C$18)</f>
        <v>3085500</v>
      </c>
      <c r="F13" s="1"/>
      <c r="G13" s="5" t="s">
        <v>40</v>
      </c>
      <c r="H13" s="12">
        <v>65</v>
      </c>
      <c r="I13" s="22">
        <f t="shared" ref="I13:I17" si="2">H13*$G$20*(1-$H$20)</f>
        <v>13000000</v>
      </c>
    </row>
    <row r="14" spans="1:9">
      <c r="A14" s="5" t="s">
        <v>41</v>
      </c>
      <c r="B14" s="23">
        <v>9</v>
      </c>
      <c r="C14" s="12">
        <v>1500000</v>
      </c>
      <c r="D14" s="24">
        <v>0.1</v>
      </c>
      <c r="E14" s="12">
        <f t="shared" ref="E14:E16" si="3">C14+C14*(D14+$C$18)</f>
        <v>1740000</v>
      </c>
      <c r="F14" s="1"/>
      <c r="G14" s="5" t="s">
        <v>42</v>
      </c>
      <c r="H14" s="12">
        <v>56</v>
      </c>
      <c r="I14" s="22">
        <f t="shared" si="2"/>
        <v>11200000</v>
      </c>
    </row>
    <row r="15" spans="1:9">
      <c r="A15" s="5" t="s">
        <v>43</v>
      </c>
      <c r="B15" s="23">
        <v>10</v>
      </c>
      <c r="C15" s="12">
        <v>2000000</v>
      </c>
      <c r="D15" s="24">
        <v>0.12</v>
      </c>
      <c r="E15" s="12">
        <f t="shared" si="3"/>
        <v>2360000</v>
      </c>
      <c r="F15" s="1"/>
      <c r="G15" s="5" t="s">
        <v>44</v>
      </c>
      <c r="H15" s="12">
        <v>76</v>
      </c>
      <c r="I15" s="22">
        <f t="shared" si="2"/>
        <v>15200000</v>
      </c>
    </row>
    <row r="16" spans="1:9">
      <c r="A16" s="5" t="s">
        <v>45</v>
      </c>
      <c r="B16" s="23">
        <v>8</v>
      </c>
      <c r="C16" s="12">
        <v>2200000</v>
      </c>
      <c r="D16" s="24">
        <v>0.1</v>
      </c>
      <c r="E16" s="12">
        <f t="shared" si="3"/>
        <v>2552000</v>
      </c>
      <c r="F16" s="1"/>
      <c r="G16" s="5" t="s">
        <v>46</v>
      </c>
      <c r="H16" s="12">
        <v>56</v>
      </c>
      <c r="I16" s="22">
        <f t="shared" si="2"/>
        <v>11200000</v>
      </c>
    </row>
    <row r="17" spans="1:9">
      <c r="A17" s="5" t="s">
        <v>47</v>
      </c>
      <c r="B17" s="23">
        <v>4</v>
      </c>
      <c r="C17" s="12">
        <v>1300000</v>
      </c>
      <c r="D17" s="24">
        <v>7.0000000000000007E-2</v>
      </c>
      <c r="E17" s="12">
        <f>C17+C17*(D17+$C$18)</f>
        <v>1469000</v>
      </c>
      <c r="F17" s="1"/>
      <c r="G17" s="5" t="s">
        <v>48</v>
      </c>
      <c r="H17" s="12">
        <v>85</v>
      </c>
      <c r="I17" s="22">
        <f t="shared" si="2"/>
        <v>17000000</v>
      </c>
    </row>
    <row r="18" spans="1:9">
      <c r="A18" s="200" t="s">
        <v>49</v>
      </c>
      <c r="B18" s="200"/>
      <c r="C18" s="25">
        <v>0.06</v>
      </c>
      <c r="D18" s="1"/>
      <c r="E18" s="1"/>
      <c r="F18" s="1"/>
      <c r="G18" s="3"/>
      <c r="H18" s="3"/>
      <c r="I18" s="3"/>
    </row>
    <row r="19" spans="1:9">
      <c r="A19" s="1"/>
      <c r="B19" s="1"/>
      <c r="C19" s="1"/>
      <c r="D19" s="1"/>
      <c r="E19" s="1"/>
      <c r="F19" s="1"/>
      <c r="G19" s="8" t="s">
        <v>50</v>
      </c>
      <c r="H19" s="5" t="s">
        <v>51</v>
      </c>
      <c r="I19" s="3"/>
    </row>
    <row r="20" spans="1:9">
      <c r="A20" s="1" t="s">
        <v>52</v>
      </c>
      <c r="B20" s="1" t="s">
        <v>4</v>
      </c>
      <c r="C20" s="1"/>
      <c r="D20" s="1"/>
      <c r="E20" s="1"/>
      <c r="F20" s="1"/>
      <c r="G20" s="26">
        <v>250000</v>
      </c>
      <c r="H20" s="27">
        <v>0.2</v>
      </c>
      <c r="I20" s="3"/>
    </row>
    <row r="21" spans="1:9">
      <c r="A21" s="28" t="s">
        <v>53</v>
      </c>
      <c r="B21" s="28" t="s">
        <v>54</v>
      </c>
      <c r="C21" s="28" t="s">
        <v>55</v>
      </c>
      <c r="D21" s="29" t="s">
        <v>56</v>
      </c>
      <c r="E21" s="1"/>
      <c r="F21" s="1"/>
    </row>
    <row r="22" spans="1:9">
      <c r="A22" s="28" t="s">
        <v>57</v>
      </c>
      <c r="B22" s="30">
        <v>50</v>
      </c>
      <c r="C22" s="30">
        <v>23</v>
      </c>
      <c r="D22" s="30">
        <f>822*$C$28+C22*$C$29</f>
        <v>89.04</v>
      </c>
      <c r="E22" s="1"/>
      <c r="F22" s="1"/>
    </row>
    <row r="23" spans="1:9">
      <c r="A23" s="28" t="s">
        <v>58</v>
      </c>
      <c r="B23" s="30">
        <v>72</v>
      </c>
      <c r="C23" s="30">
        <v>14</v>
      </c>
      <c r="D23" s="30">
        <f t="shared" ref="D23:D27" si="4">822*$C$28+C23*$C$29</f>
        <v>89.58</v>
      </c>
      <c r="E23" s="1"/>
      <c r="F23" s="1"/>
    </row>
    <row r="24" spans="1:9">
      <c r="A24" s="28" t="s">
        <v>59</v>
      </c>
      <c r="B24" s="30">
        <v>85</v>
      </c>
      <c r="C24" s="30">
        <v>29</v>
      </c>
      <c r="D24" s="30">
        <f t="shared" si="4"/>
        <v>88.68</v>
      </c>
      <c r="E24" s="1"/>
      <c r="F24" s="1"/>
    </row>
    <row r="25" spans="1:9">
      <c r="A25" s="28" t="s">
        <v>60</v>
      </c>
      <c r="B25" s="30">
        <v>15</v>
      </c>
      <c r="C25" s="30">
        <v>2</v>
      </c>
      <c r="D25" s="30">
        <f t="shared" si="4"/>
        <v>90.3</v>
      </c>
      <c r="E25" s="1"/>
      <c r="F25" s="1"/>
    </row>
    <row r="26" spans="1:9">
      <c r="A26" s="28" t="s">
        <v>61</v>
      </c>
      <c r="B26" s="30">
        <v>78</v>
      </c>
      <c r="C26" s="30">
        <v>7</v>
      </c>
      <c r="D26" s="30">
        <f t="shared" si="4"/>
        <v>90</v>
      </c>
      <c r="E26" s="1"/>
      <c r="F26" s="1"/>
    </row>
    <row r="27" spans="1:9">
      <c r="A27" s="31" t="s">
        <v>62</v>
      </c>
      <c r="B27" s="30">
        <v>56</v>
      </c>
      <c r="C27" s="30">
        <v>5</v>
      </c>
      <c r="D27" s="30">
        <f t="shared" si="4"/>
        <v>90.12</v>
      </c>
      <c r="E27" s="1"/>
      <c r="F27" s="1"/>
    </row>
    <row r="28" spans="1:9">
      <c r="A28" s="201" t="s">
        <v>63</v>
      </c>
      <c r="B28" s="202"/>
      <c r="C28" s="32">
        <v>0.11</v>
      </c>
      <c r="D28" s="33"/>
      <c r="E28" s="1"/>
      <c r="F28" s="1"/>
    </row>
    <row r="29" spans="1:9">
      <c r="A29" s="201" t="s">
        <v>64</v>
      </c>
      <c r="B29" s="202"/>
      <c r="C29" s="32">
        <v>-0.06</v>
      </c>
      <c r="D29" s="33"/>
      <c r="E29" s="1"/>
      <c r="F29" s="1"/>
    </row>
  </sheetData>
  <mergeCells count="3">
    <mergeCell ref="A18:B18"/>
    <mergeCell ref="A28:B28"/>
    <mergeCell ref="A29:B2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/>
  </sheetViews>
  <sheetFormatPr defaultRowHeight="16.5"/>
  <cols>
    <col min="1" max="2" width="9" style="59"/>
    <col min="3" max="4" width="12.25" style="59" customWidth="1"/>
    <col min="5" max="5" width="9" style="59"/>
    <col min="6" max="7" width="11" style="59" bestFit="1" customWidth="1"/>
    <col min="8" max="8" width="9" style="59"/>
    <col min="9" max="9" width="11" style="59" bestFit="1" customWidth="1"/>
    <col min="10" max="16384" width="9" style="59"/>
  </cols>
  <sheetData>
    <row r="1" spans="1:9">
      <c r="A1" s="59" t="s">
        <v>165</v>
      </c>
      <c r="E1" s="85"/>
      <c r="F1" s="59" t="s">
        <v>166</v>
      </c>
    </row>
    <row r="2" spans="1:9">
      <c r="A2" s="87" t="s">
        <v>167</v>
      </c>
      <c r="B2" s="88" t="s">
        <v>168</v>
      </c>
      <c r="C2" s="89" t="s">
        <v>169</v>
      </c>
      <c r="D2" s="89" t="s">
        <v>170</v>
      </c>
      <c r="E2" s="85"/>
      <c r="F2" s="52" t="s">
        <v>171</v>
      </c>
      <c r="G2" s="52" t="s">
        <v>172</v>
      </c>
      <c r="H2" s="52" t="s">
        <v>173</v>
      </c>
      <c r="I2" s="52" t="s">
        <v>174</v>
      </c>
    </row>
    <row r="3" spans="1:9">
      <c r="A3" s="89" t="s">
        <v>175</v>
      </c>
      <c r="B3" s="89" t="s">
        <v>322</v>
      </c>
      <c r="C3" s="90">
        <v>79</v>
      </c>
      <c r="D3" s="90">
        <v>97</v>
      </c>
      <c r="E3" s="85"/>
      <c r="F3" s="52" t="s">
        <v>176</v>
      </c>
      <c r="G3" s="58">
        <v>1673</v>
      </c>
      <c r="H3" s="52">
        <v>40</v>
      </c>
      <c r="I3" s="91">
        <f t="shared" ref="I3:I10" si="0">G3*H3</f>
        <v>66920</v>
      </c>
    </row>
    <row r="4" spans="1:9">
      <c r="A4" s="89" t="s">
        <v>177</v>
      </c>
      <c r="B4" s="89" t="s">
        <v>257</v>
      </c>
      <c r="C4" s="90">
        <v>77</v>
      </c>
      <c r="D4" s="90">
        <v>89</v>
      </c>
      <c r="E4" s="85"/>
      <c r="F4" s="52" t="s">
        <v>178</v>
      </c>
      <c r="G4" s="58">
        <v>1506</v>
      </c>
      <c r="H4" s="52">
        <v>58</v>
      </c>
      <c r="I4" s="91">
        <f t="shared" si="0"/>
        <v>87348</v>
      </c>
    </row>
    <row r="5" spans="1:9">
      <c r="A5" s="89" t="s">
        <v>179</v>
      </c>
      <c r="B5" s="89" t="s">
        <v>322</v>
      </c>
      <c r="C5" s="90">
        <v>56</v>
      </c>
      <c r="D5" s="90">
        <v>76</v>
      </c>
      <c r="E5" s="85"/>
      <c r="F5" s="52" t="s">
        <v>180</v>
      </c>
      <c r="G5" s="58">
        <v>1126</v>
      </c>
      <c r="H5" s="52">
        <v>91</v>
      </c>
      <c r="I5" s="91">
        <f t="shared" si="0"/>
        <v>102466</v>
      </c>
    </row>
    <row r="6" spans="1:9">
      <c r="A6" s="89" t="s">
        <v>181</v>
      </c>
      <c r="B6" s="89" t="s">
        <v>257</v>
      </c>
      <c r="C6" s="90">
        <v>88</v>
      </c>
      <c r="D6" s="90">
        <v>80</v>
      </c>
      <c r="E6" s="85"/>
      <c r="F6" s="52" t="s">
        <v>182</v>
      </c>
      <c r="G6" s="58">
        <v>2953</v>
      </c>
      <c r="H6" s="52">
        <v>99</v>
      </c>
      <c r="I6" s="91">
        <f t="shared" si="0"/>
        <v>292347</v>
      </c>
    </row>
    <row r="7" spans="1:9">
      <c r="A7" s="89" t="s">
        <v>183</v>
      </c>
      <c r="B7" s="89" t="s">
        <v>322</v>
      </c>
      <c r="C7" s="90">
        <v>88</v>
      </c>
      <c r="D7" s="90">
        <v>93</v>
      </c>
      <c r="E7" s="85"/>
      <c r="F7" s="52" t="s">
        <v>176</v>
      </c>
      <c r="G7" s="58">
        <v>1423</v>
      </c>
      <c r="H7" s="52">
        <v>54</v>
      </c>
      <c r="I7" s="91">
        <f t="shared" si="0"/>
        <v>76842</v>
      </c>
    </row>
    <row r="8" spans="1:9">
      <c r="A8" s="89" t="s">
        <v>184</v>
      </c>
      <c r="B8" s="89" t="s">
        <v>257</v>
      </c>
      <c r="C8" s="90">
        <v>91</v>
      </c>
      <c r="D8" s="90">
        <v>67</v>
      </c>
      <c r="E8" s="85"/>
      <c r="F8" s="52" t="s">
        <v>180</v>
      </c>
      <c r="G8" s="58">
        <v>1338</v>
      </c>
      <c r="H8" s="52">
        <v>40</v>
      </c>
      <c r="I8" s="91">
        <f t="shared" si="0"/>
        <v>53520</v>
      </c>
    </row>
    <row r="9" spans="1:9">
      <c r="A9" s="89" t="s">
        <v>185</v>
      </c>
      <c r="B9" s="89" t="s">
        <v>322</v>
      </c>
      <c r="C9" s="90">
        <v>85</v>
      </c>
      <c r="D9" s="90">
        <v>56</v>
      </c>
      <c r="E9" s="85"/>
      <c r="F9" s="52" t="s">
        <v>176</v>
      </c>
      <c r="G9" s="58">
        <v>2310</v>
      </c>
      <c r="H9" s="52">
        <v>73</v>
      </c>
      <c r="I9" s="91">
        <f t="shared" si="0"/>
        <v>168630</v>
      </c>
    </row>
    <row r="10" spans="1:9">
      <c r="A10" s="89" t="s">
        <v>186</v>
      </c>
      <c r="B10" s="89" t="s">
        <v>322</v>
      </c>
      <c r="C10" s="90">
        <v>76</v>
      </c>
      <c r="D10" s="90">
        <v>89</v>
      </c>
      <c r="E10" s="85"/>
      <c r="F10" s="52" t="s">
        <v>187</v>
      </c>
      <c r="G10" s="58">
        <v>1937</v>
      </c>
      <c r="H10" s="52">
        <v>90</v>
      </c>
      <c r="I10" s="91">
        <f t="shared" si="0"/>
        <v>174330</v>
      </c>
    </row>
    <row r="11" spans="1:9">
      <c r="B11" s="92"/>
      <c r="E11" s="85"/>
    </row>
    <row r="12" spans="1:9">
      <c r="A12" s="204" t="s">
        <v>188</v>
      </c>
      <c r="B12" s="204"/>
      <c r="C12" s="204"/>
      <c r="D12" s="52">
        <f>DAVERAGE(A2:D10,3,B2:B3)</f>
        <v>76.8</v>
      </c>
      <c r="E12" s="85"/>
      <c r="F12" s="204" t="s">
        <v>189</v>
      </c>
      <c r="G12" s="204"/>
      <c r="H12" s="204"/>
      <c r="I12" s="95">
        <f>DSUM(F2:I10,4,F2:F3)</f>
        <v>312392</v>
      </c>
    </row>
    <row r="13" spans="1:9">
      <c r="A13" s="85"/>
      <c r="B13" s="85"/>
      <c r="C13" s="85"/>
      <c r="D13" s="85"/>
      <c r="E13" s="85"/>
      <c r="F13" s="85"/>
      <c r="G13" s="85"/>
      <c r="H13" s="85"/>
      <c r="I13" s="85"/>
    </row>
    <row r="14" spans="1:9">
      <c r="A14" s="59" t="s">
        <v>190</v>
      </c>
      <c r="F14" s="59" t="s">
        <v>191</v>
      </c>
      <c r="G14" s="93"/>
    </row>
    <row r="15" spans="1:9">
      <c r="A15" s="53" t="s">
        <v>167</v>
      </c>
      <c r="B15" s="53" t="s">
        <v>192</v>
      </c>
      <c r="C15" s="53" t="s">
        <v>193</v>
      </c>
      <c r="D15" s="53" t="s">
        <v>194</v>
      </c>
      <c r="F15" s="52" t="s">
        <v>195</v>
      </c>
      <c r="G15" s="52" t="s">
        <v>196</v>
      </c>
      <c r="H15" s="52" t="s">
        <v>197</v>
      </c>
      <c r="I15" s="74" t="s">
        <v>198</v>
      </c>
    </row>
    <row r="16" spans="1:9">
      <c r="A16" s="31" t="s">
        <v>199</v>
      </c>
      <c r="B16" s="31" t="s">
        <v>200</v>
      </c>
      <c r="C16" s="31">
        <v>557</v>
      </c>
      <c r="D16" s="31">
        <v>345</v>
      </c>
      <c r="F16" s="52" t="s">
        <v>201</v>
      </c>
      <c r="G16" s="52" t="s">
        <v>202</v>
      </c>
      <c r="H16" s="52">
        <v>14</v>
      </c>
      <c r="I16" s="52">
        <v>20</v>
      </c>
    </row>
    <row r="17" spans="1:9">
      <c r="A17" s="31" t="s">
        <v>203</v>
      </c>
      <c r="B17" s="31" t="s">
        <v>204</v>
      </c>
      <c r="C17" s="31">
        <v>476</v>
      </c>
      <c r="D17" s="31">
        <v>513</v>
      </c>
      <c r="F17" s="52" t="s">
        <v>205</v>
      </c>
      <c r="G17" s="52" t="s">
        <v>206</v>
      </c>
      <c r="H17" s="52">
        <v>2</v>
      </c>
      <c r="I17" s="52">
        <v>13</v>
      </c>
    </row>
    <row r="18" spans="1:9">
      <c r="A18" s="31" t="s">
        <v>207</v>
      </c>
      <c r="B18" s="31" t="s">
        <v>200</v>
      </c>
      <c r="C18" s="31">
        <v>231</v>
      </c>
      <c r="D18" s="31">
        <v>474</v>
      </c>
      <c r="F18" s="52" t="s">
        <v>205</v>
      </c>
      <c r="G18" s="52" t="s">
        <v>208</v>
      </c>
      <c r="H18" s="52">
        <v>3</v>
      </c>
      <c r="I18" s="52">
        <v>3</v>
      </c>
    </row>
    <row r="19" spans="1:9">
      <c r="A19" s="31" t="s">
        <v>209</v>
      </c>
      <c r="B19" s="31" t="s">
        <v>204</v>
      </c>
      <c r="C19" s="31">
        <v>175</v>
      </c>
      <c r="D19" s="31">
        <v>453</v>
      </c>
      <c r="F19" s="52" t="s">
        <v>210</v>
      </c>
      <c r="G19" s="52" t="s">
        <v>211</v>
      </c>
      <c r="H19" s="52">
        <v>8</v>
      </c>
      <c r="I19" s="52">
        <v>5</v>
      </c>
    </row>
    <row r="20" spans="1:9">
      <c r="A20" s="31" t="s">
        <v>212</v>
      </c>
      <c r="B20" s="31" t="s">
        <v>204</v>
      </c>
      <c r="C20" s="31">
        <v>834</v>
      </c>
      <c r="D20" s="31">
        <v>401</v>
      </c>
      <c r="F20" s="52" t="s">
        <v>201</v>
      </c>
      <c r="G20" s="52" t="s">
        <v>213</v>
      </c>
      <c r="H20" s="52">
        <v>5</v>
      </c>
      <c r="I20" s="52">
        <v>3</v>
      </c>
    </row>
    <row r="21" spans="1:9">
      <c r="A21" s="31" t="s">
        <v>214</v>
      </c>
      <c r="B21" s="31" t="s">
        <v>200</v>
      </c>
      <c r="C21" s="31">
        <v>597</v>
      </c>
      <c r="D21" s="31">
        <v>347</v>
      </c>
      <c r="F21" s="52" t="s">
        <v>205</v>
      </c>
      <c r="G21" s="52" t="s">
        <v>215</v>
      </c>
      <c r="H21" s="52">
        <v>15</v>
      </c>
      <c r="I21" s="52">
        <v>5</v>
      </c>
    </row>
    <row r="22" spans="1:9">
      <c r="A22" s="85"/>
      <c r="B22" s="85"/>
      <c r="C22" s="85"/>
      <c r="D22" s="85"/>
      <c r="E22" s="85"/>
    </row>
    <row r="23" spans="1:9">
      <c r="A23" s="75" t="s">
        <v>192</v>
      </c>
      <c r="B23" s="76" t="s">
        <v>193</v>
      </c>
      <c r="C23" s="76" t="s">
        <v>194</v>
      </c>
      <c r="E23" s="77"/>
      <c r="F23" s="204" t="s">
        <v>216</v>
      </c>
      <c r="G23" s="204"/>
      <c r="H23" s="78" t="s">
        <v>195</v>
      </c>
      <c r="I23" s="79" t="s">
        <v>198</v>
      </c>
    </row>
    <row r="24" spans="1:9">
      <c r="A24" s="78" t="s">
        <v>204</v>
      </c>
      <c r="B24" s="80">
        <f>DMAX($A$15:$D$21,C15,$A$23:$A$24)</f>
        <v>834</v>
      </c>
      <c r="C24" s="80">
        <f>DMAX($A$15:$D$21,D15,$A$23:$A$24)</f>
        <v>513</v>
      </c>
      <c r="E24" s="77"/>
      <c r="F24" s="207">
        <f>DCOUNT(F15:I21,3,H23:I24)</f>
        <v>2</v>
      </c>
      <c r="G24" s="207"/>
      <c r="H24" s="78" t="s">
        <v>205</v>
      </c>
      <c r="I24" s="78" t="s">
        <v>318</v>
      </c>
    </row>
    <row r="25" spans="1:9">
      <c r="A25" s="85"/>
      <c r="B25" s="85"/>
      <c r="C25" s="85"/>
      <c r="D25" s="85"/>
      <c r="E25" s="85"/>
      <c r="F25" s="85"/>
    </row>
    <row r="26" spans="1:9">
      <c r="A26" s="59" t="s">
        <v>217</v>
      </c>
      <c r="E26" s="85"/>
      <c r="F26" s="59" t="s">
        <v>218</v>
      </c>
    </row>
    <row r="27" spans="1:9">
      <c r="A27" s="52" t="s">
        <v>219</v>
      </c>
      <c r="B27" s="52" t="s">
        <v>220</v>
      </c>
      <c r="C27" s="52" t="s">
        <v>167</v>
      </c>
      <c r="D27" s="52" t="s">
        <v>221</v>
      </c>
      <c r="E27" s="85"/>
      <c r="F27" s="52" t="s">
        <v>222</v>
      </c>
      <c r="G27" s="52" t="s">
        <v>223</v>
      </c>
      <c r="H27" s="52" t="s">
        <v>224</v>
      </c>
      <c r="I27" s="52" t="s">
        <v>225</v>
      </c>
    </row>
    <row r="28" spans="1:9">
      <c r="A28" s="7" t="s">
        <v>226</v>
      </c>
      <c r="B28" s="30">
        <v>1</v>
      </c>
      <c r="C28" s="30" t="s">
        <v>227</v>
      </c>
      <c r="D28" s="30">
        <v>465</v>
      </c>
      <c r="E28" s="85"/>
      <c r="F28" s="52" t="s">
        <v>228</v>
      </c>
      <c r="G28" s="83">
        <v>92733</v>
      </c>
      <c r="H28" s="83">
        <v>46573</v>
      </c>
      <c r="I28" s="83">
        <f t="shared" ref="I28:I34" si="1">G28+H28</f>
        <v>139306</v>
      </c>
    </row>
    <row r="29" spans="1:9">
      <c r="A29" s="7" t="s">
        <v>229</v>
      </c>
      <c r="B29" s="30">
        <v>2</v>
      </c>
      <c r="C29" s="30" t="s">
        <v>230</v>
      </c>
      <c r="D29" s="30">
        <v>604</v>
      </c>
      <c r="E29" s="85"/>
      <c r="F29" s="52" t="s">
        <v>231</v>
      </c>
      <c r="G29" s="83">
        <v>66191</v>
      </c>
      <c r="H29" s="83">
        <v>60400</v>
      </c>
      <c r="I29" s="83">
        <f t="shared" si="1"/>
        <v>126591</v>
      </c>
    </row>
    <row r="30" spans="1:9">
      <c r="A30" s="7" t="s">
        <v>229</v>
      </c>
      <c r="B30" s="30">
        <v>3</v>
      </c>
      <c r="C30" s="30" t="s">
        <v>232</v>
      </c>
      <c r="D30" s="30">
        <v>383</v>
      </c>
      <c r="E30" s="85"/>
      <c r="F30" s="52" t="s">
        <v>233</v>
      </c>
      <c r="G30" s="83">
        <v>14809</v>
      </c>
      <c r="H30" s="83">
        <v>13827</v>
      </c>
      <c r="I30" s="83">
        <f t="shared" si="1"/>
        <v>28636</v>
      </c>
    </row>
    <row r="31" spans="1:9">
      <c r="A31" s="7" t="s">
        <v>226</v>
      </c>
      <c r="B31" s="30">
        <v>2</v>
      </c>
      <c r="C31" s="30" t="s">
        <v>234</v>
      </c>
      <c r="D31" s="30">
        <v>465</v>
      </c>
      <c r="E31" s="85"/>
      <c r="F31" s="52" t="s">
        <v>235</v>
      </c>
      <c r="G31" s="83">
        <v>51382</v>
      </c>
      <c r="H31" s="83">
        <v>46573</v>
      </c>
      <c r="I31" s="83">
        <f t="shared" si="1"/>
        <v>97955</v>
      </c>
    </row>
    <row r="32" spans="1:9">
      <c r="A32" s="7" t="s">
        <v>229</v>
      </c>
      <c r="B32" s="30">
        <v>1</v>
      </c>
      <c r="C32" s="30" t="s">
        <v>236</v>
      </c>
      <c r="D32" s="30">
        <v>382</v>
      </c>
      <c r="E32" s="85"/>
      <c r="F32" s="52" t="s">
        <v>237</v>
      </c>
      <c r="G32" s="83">
        <v>19663</v>
      </c>
      <c r="H32" s="83">
        <v>17382</v>
      </c>
      <c r="I32" s="83">
        <f t="shared" si="1"/>
        <v>37045</v>
      </c>
    </row>
    <row r="33" spans="1:9">
      <c r="A33" s="7" t="s">
        <v>229</v>
      </c>
      <c r="B33" s="30">
        <v>2</v>
      </c>
      <c r="C33" s="30" t="s">
        <v>238</v>
      </c>
      <c r="D33" s="30">
        <v>391</v>
      </c>
      <c r="E33" s="85"/>
      <c r="F33" s="52" t="s">
        <v>239</v>
      </c>
      <c r="G33" s="83">
        <v>22053</v>
      </c>
      <c r="H33" s="83">
        <v>49102</v>
      </c>
      <c r="I33" s="83">
        <f t="shared" si="1"/>
        <v>71155</v>
      </c>
    </row>
    <row r="34" spans="1:9">
      <c r="A34" s="7" t="s">
        <v>226</v>
      </c>
      <c r="B34" s="30">
        <v>3</v>
      </c>
      <c r="C34" s="30" t="s">
        <v>240</v>
      </c>
      <c r="D34" s="30">
        <v>572</v>
      </c>
      <c r="E34" s="85"/>
      <c r="F34" s="52" t="s">
        <v>241</v>
      </c>
      <c r="G34" s="83">
        <v>23900</v>
      </c>
      <c r="H34" s="83">
        <v>17206</v>
      </c>
      <c r="I34" s="83">
        <f t="shared" si="1"/>
        <v>41106</v>
      </c>
    </row>
    <row r="35" spans="1:9">
      <c r="E35" s="85"/>
    </row>
    <row r="36" spans="1:9">
      <c r="A36" s="78" t="s">
        <v>221</v>
      </c>
      <c r="B36" s="78" t="s">
        <v>220</v>
      </c>
      <c r="C36" s="204" t="s">
        <v>949</v>
      </c>
      <c r="D36" s="204"/>
      <c r="E36" s="85"/>
      <c r="F36" s="78" t="s">
        <v>225</v>
      </c>
      <c r="G36" s="78" t="s">
        <v>225</v>
      </c>
      <c r="H36" s="204" t="s">
        <v>242</v>
      </c>
      <c r="I36" s="204"/>
    </row>
    <row r="37" spans="1:9">
      <c r="A37" s="78" t="s">
        <v>319</v>
      </c>
      <c r="B37" s="94"/>
      <c r="C37" s="203" t="str">
        <f>DCOUNTA(A27:D34,3,A36:B38)&amp;"명"</f>
        <v>5명</v>
      </c>
      <c r="D37" s="203"/>
      <c r="E37" s="85"/>
      <c r="F37" s="78" t="s">
        <v>320</v>
      </c>
      <c r="G37" s="78" t="s">
        <v>321</v>
      </c>
      <c r="H37" s="203">
        <f>DSUM(F27:I34,4,F36:G37)</f>
        <v>169110</v>
      </c>
      <c r="I37" s="203"/>
    </row>
    <row r="38" spans="1:9">
      <c r="A38" s="94"/>
      <c r="B38" s="78">
        <v>2</v>
      </c>
      <c r="C38" s="85"/>
      <c r="D38" s="85"/>
    </row>
  </sheetData>
  <mergeCells count="8">
    <mergeCell ref="C37:D37"/>
    <mergeCell ref="H37:I37"/>
    <mergeCell ref="A12:C12"/>
    <mergeCell ref="F12:H12"/>
    <mergeCell ref="F23:G23"/>
    <mergeCell ref="F24:G24"/>
    <mergeCell ref="C36:D36"/>
    <mergeCell ref="H36:I36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/>
  </sheetViews>
  <sheetFormatPr defaultRowHeight="16.5"/>
  <cols>
    <col min="1" max="2" width="9" style="46"/>
    <col min="3" max="3" width="15.875" style="46" bestFit="1" customWidth="1"/>
    <col min="4" max="4" width="14.625" style="46" customWidth="1"/>
    <col min="5" max="6" width="10.625" style="46" customWidth="1"/>
    <col min="7" max="16384" width="9" style="46"/>
  </cols>
  <sheetData>
    <row r="2" spans="2:6">
      <c r="B2" s="99" t="s">
        <v>245</v>
      </c>
      <c r="C2" s="100" t="s">
        <v>323</v>
      </c>
      <c r="D2" s="100" t="s">
        <v>324</v>
      </c>
      <c r="E2" s="100" t="s">
        <v>325</v>
      </c>
      <c r="F2" s="100" t="s">
        <v>326</v>
      </c>
    </row>
    <row r="3" spans="2:6">
      <c r="B3" s="31" t="s">
        <v>327</v>
      </c>
      <c r="C3" s="31" t="s">
        <v>328</v>
      </c>
      <c r="D3" s="98"/>
      <c r="E3" s="29"/>
      <c r="F3" s="29"/>
    </row>
    <row r="4" spans="2:6">
      <c r="B4" s="31" t="s">
        <v>329</v>
      </c>
      <c r="C4" s="31" t="s">
        <v>330</v>
      </c>
      <c r="D4" s="98"/>
      <c r="E4" s="29"/>
      <c r="F4" s="29"/>
    </row>
    <row r="5" spans="2:6">
      <c r="B5" s="31" t="s">
        <v>331</v>
      </c>
      <c r="C5" s="31" t="s">
        <v>332</v>
      </c>
      <c r="D5" s="98"/>
      <c r="E5" s="29"/>
      <c r="F5" s="29"/>
    </row>
    <row r="6" spans="2:6">
      <c r="B6" s="31" t="s">
        <v>333</v>
      </c>
      <c r="C6" s="31" t="s">
        <v>334</v>
      </c>
      <c r="D6" s="98"/>
      <c r="E6" s="29"/>
      <c r="F6" s="29"/>
    </row>
    <row r="7" spans="2:6">
      <c r="B7" s="31" t="s">
        <v>335</v>
      </c>
      <c r="C7" s="31" t="s">
        <v>336</v>
      </c>
      <c r="D7" s="98"/>
      <c r="E7" s="29"/>
      <c r="F7" s="29"/>
    </row>
    <row r="8" spans="2:6">
      <c r="B8" s="31" t="s">
        <v>337</v>
      </c>
      <c r="C8" s="31" t="s">
        <v>338</v>
      </c>
      <c r="D8" s="98"/>
      <c r="E8" s="29"/>
      <c r="F8" s="29"/>
    </row>
    <row r="9" spans="2:6">
      <c r="B9" s="31" t="s">
        <v>339</v>
      </c>
      <c r="C9" s="31" t="s">
        <v>340</v>
      </c>
      <c r="D9" s="98"/>
      <c r="E9" s="29"/>
      <c r="F9" s="29"/>
    </row>
    <row r="10" spans="2:6">
      <c r="B10" s="31" t="s">
        <v>341</v>
      </c>
      <c r="C10" s="31" t="s">
        <v>342</v>
      </c>
      <c r="D10" s="98"/>
      <c r="E10" s="29"/>
      <c r="F10" s="29"/>
    </row>
    <row r="11" spans="2:6">
      <c r="B11" s="31" t="s">
        <v>343</v>
      </c>
      <c r="C11" s="31" t="s">
        <v>344</v>
      </c>
      <c r="D11" s="98"/>
      <c r="E11" s="29"/>
      <c r="F11" s="29"/>
    </row>
    <row r="12" spans="2:6">
      <c r="B12" s="31" t="s">
        <v>345</v>
      </c>
      <c r="C12" s="31" t="s">
        <v>346</v>
      </c>
      <c r="D12" s="98"/>
      <c r="E12" s="29"/>
      <c r="F12" s="29"/>
    </row>
    <row r="13" spans="2:6">
      <c r="B13" s="31" t="s">
        <v>347</v>
      </c>
      <c r="C13" s="31" t="s">
        <v>348</v>
      </c>
      <c r="D13" s="98"/>
      <c r="E13" s="29"/>
      <c r="F13" s="29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/>
  </sheetViews>
  <sheetFormatPr defaultRowHeight="16.5"/>
  <cols>
    <col min="1" max="2" width="9" style="46"/>
    <col min="3" max="3" width="15.875" style="46" bestFit="1" customWidth="1"/>
    <col min="4" max="4" width="14.625" style="46" customWidth="1"/>
    <col min="5" max="6" width="10.625" style="46" customWidth="1"/>
    <col min="7" max="16384" width="9" style="46"/>
  </cols>
  <sheetData>
    <row r="2" spans="2:6">
      <c r="B2" s="99" t="s">
        <v>245</v>
      </c>
      <c r="C2" s="100" t="s">
        <v>323</v>
      </c>
      <c r="D2" s="100" t="s">
        <v>324</v>
      </c>
      <c r="E2" s="100" t="s">
        <v>325</v>
      </c>
      <c r="F2" s="100" t="s">
        <v>326</v>
      </c>
    </row>
    <row r="3" spans="2:6">
      <c r="B3" s="31" t="s">
        <v>327</v>
      </c>
      <c r="C3" s="31" t="s">
        <v>328</v>
      </c>
      <c r="D3" s="98">
        <f>DATE(LEFT(C3,2),MID(C3,3,2),MID(C3,5,2))</f>
        <v>23791</v>
      </c>
      <c r="E3" s="97" t="str">
        <f t="shared" ref="E3" si="0">IF(MID(C3,8,1)="1", "남자", "여자")</f>
        <v>남자</v>
      </c>
      <c r="F3" s="97">
        <f t="shared" ref="F3" ca="1" si="1">YEAR(TODAY())-LEFT(C3,2)-1900</f>
        <v>51</v>
      </c>
    </row>
    <row r="4" spans="2:6">
      <c r="B4" s="31" t="s">
        <v>329</v>
      </c>
      <c r="C4" s="31" t="s">
        <v>330</v>
      </c>
      <c r="D4" s="98">
        <f t="shared" ref="D4:D13" si="2">DATE(LEFT(C4,2),MID(C4,3,2),MID(C4,5,2))</f>
        <v>22254</v>
      </c>
      <c r="E4" s="97" t="str">
        <f t="shared" ref="E4:E13" si="3">IF(MID(C4,8,1)="1", "남자", "여자")</f>
        <v>남자</v>
      </c>
      <c r="F4" s="97">
        <f t="shared" ref="F4:F13" ca="1" si="4">YEAR(TODAY())-LEFT(C4,2)-1900</f>
        <v>56</v>
      </c>
    </row>
    <row r="5" spans="2:6">
      <c r="B5" s="31" t="s">
        <v>331</v>
      </c>
      <c r="C5" s="31" t="s">
        <v>332</v>
      </c>
      <c r="D5" s="98">
        <f t="shared" si="2"/>
        <v>22845</v>
      </c>
      <c r="E5" s="97" t="str">
        <f t="shared" si="3"/>
        <v>남자</v>
      </c>
      <c r="F5" s="97">
        <f t="shared" ca="1" si="4"/>
        <v>54</v>
      </c>
    </row>
    <row r="6" spans="2:6">
      <c r="B6" s="31" t="s">
        <v>333</v>
      </c>
      <c r="C6" s="31" t="s">
        <v>334</v>
      </c>
      <c r="D6" s="98">
        <f t="shared" si="2"/>
        <v>26322</v>
      </c>
      <c r="E6" s="97" t="str">
        <f t="shared" si="3"/>
        <v>여자</v>
      </c>
      <c r="F6" s="97">
        <f t="shared" ca="1" si="4"/>
        <v>44</v>
      </c>
    </row>
    <row r="7" spans="2:6">
      <c r="B7" s="31" t="s">
        <v>335</v>
      </c>
      <c r="C7" s="31" t="s">
        <v>336</v>
      </c>
      <c r="D7" s="98">
        <f t="shared" si="2"/>
        <v>26796</v>
      </c>
      <c r="E7" s="97" t="str">
        <f t="shared" si="3"/>
        <v>남자</v>
      </c>
      <c r="F7" s="97">
        <f t="shared" ca="1" si="4"/>
        <v>43</v>
      </c>
    </row>
    <row r="8" spans="2:6">
      <c r="B8" s="31" t="s">
        <v>337</v>
      </c>
      <c r="C8" s="31" t="s">
        <v>338</v>
      </c>
      <c r="D8" s="98">
        <f t="shared" si="2"/>
        <v>27833</v>
      </c>
      <c r="E8" s="97" t="str">
        <f t="shared" si="3"/>
        <v>남자</v>
      </c>
      <c r="F8" s="97">
        <f t="shared" ca="1" si="4"/>
        <v>40</v>
      </c>
    </row>
    <row r="9" spans="2:6">
      <c r="B9" s="31" t="s">
        <v>339</v>
      </c>
      <c r="C9" s="31" t="s">
        <v>340</v>
      </c>
      <c r="D9" s="98">
        <f t="shared" si="2"/>
        <v>24155</v>
      </c>
      <c r="E9" s="97" t="str">
        <f t="shared" si="3"/>
        <v>여자</v>
      </c>
      <c r="F9" s="97">
        <f t="shared" ca="1" si="4"/>
        <v>50</v>
      </c>
    </row>
    <row r="10" spans="2:6">
      <c r="B10" s="31" t="s">
        <v>341</v>
      </c>
      <c r="C10" s="31" t="s">
        <v>342</v>
      </c>
      <c r="D10" s="98">
        <f t="shared" si="2"/>
        <v>26076</v>
      </c>
      <c r="E10" s="97" t="str">
        <f t="shared" si="3"/>
        <v>여자</v>
      </c>
      <c r="F10" s="97">
        <f t="shared" ca="1" si="4"/>
        <v>45</v>
      </c>
    </row>
    <row r="11" spans="2:6">
      <c r="B11" s="31" t="s">
        <v>343</v>
      </c>
      <c r="C11" s="31" t="s">
        <v>344</v>
      </c>
      <c r="D11" s="98">
        <f t="shared" si="2"/>
        <v>23608</v>
      </c>
      <c r="E11" s="97" t="str">
        <f t="shared" si="3"/>
        <v>남자</v>
      </c>
      <c r="F11" s="97">
        <f t="shared" ca="1" si="4"/>
        <v>52</v>
      </c>
    </row>
    <row r="12" spans="2:6">
      <c r="B12" s="31" t="s">
        <v>345</v>
      </c>
      <c r="C12" s="31" t="s">
        <v>346</v>
      </c>
      <c r="D12" s="98">
        <f t="shared" si="2"/>
        <v>22307</v>
      </c>
      <c r="E12" s="97" t="str">
        <f t="shared" si="3"/>
        <v>여자</v>
      </c>
      <c r="F12" s="97">
        <f t="shared" ca="1" si="4"/>
        <v>55</v>
      </c>
    </row>
    <row r="13" spans="2:6">
      <c r="B13" s="31" t="s">
        <v>347</v>
      </c>
      <c r="C13" s="31" t="s">
        <v>348</v>
      </c>
      <c r="D13" s="98">
        <f t="shared" si="2"/>
        <v>27210</v>
      </c>
      <c r="E13" s="97" t="str">
        <f t="shared" si="3"/>
        <v>남자</v>
      </c>
      <c r="F13" s="97">
        <f t="shared" ca="1" si="4"/>
        <v>42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/>
  </sheetViews>
  <sheetFormatPr defaultRowHeight="16.5"/>
  <cols>
    <col min="1" max="1" width="9" style="1"/>
    <col min="2" max="2" width="11.5" style="1" customWidth="1"/>
    <col min="3" max="6" width="10.75" style="1" customWidth="1"/>
    <col min="7" max="16384" width="9" style="1"/>
  </cols>
  <sheetData>
    <row r="2" spans="2:6">
      <c r="B2" s="100" t="s">
        <v>349</v>
      </c>
      <c r="C2" s="100" t="s">
        <v>350</v>
      </c>
      <c r="D2" s="100" t="s">
        <v>351</v>
      </c>
      <c r="E2" s="100" t="s">
        <v>352</v>
      </c>
      <c r="F2" s="100" t="s">
        <v>353</v>
      </c>
    </row>
    <row r="3" spans="2:6">
      <c r="B3" s="31" t="s">
        <v>354</v>
      </c>
      <c r="C3" s="29"/>
      <c r="D3" s="29"/>
      <c r="E3" s="29"/>
      <c r="F3" s="101"/>
    </row>
    <row r="4" spans="2:6">
      <c r="B4" s="31" t="s">
        <v>355</v>
      </c>
      <c r="C4" s="29"/>
      <c r="D4" s="29"/>
      <c r="E4" s="29"/>
      <c r="F4" s="101"/>
    </row>
    <row r="5" spans="2:6">
      <c r="B5" s="31" t="s">
        <v>356</v>
      </c>
      <c r="C5" s="29"/>
      <c r="D5" s="29"/>
      <c r="E5" s="29"/>
      <c r="F5" s="101"/>
    </row>
    <row r="6" spans="2:6">
      <c r="B6" s="31" t="s">
        <v>357</v>
      </c>
      <c r="C6" s="29"/>
      <c r="D6" s="29"/>
      <c r="E6" s="29"/>
      <c r="F6" s="101"/>
    </row>
    <row r="7" spans="2:6">
      <c r="B7" s="31" t="s">
        <v>358</v>
      </c>
      <c r="C7" s="29"/>
      <c r="D7" s="29"/>
      <c r="E7" s="29"/>
      <c r="F7" s="101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/>
  </sheetViews>
  <sheetFormatPr defaultRowHeight="16.5"/>
  <cols>
    <col min="1" max="1" width="9" style="1"/>
    <col min="2" max="2" width="11.5" style="1" customWidth="1"/>
    <col min="3" max="6" width="10.75" style="1" customWidth="1"/>
    <col min="7" max="16384" width="9" style="1"/>
  </cols>
  <sheetData>
    <row r="2" spans="2:6">
      <c r="B2" s="100" t="s">
        <v>349</v>
      </c>
      <c r="C2" s="100" t="s">
        <v>350</v>
      </c>
      <c r="D2" s="100" t="s">
        <v>351</v>
      </c>
      <c r="E2" s="100" t="s">
        <v>352</v>
      </c>
      <c r="F2" s="100" t="s">
        <v>353</v>
      </c>
    </row>
    <row r="3" spans="2:6">
      <c r="B3" s="31" t="s">
        <v>354</v>
      </c>
      <c r="C3" s="102" t="str">
        <f>LOWER(B3)</f>
        <v>aaaa    a</v>
      </c>
      <c r="D3" s="102" t="str">
        <f>UPPER(B3)</f>
        <v>AAAA    A</v>
      </c>
      <c r="E3" s="102" t="str">
        <f>PROPER(B3)</f>
        <v>Aaaa    A</v>
      </c>
      <c r="F3" s="103" t="str">
        <f>TRIM(B3)</f>
        <v>AaAa a</v>
      </c>
    </row>
    <row r="4" spans="2:6">
      <c r="B4" s="31" t="s">
        <v>355</v>
      </c>
      <c r="C4" s="102" t="str">
        <f t="shared" ref="C4:C7" si="0">LOWER(B4)</f>
        <v>bb   bbb</v>
      </c>
      <c r="D4" s="102" t="str">
        <f t="shared" ref="D4:D7" si="1">UPPER(B4)</f>
        <v>BB   BBB</v>
      </c>
      <c r="E4" s="102" t="str">
        <f t="shared" ref="E4:E7" si="2">PROPER(B4)</f>
        <v>Bb   Bbb</v>
      </c>
      <c r="F4" s="103" t="str">
        <f t="shared" ref="F4:F7" si="3">TRIM(B4)</f>
        <v>BB bbb</v>
      </c>
    </row>
    <row r="5" spans="2:6">
      <c r="B5" s="31" t="s">
        <v>356</v>
      </c>
      <c r="C5" s="102" t="str">
        <f t="shared" si="0"/>
        <v>ccc  cc</v>
      </c>
      <c r="D5" s="102" t="str">
        <f t="shared" si="1"/>
        <v>CCC  CC</v>
      </c>
      <c r="E5" s="102" t="str">
        <f t="shared" si="2"/>
        <v>Ccc  Cc</v>
      </c>
      <c r="F5" s="103" t="str">
        <f t="shared" si="3"/>
        <v>CCC cc</v>
      </c>
    </row>
    <row r="6" spans="2:6">
      <c r="B6" s="31" t="s">
        <v>357</v>
      </c>
      <c r="C6" s="102" t="str">
        <f t="shared" si="0"/>
        <v>d   dddd</v>
      </c>
      <c r="D6" s="102" t="str">
        <f t="shared" si="1"/>
        <v>D   DDDD</v>
      </c>
      <c r="E6" s="102" t="str">
        <f t="shared" si="2"/>
        <v>D   Dddd</v>
      </c>
      <c r="F6" s="103" t="str">
        <f t="shared" si="3"/>
        <v>D dDdD</v>
      </c>
    </row>
    <row r="7" spans="2:6">
      <c r="B7" s="31" t="s">
        <v>358</v>
      </c>
      <c r="C7" s="102" t="str">
        <f t="shared" si="0"/>
        <v>ee  eee</v>
      </c>
      <c r="D7" s="102" t="str">
        <f t="shared" si="1"/>
        <v>EE  EEE</v>
      </c>
      <c r="E7" s="102" t="str">
        <f t="shared" si="2"/>
        <v>Ee  Eee</v>
      </c>
      <c r="F7" s="103" t="str">
        <f t="shared" si="3"/>
        <v>EE eee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/>
  </sheetViews>
  <sheetFormatPr defaultRowHeight="16.5"/>
  <cols>
    <col min="1" max="1" width="11.625" bestFit="1" customWidth="1"/>
    <col min="2" max="2" width="31.375" bestFit="1" customWidth="1"/>
    <col min="3" max="3" width="17.625" bestFit="1" customWidth="1"/>
    <col min="4" max="4" width="20.75" bestFit="1" customWidth="1"/>
  </cols>
  <sheetData>
    <row r="2" spans="1:4">
      <c r="A2" s="47" t="s">
        <v>359</v>
      </c>
      <c r="B2" s="47" t="s">
        <v>360</v>
      </c>
      <c r="C2" s="104" t="s">
        <v>361</v>
      </c>
      <c r="D2" s="104" t="s">
        <v>362</v>
      </c>
    </row>
    <row r="3" spans="1:4">
      <c r="A3" s="47" t="s">
        <v>363</v>
      </c>
      <c r="B3" s="105" t="s">
        <v>364</v>
      </c>
      <c r="C3" s="47"/>
      <c r="D3" s="47"/>
    </row>
    <row r="4" spans="1:4">
      <c r="A4" s="47" t="s">
        <v>365</v>
      </c>
      <c r="B4" s="105" t="s">
        <v>366</v>
      </c>
      <c r="C4" s="47"/>
      <c r="D4" s="47"/>
    </row>
    <row r="5" spans="1:4">
      <c r="A5" s="47" t="s">
        <v>367</v>
      </c>
      <c r="B5" s="105" t="s">
        <v>368</v>
      </c>
      <c r="C5" s="47"/>
      <c r="D5" s="47"/>
    </row>
    <row r="6" spans="1:4">
      <c r="A6" s="47" t="s">
        <v>369</v>
      </c>
      <c r="B6" s="105" t="s">
        <v>370</v>
      </c>
      <c r="C6" s="47"/>
      <c r="D6" s="47"/>
    </row>
    <row r="7" spans="1:4">
      <c r="A7" s="47">
        <v>55</v>
      </c>
      <c r="B7" s="105" t="s">
        <v>371</v>
      </c>
      <c r="C7" s="47"/>
      <c r="D7" s="47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/>
  </sheetViews>
  <sheetFormatPr defaultRowHeight="16.5"/>
  <cols>
    <col min="1" max="1" width="11.625" bestFit="1" customWidth="1"/>
    <col min="2" max="2" width="31.375" bestFit="1" customWidth="1"/>
    <col min="3" max="3" width="17.625" bestFit="1" customWidth="1"/>
    <col min="4" max="4" width="20.75" bestFit="1" customWidth="1"/>
  </cols>
  <sheetData>
    <row r="2" spans="1:4">
      <c r="A2" s="47" t="s">
        <v>359</v>
      </c>
      <c r="B2" s="47" t="s">
        <v>360</v>
      </c>
      <c r="C2" s="104" t="s">
        <v>361</v>
      </c>
      <c r="D2" s="104" t="s">
        <v>362</v>
      </c>
    </row>
    <row r="3" spans="1:4">
      <c r="A3" s="47" t="s">
        <v>363</v>
      </c>
      <c r="B3" s="105" t="s">
        <v>364</v>
      </c>
      <c r="C3" s="39" t="str">
        <f>IFERROR(FIND(A3,B3),"에러")</f>
        <v>에러</v>
      </c>
      <c r="D3" s="39">
        <f>IFERROR(SEARCH(A3,B3),"에러")</f>
        <v>11</v>
      </c>
    </row>
    <row r="4" spans="1:4">
      <c r="A4" s="47" t="s">
        <v>365</v>
      </c>
      <c r="B4" s="105" t="s">
        <v>366</v>
      </c>
      <c r="C4" s="39">
        <f t="shared" ref="C4:C7" si="0">IFERROR(FIND(A4,B4),"에러")</f>
        <v>16</v>
      </c>
      <c r="D4" s="39">
        <f t="shared" ref="D4:D7" si="1">IFERROR(SEARCH(A4,B4),"에러")</f>
        <v>16</v>
      </c>
    </row>
    <row r="5" spans="1:4">
      <c r="A5" s="47" t="s">
        <v>367</v>
      </c>
      <c r="B5" s="105" t="s">
        <v>368</v>
      </c>
      <c r="C5" s="39" t="str">
        <f t="shared" si="0"/>
        <v>에러</v>
      </c>
      <c r="D5" s="39">
        <f t="shared" si="1"/>
        <v>6</v>
      </c>
    </row>
    <row r="6" spans="1:4">
      <c r="A6" s="47" t="s">
        <v>369</v>
      </c>
      <c r="B6" s="105" t="s">
        <v>370</v>
      </c>
      <c r="C6" s="39">
        <f t="shared" si="0"/>
        <v>8</v>
      </c>
      <c r="D6" s="39">
        <f t="shared" si="1"/>
        <v>8</v>
      </c>
    </row>
    <row r="7" spans="1:4">
      <c r="A7" s="47">
        <v>55</v>
      </c>
      <c r="B7" s="105" t="s">
        <v>371</v>
      </c>
      <c r="C7" s="39">
        <f t="shared" si="0"/>
        <v>11</v>
      </c>
      <c r="D7" s="39">
        <f t="shared" si="1"/>
        <v>11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/>
  </sheetViews>
  <sheetFormatPr defaultRowHeight="16.5"/>
  <cols>
    <col min="1" max="1" width="9" style="86"/>
    <col min="2" max="2" width="11.25" style="86" customWidth="1"/>
    <col min="3" max="7" width="15.375" style="86" customWidth="1"/>
    <col min="8" max="16384" width="9" style="86"/>
  </cols>
  <sheetData>
    <row r="2" spans="1:7">
      <c r="A2" s="109" t="s">
        <v>373</v>
      </c>
      <c r="B2" s="100" t="s">
        <v>374</v>
      </c>
      <c r="C2" s="100" t="s">
        <v>375</v>
      </c>
      <c r="D2" s="106"/>
      <c r="E2" s="110"/>
      <c r="F2" s="110"/>
      <c r="G2" s="110"/>
    </row>
    <row r="3" spans="1:7">
      <c r="A3" s="109"/>
      <c r="B3" s="53">
        <v>225</v>
      </c>
      <c r="C3" s="62"/>
      <c r="D3" s="110"/>
      <c r="E3" s="110"/>
      <c r="F3" s="110"/>
      <c r="G3" s="110"/>
    </row>
    <row r="4" spans="1:7">
      <c r="A4" s="109"/>
      <c r="B4" s="53">
        <v>300</v>
      </c>
      <c r="C4" s="62"/>
      <c r="D4" s="110"/>
      <c r="E4" s="110"/>
      <c r="F4" s="110"/>
      <c r="G4" s="110"/>
    </row>
    <row r="5" spans="1:7">
      <c r="A5" s="109"/>
      <c r="B5" s="53">
        <v>387</v>
      </c>
      <c r="C5" s="62"/>
      <c r="D5" s="110"/>
      <c r="E5" s="110"/>
      <c r="F5" s="110"/>
      <c r="G5" s="110"/>
    </row>
    <row r="6" spans="1:7">
      <c r="A6" s="109"/>
      <c r="B6" s="53">
        <v>570</v>
      </c>
      <c r="C6" s="62"/>
      <c r="D6" s="110"/>
      <c r="E6" s="110"/>
      <c r="F6" s="110"/>
      <c r="G6" s="110"/>
    </row>
    <row r="7" spans="1:7">
      <c r="A7" s="109"/>
      <c r="B7" s="110"/>
      <c r="C7" s="110"/>
      <c r="D7" s="110"/>
      <c r="E7" s="110"/>
      <c r="F7" s="110"/>
      <c r="G7" s="110"/>
    </row>
    <row r="8" spans="1:7">
      <c r="A8" s="109" t="s">
        <v>376</v>
      </c>
      <c r="B8" s="100" t="s">
        <v>374</v>
      </c>
      <c r="C8" s="100" t="s">
        <v>377</v>
      </c>
      <c r="D8" s="100" t="s">
        <v>372</v>
      </c>
      <c r="E8" s="100" t="s">
        <v>378</v>
      </c>
      <c r="F8" s="100" t="s">
        <v>379</v>
      </c>
      <c r="G8" s="100" t="s">
        <v>380</v>
      </c>
    </row>
    <row r="9" spans="1:7">
      <c r="A9" s="109"/>
      <c r="B9" s="53">
        <v>5678.567</v>
      </c>
      <c r="C9" s="53">
        <v>2</v>
      </c>
      <c r="D9" s="111"/>
      <c r="E9" s="111"/>
      <c r="F9" s="111"/>
      <c r="G9" s="111"/>
    </row>
    <row r="10" spans="1:7">
      <c r="A10" s="109"/>
      <c r="B10" s="53">
        <v>5678.567</v>
      </c>
      <c r="C10" s="53">
        <v>1</v>
      </c>
      <c r="D10" s="111"/>
      <c r="E10" s="111"/>
      <c r="F10" s="111"/>
      <c r="G10" s="111"/>
    </row>
    <row r="11" spans="1:7">
      <c r="A11" s="109"/>
      <c r="B11" s="53">
        <v>5678.567</v>
      </c>
      <c r="C11" s="53">
        <v>0</v>
      </c>
      <c r="D11" s="111"/>
      <c r="E11" s="111"/>
      <c r="F11" s="111"/>
      <c r="G11" s="111"/>
    </row>
    <row r="12" spans="1:7">
      <c r="A12" s="109"/>
      <c r="B12" s="53">
        <v>5678.567</v>
      </c>
      <c r="C12" s="53">
        <v>-2</v>
      </c>
      <c r="D12" s="111"/>
      <c r="E12" s="111"/>
      <c r="F12" s="111"/>
      <c r="G12" s="111"/>
    </row>
    <row r="13" spans="1:7">
      <c r="A13" s="109"/>
      <c r="B13" s="53">
        <v>5678.567</v>
      </c>
      <c r="C13" s="53">
        <v>-1</v>
      </c>
      <c r="D13" s="111"/>
      <c r="E13" s="111"/>
      <c r="F13" s="111"/>
      <c r="G13" s="111"/>
    </row>
    <row r="14" spans="1:7">
      <c r="A14" s="109"/>
      <c r="B14" s="110"/>
      <c r="C14" s="110"/>
      <c r="D14" s="110"/>
      <c r="E14" s="110"/>
      <c r="F14" s="110"/>
      <c r="G14" s="110"/>
    </row>
    <row r="15" spans="1:7">
      <c r="A15" s="109" t="s">
        <v>381</v>
      </c>
      <c r="B15" s="100" t="s">
        <v>374</v>
      </c>
      <c r="C15" s="100" t="s">
        <v>382</v>
      </c>
      <c r="D15" s="100" t="s">
        <v>383</v>
      </c>
      <c r="E15" s="110"/>
      <c r="F15" s="110"/>
      <c r="G15" s="110"/>
    </row>
    <row r="16" spans="1:7">
      <c r="A16" s="109"/>
      <c r="B16" s="112">
        <v>456.78899999999999</v>
      </c>
      <c r="C16" s="107"/>
      <c r="D16" s="107"/>
      <c r="E16" s="110"/>
      <c r="F16" s="110"/>
      <c r="G16" s="110"/>
    </row>
    <row r="17" spans="1:7">
      <c r="A17" s="109"/>
      <c r="B17" s="112">
        <v>-456.78899999999999</v>
      </c>
      <c r="C17" s="107"/>
      <c r="D17" s="107"/>
      <c r="E17" s="110"/>
      <c r="F17" s="110"/>
      <c r="G17" s="110"/>
    </row>
    <row r="18" spans="1:7">
      <c r="A18" s="109"/>
      <c r="B18" s="113">
        <v>150</v>
      </c>
      <c r="C18" s="107"/>
      <c r="D18" s="107"/>
      <c r="E18" s="110"/>
      <c r="F18" s="110"/>
      <c r="G18" s="110"/>
    </row>
    <row r="19" spans="1:7">
      <c r="A19" s="109"/>
      <c r="B19" s="113">
        <v>250</v>
      </c>
      <c r="C19" s="107"/>
      <c r="D19" s="107"/>
      <c r="E19" s="110"/>
      <c r="F19" s="110"/>
      <c r="G19" s="110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/>
  </sheetViews>
  <sheetFormatPr defaultRowHeight="16.5"/>
  <cols>
    <col min="1" max="1" width="9" style="86"/>
    <col min="2" max="2" width="11.25" style="86" customWidth="1"/>
    <col min="3" max="7" width="15.375" style="86" customWidth="1"/>
    <col min="8" max="16384" width="9" style="86"/>
  </cols>
  <sheetData>
    <row r="2" spans="1:8">
      <c r="A2" s="109" t="s">
        <v>373</v>
      </c>
      <c r="B2" s="100" t="s">
        <v>374</v>
      </c>
      <c r="C2" s="100" t="s">
        <v>375</v>
      </c>
      <c r="D2" s="106"/>
      <c r="E2" s="110"/>
      <c r="F2" s="110"/>
      <c r="G2" s="110"/>
    </row>
    <row r="3" spans="1:8">
      <c r="A3" s="109"/>
      <c r="B3" s="53">
        <v>225</v>
      </c>
      <c r="C3" s="62" t="str">
        <f>IF(MOD(B3,2)=0,"짝수","홀수")</f>
        <v>홀수</v>
      </c>
      <c r="D3" s="110"/>
      <c r="E3" s="110"/>
      <c r="F3" s="110"/>
      <c r="G3" s="110"/>
      <c r="H3" s="59"/>
    </row>
    <row r="4" spans="1:8">
      <c r="A4" s="109"/>
      <c r="B4" s="53">
        <v>300</v>
      </c>
      <c r="C4" s="62" t="str">
        <f t="shared" ref="C4:C6" si="0">IF(MOD(B4,2)=0,"짝수","홀수")</f>
        <v>짝수</v>
      </c>
      <c r="D4" s="110"/>
      <c r="E4" s="110"/>
      <c r="F4" s="110"/>
      <c r="G4" s="110"/>
      <c r="H4" s="59"/>
    </row>
    <row r="5" spans="1:8">
      <c r="A5" s="109"/>
      <c r="B5" s="53">
        <v>387</v>
      </c>
      <c r="C5" s="62" t="str">
        <f t="shared" si="0"/>
        <v>홀수</v>
      </c>
      <c r="D5" s="110"/>
      <c r="E5" s="110"/>
      <c r="F5" s="110"/>
      <c r="G5" s="110"/>
      <c r="H5" s="59"/>
    </row>
    <row r="6" spans="1:8">
      <c r="A6" s="109"/>
      <c r="B6" s="53">
        <v>570</v>
      </c>
      <c r="C6" s="62" t="str">
        <f t="shared" si="0"/>
        <v>짝수</v>
      </c>
      <c r="D6" s="110"/>
      <c r="E6" s="110"/>
      <c r="F6" s="110"/>
      <c r="G6" s="110"/>
      <c r="H6" s="59"/>
    </row>
    <row r="7" spans="1:8">
      <c r="A7" s="109"/>
      <c r="B7" s="110"/>
      <c r="C7" s="110"/>
      <c r="D7" s="110"/>
      <c r="E7" s="110"/>
      <c r="F7" s="110"/>
      <c r="G7" s="110"/>
      <c r="H7" s="59"/>
    </row>
    <row r="8" spans="1:8">
      <c r="A8" s="109" t="s">
        <v>376</v>
      </c>
      <c r="B8" s="100" t="s">
        <v>374</v>
      </c>
      <c r="C8" s="100" t="s">
        <v>377</v>
      </c>
      <c r="D8" s="100" t="s">
        <v>372</v>
      </c>
      <c r="E8" s="100" t="s">
        <v>378</v>
      </c>
      <c r="F8" s="100" t="s">
        <v>379</v>
      </c>
      <c r="G8" s="100" t="s">
        <v>380</v>
      </c>
      <c r="H8" s="59"/>
    </row>
    <row r="9" spans="1:8">
      <c r="A9" s="109"/>
      <c r="B9" s="53">
        <v>5678.567</v>
      </c>
      <c r="C9" s="53">
        <v>2</v>
      </c>
      <c r="D9" s="101">
        <f>TRUNC(B9,C9)</f>
        <v>5678.56</v>
      </c>
      <c r="E9" s="101">
        <f>ROUND(B9,C9)</f>
        <v>5678.57</v>
      </c>
      <c r="F9" s="101">
        <f>ROUNDUP(B9,C9)</f>
        <v>5678.5700000000006</v>
      </c>
      <c r="G9" s="101">
        <f>ROUNDDOWN(B9,C9)</f>
        <v>5678.56</v>
      </c>
      <c r="H9" s="59"/>
    </row>
    <row r="10" spans="1:8">
      <c r="A10" s="109"/>
      <c r="B10" s="53">
        <v>5678.567</v>
      </c>
      <c r="C10" s="53">
        <v>1</v>
      </c>
      <c r="D10" s="101">
        <f t="shared" ref="D10:D13" si="1">TRUNC(B10,C10)</f>
        <v>5678.5</v>
      </c>
      <c r="E10" s="101">
        <f t="shared" ref="E10:E13" si="2">ROUND(B10,C10)</f>
        <v>5678.6</v>
      </c>
      <c r="F10" s="101">
        <f t="shared" ref="F10:F13" si="3">ROUNDUP(B10,C10)</f>
        <v>5678.6</v>
      </c>
      <c r="G10" s="101">
        <f t="shared" ref="G10:G13" si="4">ROUNDDOWN(B10,C10)</f>
        <v>5678.5</v>
      </c>
      <c r="H10" s="59"/>
    </row>
    <row r="11" spans="1:8">
      <c r="A11" s="109"/>
      <c r="B11" s="53">
        <v>5678.567</v>
      </c>
      <c r="C11" s="53">
        <v>0</v>
      </c>
      <c r="D11" s="101">
        <f t="shared" si="1"/>
        <v>5678</v>
      </c>
      <c r="E11" s="101">
        <f t="shared" si="2"/>
        <v>5679</v>
      </c>
      <c r="F11" s="101">
        <f t="shared" si="3"/>
        <v>5679</v>
      </c>
      <c r="G11" s="101">
        <f t="shared" si="4"/>
        <v>5678</v>
      </c>
      <c r="H11" s="59"/>
    </row>
    <row r="12" spans="1:8">
      <c r="A12" s="109"/>
      <c r="B12" s="53">
        <v>5678.567</v>
      </c>
      <c r="C12" s="53">
        <v>-2</v>
      </c>
      <c r="D12" s="101">
        <f t="shared" si="1"/>
        <v>5600</v>
      </c>
      <c r="E12" s="101">
        <f t="shared" si="2"/>
        <v>5700</v>
      </c>
      <c r="F12" s="101">
        <f t="shared" si="3"/>
        <v>5700</v>
      </c>
      <c r="G12" s="101">
        <f t="shared" si="4"/>
        <v>5600</v>
      </c>
      <c r="H12" s="59"/>
    </row>
    <row r="13" spans="1:8">
      <c r="A13" s="109"/>
      <c r="B13" s="53">
        <v>5678.567</v>
      </c>
      <c r="C13" s="53">
        <v>-1</v>
      </c>
      <c r="D13" s="101">
        <f t="shared" si="1"/>
        <v>5670</v>
      </c>
      <c r="E13" s="101">
        <f t="shared" si="2"/>
        <v>5680</v>
      </c>
      <c r="F13" s="101">
        <f t="shared" si="3"/>
        <v>5680</v>
      </c>
      <c r="G13" s="101">
        <f t="shared" si="4"/>
        <v>5670</v>
      </c>
      <c r="H13" s="59"/>
    </row>
    <row r="14" spans="1:8">
      <c r="A14" s="109"/>
      <c r="B14" s="110"/>
      <c r="C14" s="110"/>
      <c r="D14" s="110"/>
      <c r="E14" s="110"/>
      <c r="F14" s="110"/>
      <c r="G14" s="110"/>
      <c r="H14" s="59"/>
    </row>
    <row r="15" spans="1:8">
      <c r="A15" s="109" t="s">
        <v>381</v>
      </c>
      <c r="B15" s="100" t="s">
        <v>374</v>
      </c>
      <c r="C15" s="100" t="s">
        <v>382</v>
      </c>
      <c r="D15" s="100" t="s">
        <v>383</v>
      </c>
      <c r="E15" s="110"/>
      <c r="F15" s="110"/>
      <c r="G15" s="110"/>
      <c r="H15" s="59"/>
    </row>
    <row r="16" spans="1:8">
      <c r="A16" s="109"/>
      <c r="B16" s="112">
        <v>456.78899999999999</v>
      </c>
      <c r="C16" s="107">
        <f>INT(B16)</f>
        <v>456</v>
      </c>
      <c r="D16" s="108">
        <f>ABS(B16)</f>
        <v>456.78899999999999</v>
      </c>
      <c r="E16" s="110"/>
      <c r="F16" s="110"/>
      <c r="G16" s="110"/>
      <c r="H16" s="59"/>
    </row>
    <row r="17" spans="1:8">
      <c r="A17" s="109"/>
      <c r="B17" s="112">
        <v>-456.78899999999999</v>
      </c>
      <c r="C17" s="107">
        <f t="shared" ref="C17:C19" si="5">INT(B17)</f>
        <v>-457</v>
      </c>
      <c r="D17" s="108">
        <f t="shared" ref="D17:D19" si="6">ABS(B17)</f>
        <v>456.78899999999999</v>
      </c>
      <c r="E17" s="110"/>
      <c r="F17" s="110"/>
      <c r="G17" s="110"/>
      <c r="H17" s="59"/>
    </row>
    <row r="18" spans="1:8">
      <c r="A18" s="109"/>
      <c r="B18" s="113">
        <v>150</v>
      </c>
      <c r="C18" s="107">
        <f t="shared" si="5"/>
        <v>150</v>
      </c>
      <c r="D18" s="108">
        <f t="shared" si="6"/>
        <v>150</v>
      </c>
      <c r="E18" s="110"/>
      <c r="F18" s="110"/>
      <c r="G18" s="110"/>
      <c r="H18" s="59"/>
    </row>
    <row r="19" spans="1:8">
      <c r="A19" s="109"/>
      <c r="B19" s="113">
        <v>250</v>
      </c>
      <c r="C19" s="107">
        <f t="shared" si="5"/>
        <v>250</v>
      </c>
      <c r="D19" s="108">
        <f t="shared" si="6"/>
        <v>250</v>
      </c>
      <c r="E19" s="110"/>
      <c r="F19" s="110"/>
      <c r="G19" s="110"/>
      <c r="H19" s="59"/>
    </row>
    <row r="20" spans="1:8">
      <c r="C20" s="59"/>
      <c r="D20" s="59"/>
      <c r="E20" s="59"/>
      <c r="F20" s="59"/>
      <c r="G20" s="59"/>
      <c r="H20" s="59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/>
  </sheetViews>
  <sheetFormatPr defaultRowHeight="16.5"/>
  <cols>
    <col min="1" max="16384" width="9" style="1"/>
  </cols>
  <sheetData>
    <row r="2" spans="1:9">
      <c r="A2" s="118" t="s">
        <v>384</v>
      </c>
      <c r="B2" s="31">
        <v>25</v>
      </c>
      <c r="C2" s="64"/>
      <c r="D2" s="29"/>
      <c r="E2" s="64"/>
      <c r="F2" s="118" t="s">
        <v>385</v>
      </c>
      <c r="G2" s="64"/>
      <c r="H2" s="29"/>
      <c r="I2" s="64"/>
    </row>
    <row r="3" spans="1:9">
      <c r="A3" s="118"/>
      <c r="B3" s="64"/>
      <c r="C3" s="64"/>
      <c r="D3" s="64"/>
      <c r="E3" s="64"/>
      <c r="F3" s="118"/>
      <c r="G3" s="64"/>
      <c r="H3" s="64"/>
      <c r="I3" s="64"/>
    </row>
    <row r="4" spans="1:9">
      <c r="A4" s="118" t="s">
        <v>386</v>
      </c>
      <c r="B4" s="31">
        <v>5</v>
      </c>
      <c r="C4" s="64"/>
      <c r="D4" s="29"/>
      <c r="E4" s="64"/>
      <c r="F4" s="118" t="s">
        <v>387</v>
      </c>
      <c r="G4" s="64"/>
      <c r="H4" s="29"/>
      <c r="I4" s="64"/>
    </row>
    <row r="5" spans="1:9">
      <c r="A5" s="118"/>
      <c r="B5" s="64"/>
      <c r="C5" s="64"/>
      <c r="D5" s="64"/>
      <c r="E5" s="64"/>
      <c r="F5" s="64"/>
      <c r="G5" s="64"/>
      <c r="H5" s="64"/>
      <c r="I5" s="64"/>
    </row>
    <row r="6" spans="1:9">
      <c r="A6" s="118" t="s">
        <v>388</v>
      </c>
      <c r="B6" s="31">
        <v>4</v>
      </c>
      <c r="C6" s="64"/>
      <c r="D6" s="29"/>
      <c r="E6" s="64"/>
      <c r="F6" s="64"/>
      <c r="G6" s="64"/>
      <c r="H6" s="64"/>
      <c r="I6" s="64"/>
    </row>
    <row r="7" spans="1:9">
      <c r="A7" s="64"/>
      <c r="B7" s="118"/>
      <c r="C7" s="64"/>
      <c r="D7" s="64"/>
      <c r="E7" s="64"/>
      <c r="F7" s="64"/>
      <c r="G7" s="64"/>
      <c r="H7" s="64"/>
      <c r="I7" s="64"/>
    </row>
    <row r="8" spans="1:9">
      <c r="A8" s="64"/>
      <c r="B8" s="100" t="s">
        <v>389</v>
      </c>
      <c r="C8" s="100" t="s">
        <v>390</v>
      </c>
      <c r="D8" s="100" t="s">
        <v>391</v>
      </c>
      <c r="E8" s="100" t="s">
        <v>392</v>
      </c>
      <c r="F8" s="100" t="s">
        <v>393</v>
      </c>
      <c r="G8" s="100" t="s">
        <v>395</v>
      </c>
      <c r="H8" s="64"/>
      <c r="I8" s="64"/>
    </row>
    <row r="9" spans="1:9">
      <c r="A9" s="64"/>
      <c r="B9" s="31" t="s">
        <v>397</v>
      </c>
      <c r="C9" s="31" t="s">
        <v>398</v>
      </c>
      <c r="D9" s="31">
        <v>557</v>
      </c>
      <c r="E9" s="31">
        <v>345</v>
      </c>
      <c r="F9" s="31">
        <v>721</v>
      </c>
      <c r="G9" s="31">
        <f t="shared" ref="G9:G15" si="0">SUM(D9:F9)</f>
        <v>1623</v>
      </c>
      <c r="H9" s="64"/>
      <c r="I9" s="64"/>
    </row>
    <row r="10" spans="1:9">
      <c r="A10" s="64"/>
      <c r="B10" s="31" t="s">
        <v>399</v>
      </c>
      <c r="C10" s="31" t="s">
        <v>400</v>
      </c>
      <c r="D10" s="31">
        <v>476</v>
      </c>
      <c r="E10" s="31">
        <v>513</v>
      </c>
      <c r="F10" s="31">
        <v>174</v>
      </c>
      <c r="G10" s="31">
        <f t="shared" si="0"/>
        <v>1163</v>
      </c>
      <c r="H10" s="64"/>
      <c r="I10" s="64"/>
    </row>
    <row r="11" spans="1:9">
      <c r="A11" s="64"/>
      <c r="B11" s="31" t="s">
        <v>401</v>
      </c>
      <c r="C11" s="31" t="s">
        <v>398</v>
      </c>
      <c r="D11" s="31">
        <v>231</v>
      </c>
      <c r="E11" s="31">
        <v>474</v>
      </c>
      <c r="F11" s="31">
        <v>358</v>
      </c>
      <c r="G11" s="31">
        <f t="shared" si="0"/>
        <v>1063</v>
      </c>
      <c r="H11" s="64"/>
      <c r="I11" s="64"/>
    </row>
    <row r="12" spans="1:9">
      <c r="A12" s="64"/>
      <c r="B12" s="31" t="s">
        <v>402</v>
      </c>
      <c r="C12" s="31" t="s">
        <v>398</v>
      </c>
      <c r="D12" s="31">
        <v>175</v>
      </c>
      <c r="E12" s="31">
        <v>453</v>
      </c>
      <c r="F12" s="31">
        <v>443</v>
      </c>
      <c r="G12" s="31">
        <f t="shared" si="0"/>
        <v>1071</v>
      </c>
      <c r="H12" s="64"/>
      <c r="I12" s="64"/>
    </row>
    <row r="13" spans="1:9">
      <c r="A13" s="64"/>
      <c r="B13" s="31" t="s">
        <v>403</v>
      </c>
      <c r="C13" s="31" t="s">
        <v>400</v>
      </c>
      <c r="D13" s="31">
        <v>834</v>
      </c>
      <c r="E13" s="31">
        <v>401</v>
      </c>
      <c r="F13" s="31">
        <v>743</v>
      </c>
      <c r="G13" s="31">
        <f t="shared" si="0"/>
        <v>1978</v>
      </c>
      <c r="H13" s="64"/>
      <c r="I13" s="64"/>
    </row>
    <row r="14" spans="1:9">
      <c r="A14" s="64"/>
      <c r="B14" s="31" t="s">
        <v>404</v>
      </c>
      <c r="C14" s="31" t="s">
        <v>398</v>
      </c>
      <c r="D14" s="31">
        <v>597</v>
      </c>
      <c r="E14" s="31">
        <v>347</v>
      </c>
      <c r="F14" s="31">
        <v>346</v>
      </c>
      <c r="G14" s="31">
        <f t="shared" si="0"/>
        <v>1290</v>
      </c>
      <c r="H14" s="64"/>
      <c r="I14" s="64"/>
    </row>
    <row r="15" spans="1:9">
      <c r="A15" s="64"/>
      <c r="B15" s="31" t="s">
        <v>405</v>
      </c>
      <c r="C15" s="31" t="s">
        <v>400</v>
      </c>
      <c r="D15" s="31">
        <v>634</v>
      </c>
      <c r="E15" s="31">
        <v>530</v>
      </c>
      <c r="F15" s="31">
        <v>651</v>
      </c>
      <c r="G15" s="31">
        <f t="shared" si="0"/>
        <v>1815</v>
      </c>
      <c r="H15" s="64"/>
      <c r="I15" s="64"/>
    </row>
    <row r="16" spans="1:9">
      <c r="A16" s="64"/>
      <c r="B16" s="64"/>
      <c r="C16" s="64"/>
      <c r="D16" s="64"/>
      <c r="E16" s="64"/>
      <c r="F16" s="64"/>
      <c r="G16" s="64"/>
      <c r="H16" s="64"/>
      <c r="I16" s="64"/>
    </row>
    <row r="17" spans="1:10">
      <c r="A17" s="64"/>
      <c r="B17" s="64"/>
      <c r="C17" s="64"/>
      <c r="D17" s="64"/>
      <c r="E17" s="64"/>
      <c r="F17" s="64"/>
      <c r="G17" s="64"/>
      <c r="H17" s="64"/>
      <c r="I17" s="64"/>
    </row>
    <row r="18" spans="1:10">
      <c r="A18" s="64"/>
      <c r="B18" s="100" t="s">
        <v>390</v>
      </c>
      <c r="C18" s="100" t="s">
        <v>406</v>
      </c>
      <c r="D18" s="100" t="s">
        <v>407</v>
      </c>
      <c r="E18" s="100" t="s">
        <v>408</v>
      </c>
      <c r="F18" s="100" t="s">
        <v>409</v>
      </c>
      <c r="H18" s="208" t="s">
        <v>410</v>
      </c>
      <c r="I18" s="209"/>
      <c r="J18" s="210"/>
    </row>
    <row r="19" spans="1:10">
      <c r="A19" s="64"/>
      <c r="B19" s="31" t="s">
        <v>398</v>
      </c>
      <c r="C19" s="29"/>
      <c r="D19" s="29"/>
      <c r="E19" s="29"/>
      <c r="F19" s="29"/>
      <c r="H19" s="211"/>
      <c r="I19" s="212"/>
      <c r="J19" s="213"/>
    </row>
  </sheetData>
  <mergeCells count="2">
    <mergeCell ref="H18:J18"/>
    <mergeCell ref="H19:J1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6" sqref="H26"/>
    </sheetView>
  </sheetViews>
  <sheetFormatPr defaultRowHeight="16.5"/>
  <cols>
    <col min="3" max="3" width="10.875" bestFit="1" customWidth="1"/>
    <col min="4" max="4" width="11.625" bestFit="1" customWidth="1"/>
    <col min="5" max="5" width="10.875" bestFit="1" customWidth="1"/>
    <col min="8" max="8" width="12.875" customWidth="1"/>
    <col min="9" max="9" width="11.875" bestFit="1" customWidth="1"/>
  </cols>
  <sheetData>
    <row r="1" spans="1:9">
      <c r="A1" s="1" t="s">
        <v>5</v>
      </c>
      <c r="B1" s="1" t="s">
        <v>0</v>
      </c>
      <c r="C1" s="1"/>
      <c r="D1" s="1"/>
      <c r="E1" s="1"/>
      <c r="F1" s="2" t="s">
        <v>6</v>
      </c>
      <c r="G1" s="3" t="s">
        <v>1</v>
      </c>
      <c r="H1" s="4"/>
      <c r="I1" s="3"/>
    </row>
    <row r="2" spans="1:9">
      <c r="A2" s="5" t="s">
        <v>7</v>
      </c>
      <c r="B2" s="5" t="s">
        <v>8</v>
      </c>
      <c r="C2" s="5" t="s">
        <v>9</v>
      </c>
      <c r="D2" s="6" t="s">
        <v>10</v>
      </c>
      <c r="E2" s="1"/>
      <c r="F2" s="7" t="s">
        <v>11</v>
      </c>
      <c r="G2" s="7" t="s">
        <v>12</v>
      </c>
      <c r="H2" s="8" t="s">
        <v>13</v>
      </c>
      <c r="I2" s="6" t="s">
        <v>14</v>
      </c>
    </row>
    <row r="3" spans="1:9">
      <c r="A3" s="5" t="s">
        <v>15</v>
      </c>
      <c r="B3" s="5">
        <v>327</v>
      </c>
      <c r="C3" s="9">
        <f>B3*3000</f>
        <v>981000</v>
      </c>
      <c r="D3" s="9">
        <f>C3*$C$9</f>
        <v>245250</v>
      </c>
      <c r="E3" s="1"/>
      <c r="F3" s="10" t="s">
        <v>16</v>
      </c>
      <c r="G3" s="11">
        <v>5</v>
      </c>
      <c r="H3" s="12">
        <v>5</v>
      </c>
      <c r="I3" s="13">
        <f>H3/$G$8</f>
        <v>0.1</v>
      </c>
    </row>
    <row r="4" spans="1:9">
      <c r="A4" s="5" t="s">
        <v>17</v>
      </c>
      <c r="B4" s="5">
        <v>370</v>
      </c>
      <c r="C4" s="9">
        <f>B4*350</f>
        <v>129500</v>
      </c>
      <c r="D4" s="9">
        <f t="shared" ref="D4:D8" si="0">C4*$C$9</f>
        <v>32375</v>
      </c>
      <c r="E4" s="1"/>
      <c r="F4" s="10" t="s">
        <v>18</v>
      </c>
      <c r="G4" s="11">
        <v>20</v>
      </c>
      <c r="H4" s="12">
        <v>25</v>
      </c>
      <c r="I4" s="13">
        <f t="shared" ref="I4:I7" si="1">H4/$G$8</f>
        <v>0.5</v>
      </c>
    </row>
    <row r="5" spans="1:9">
      <c r="A5" s="5" t="s">
        <v>19</v>
      </c>
      <c r="B5" s="5">
        <v>450</v>
      </c>
      <c r="C5" s="9">
        <f>B5*6500</f>
        <v>2925000</v>
      </c>
      <c r="D5" s="9">
        <f t="shared" si="0"/>
        <v>731250</v>
      </c>
      <c r="E5" s="1"/>
      <c r="F5" s="10" t="s">
        <v>20</v>
      </c>
      <c r="G5" s="11">
        <v>15</v>
      </c>
      <c r="H5" s="12">
        <v>40</v>
      </c>
      <c r="I5" s="13">
        <f t="shared" si="1"/>
        <v>0.8</v>
      </c>
    </row>
    <row r="6" spans="1:9">
      <c r="A6" s="5" t="s">
        <v>21</v>
      </c>
      <c r="B6" s="5">
        <v>900</v>
      </c>
      <c r="C6" s="9">
        <f>B6*340</f>
        <v>306000</v>
      </c>
      <c r="D6" s="9">
        <f t="shared" si="0"/>
        <v>76500</v>
      </c>
      <c r="E6" s="1"/>
      <c r="F6" s="14" t="s">
        <v>22</v>
      </c>
      <c r="G6" s="15">
        <v>7</v>
      </c>
      <c r="H6" s="12">
        <v>47</v>
      </c>
      <c r="I6" s="13">
        <f t="shared" si="1"/>
        <v>0.94</v>
      </c>
    </row>
    <row r="7" spans="1:9">
      <c r="A7" s="5" t="s">
        <v>23</v>
      </c>
      <c r="B7" s="5">
        <v>789</v>
      </c>
      <c r="C7" s="9">
        <f>B7*220</f>
        <v>173580</v>
      </c>
      <c r="D7" s="9">
        <f t="shared" si="0"/>
        <v>43395</v>
      </c>
      <c r="E7" s="1"/>
      <c r="F7" s="14" t="s">
        <v>24</v>
      </c>
      <c r="G7" s="15">
        <v>3</v>
      </c>
      <c r="H7" s="12">
        <v>50</v>
      </c>
      <c r="I7" s="13">
        <f t="shared" si="1"/>
        <v>1</v>
      </c>
    </row>
    <row r="8" spans="1:9">
      <c r="A8" s="5" t="s">
        <v>25</v>
      </c>
      <c r="B8" s="5">
        <v>670</v>
      </c>
      <c r="C8" s="9">
        <f>B8*550</f>
        <v>368500</v>
      </c>
      <c r="D8" s="9">
        <f t="shared" si="0"/>
        <v>92125</v>
      </c>
      <c r="E8" s="1"/>
      <c r="F8" s="14" t="s">
        <v>26</v>
      </c>
      <c r="G8" s="16">
        <f>SUM(G3:G7)</f>
        <v>50</v>
      </c>
      <c r="H8" s="17"/>
      <c r="I8" s="17"/>
    </row>
    <row r="9" spans="1:9">
      <c r="A9" s="18"/>
      <c r="B9" s="5" t="s">
        <v>27</v>
      </c>
      <c r="C9" s="19">
        <v>0.25</v>
      </c>
      <c r="D9" s="20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 t="s">
        <v>28</v>
      </c>
      <c r="H10" s="1" t="s">
        <v>2</v>
      </c>
      <c r="I10" s="1"/>
    </row>
    <row r="11" spans="1:9">
      <c r="A11" s="21" t="s">
        <v>29</v>
      </c>
      <c r="B11" s="21" t="s">
        <v>3</v>
      </c>
      <c r="C11" s="1"/>
      <c r="D11" s="1"/>
      <c r="E11" s="1"/>
      <c r="F11" s="1"/>
      <c r="G11" s="5" t="s">
        <v>30</v>
      </c>
      <c r="H11" s="5" t="s">
        <v>31</v>
      </c>
      <c r="I11" s="6" t="s">
        <v>32</v>
      </c>
    </row>
    <row r="12" spans="1:9">
      <c r="A12" s="5" t="s">
        <v>33</v>
      </c>
      <c r="B12" s="5" t="s">
        <v>34</v>
      </c>
      <c r="C12" s="8" t="s">
        <v>35</v>
      </c>
      <c r="D12" s="8" t="s">
        <v>36</v>
      </c>
      <c r="E12" s="6" t="s">
        <v>37</v>
      </c>
      <c r="F12" s="1"/>
      <c r="G12" s="5" t="s">
        <v>38</v>
      </c>
      <c r="H12" s="12">
        <v>75</v>
      </c>
      <c r="I12" s="35">
        <f t="shared" ref="I12:I17" si="2">(H12*$G$20)*(1-$H$20)</f>
        <v>15000000</v>
      </c>
    </row>
    <row r="13" spans="1:9">
      <c r="A13" s="5" t="s">
        <v>39</v>
      </c>
      <c r="B13" s="23">
        <v>15</v>
      </c>
      <c r="C13" s="12">
        <v>2550000</v>
      </c>
      <c r="D13" s="24">
        <v>0.15</v>
      </c>
      <c r="E13" s="12">
        <f>C13+C13*(D13+$C$18)</f>
        <v>3085500</v>
      </c>
      <c r="F13" s="1"/>
      <c r="G13" s="5" t="s">
        <v>40</v>
      </c>
      <c r="H13" s="12">
        <v>65</v>
      </c>
      <c r="I13" s="35">
        <f t="shared" si="2"/>
        <v>13000000</v>
      </c>
    </row>
    <row r="14" spans="1:9">
      <c r="A14" s="5" t="s">
        <v>41</v>
      </c>
      <c r="B14" s="23">
        <v>9</v>
      </c>
      <c r="C14" s="12">
        <v>1500000</v>
      </c>
      <c r="D14" s="24">
        <v>0.1</v>
      </c>
      <c r="E14" s="12">
        <f t="shared" ref="E14:E17" si="3">C14+C14*(D14+$C$18)</f>
        <v>1740000</v>
      </c>
      <c r="F14" s="1"/>
      <c r="G14" s="5" t="s">
        <v>42</v>
      </c>
      <c r="H14" s="12">
        <v>56</v>
      </c>
      <c r="I14" s="35">
        <f t="shared" si="2"/>
        <v>11200000</v>
      </c>
    </row>
    <row r="15" spans="1:9">
      <c r="A15" s="5" t="s">
        <v>43</v>
      </c>
      <c r="B15" s="23">
        <v>10</v>
      </c>
      <c r="C15" s="12">
        <v>2000000</v>
      </c>
      <c r="D15" s="24">
        <v>0.12</v>
      </c>
      <c r="E15" s="12">
        <f t="shared" si="3"/>
        <v>2360000</v>
      </c>
      <c r="F15" s="1"/>
      <c r="G15" s="5" t="s">
        <v>44</v>
      </c>
      <c r="H15" s="12">
        <v>76</v>
      </c>
      <c r="I15" s="35">
        <f t="shared" si="2"/>
        <v>15200000</v>
      </c>
    </row>
    <row r="16" spans="1:9">
      <c r="A16" s="5" t="s">
        <v>45</v>
      </c>
      <c r="B16" s="23">
        <v>8</v>
      </c>
      <c r="C16" s="12">
        <v>2200000</v>
      </c>
      <c r="D16" s="24">
        <v>0.1</v>
      </c>
      <c r="E16" s="12">
        <f t="shared" si="3"/>
        <v>2552000</v>
      </c>
      <c r="F16" s="1"/>
      <c r="G16" s="5" t="s">
        <v>46</v>
      </c>
      <c r="H16" s="12">
        <v>56</v>
      </c>
      <c r="I16" s="35">
        <f t="shared" si="2"/>
        <v>11200000</v>
      </c>
    </row>
    <row r="17" spans="1:9">
      <c r="A17" s="5" t="s">
        <v>47</v>
      </c>
      <c r="B17" s="23">
        <v>4</v>
      </c>
      <c r="C17" s="12">
        <v>1300000</v>
      </c>
      <c r="D17" s="24">
        <v>7.0000000000000007E-2</v>
      </c>
      <c r="E17" s="12">
        <f t="shared" si="3"/>
        <v>1469000</v>
      </c>
      <c r="F17" s="1"/>
      <c r="G17" s="5" t="s">
        <v>48</v>
      </c>
      <c r="H17" s="12">
        <v>85</v>
      </c>
      <c r="I17" s="35">
        <f t="shared" si="2"/>
        <v>17000000</v>
      </c>
    </row>
    <row r="18" spans="1:9">
      <c r="A18" s="200" t="s">
        <v>49</v>
      </c>
      <c r="B18" s="200"/>
      <c r="C18" s="25">
        <v>0.06</v>
      </c>
      <c r="D18" s="1"/>
      <c r="E18" s="1"/>
      <c r="F18" s="1"/>
      <c r="G18" s="3"/>
      <c r="H18" s="3"/>
      <c r="I18" s="3"/>
    </row>
    <row r="19" spans="1:9">
      <c r="A19" s="1"/>
      <c r="B19" s="1"/>
      <c r="C19" s="1"/>
      <c r="D19" s="1"/>
      <c r="E19" s="1"/>
      <c r="F19" s="1"/>
      <c r="G19" s="8" t="s">
        <v>50</v>
      </c>
      <c r="H19" s="5" t="s">
        <v>51</v>
      </c>
      <c r="I19" s="3"/>
    </row>
    <row r="20" spans="1:9">
      <c r="A20" s="1" t="s">
        <v>52</v>
      </c>
      <c r="B20" s="1" t="s">
        <v>4</v>
      </c>
      <c r="C20" s="1"/>
      <c r="D20" s="1"/>
      <c r="E20" s="1"/>
      <c r="F20" s="1"/>
      <c r="G20" s="26">
        <v>250000</v>
      </c>
      <c r="H20" s="27">
        <v>0.2</v>
      </c>
      <c r="I20" s="3"/>
    </row>
    <row r="21" spans="1:9">
      <c r="A21" s="28" t="s">
        <v>53</v>
      </c>
      <c r="B21" s="28" t="s">
        <v>54</v>
      </c>
      <c r="C21" s="28" t="s">
        <v>55</v>
      </c>
      <c r="D21" s="29" t="s">
        <v>56</v>
      </c>
      <c r="E21" s="1"/>
      <c r="F21" s="1"/>
      <c r="G21" s="1"/>
      <c r="H21" s="1"/>
      <c r="I21" s="1"/>
    </row>
    <row r="22" spans="1:9">
      <c r="A22" s="28" t="s">
        <v>57</v>
      </c>
      <c r="B22" s="30">
        <v>50</v>
      </c>
      <c r="C22" s="30">
        <v>23</v>
      </c>
      <c r="D22" s="30">
        <f t="shared" ref="D22:D27" si="4">B22*$C$28+C22*$C$29</f>
        <v>4.12</v>
      </c>
      <c r="E22" s="1"/>
      <c r="F22" s="1"/>
      <c r="G22" s="1"/>
      <c r="H22" s="1"/>
      <c r="I22" s="1"/>
    </row>
    <row r="23" spans="1:9">
      <c r="A23" s="28" t="s">
        <v>58</v>
      </c>
      <c r="B23" s="30">
        <v>72</v>
      </c>
      <c r="C23" s="30">
        <v>14</v>
      </c>
      <c r="D23" s="30">
        <f t="shared" si="4"/>
        <v>7.08</v>
      </c>
      <c r="E23" s="1"/>
      <c r="F23" s="1"/>
      <c r="G23" s="1"/>
      <c r="H23" s="1"/>
      <c r="I23" s="1"/>
    </row>
    <row r="24" spans="1:9">
      <c r="A24" s="28" t="s">
        <v>59</v>
      </c>
      <c r="B24" s="30">
        <v>85</v>
      </c>
      <c r="C24" s="30">
        <v>29</v>
      </c>
      <c r="D24" s="30">
        <f t="shared" si="4"/>
        <v>7.6099999999999994</v>
      </c>
      <c r="E24" s="1"/>
      <c r="F24" s="1"/>
      <c r="G24" s="1"/>
      <c r="H24" s="1"/>
      <c r="I24" s="1"/>
    </row>
    <row r="25" spans="1:9">
      <c r="A25" s="28" t="s">
        <v>60</v>
      </c>
      <c r="B25" s="30">
        <v>15</v>
      </c>
      <c r="C25" s="30">
        <v>2</v>
      </c>
      <c r="D25" s="30">
        <f t="shared" si="4"/>
        <v>1.5299999999999998</v>
      </c>
      <c r="E25" s="1"/>
      <c r="F25" s="1"/>
      <c r="G25" s="1"/>
      <c r="H25" s="1"/>
      <c r="I25" s="1"/>
    </row>
    <row r="26" spans="1:9">
      <c r="A26" s="28" t="s">
        <v>61</v>
      </c>
      <c r="B26" s="30">
        <v>78</v>
      </c>
      <c r="C26" s="30">
        <v>7</v>
      </c>
      <c r="D26" s="30">
        <f t="shared" si="4"/>
        <v>8.16</v>
      </c>
      <c r="E26" s="1"/>
      <c r="F26" s="1"/>
      <c r="G26" s="1"/>
      <c r="H26" s="1"/>
      <c r="I26" s="1"/>
    </row>
    <row r="27" spans="1:9">
      <c r="A27" s="31" t="s">
        <v>62</v>
      </c>
      <c r="B27" s="30">
        <v>56</v>
      </c>
      <c r="C27" s="30">
        <v>5</v>
      </c>
      <c r="D27" s="30">
        <f t="shared" si="4"/>
        <v>5.86</v>
      </c>
      <c r="E27" s="1"/>
      <c r="F27" s="1"/>
      <c r="G27" s="1"/>
      <c r="H27" s="1"/>
      <c r="I27" s="1"/>
    </row>
    <row r="28" spans="1:9">
      <c r="A28" s="201" t="s">
        <v>63</v>
      </c>
      <c r="B28" s="202"/>
      <c r="C28" s="32">
        <v>0.11</v>
      </c>
      <c r="D28" s="33"/>
      <c r="E28" s="1"/>
      <c r="F28" s="1"/>
      <c r="G28" s="1"/>
      <c r="H28" s="1"/>
      <c r="I28" s="1"/>
    </row>
    <row r="29" spans="1:9">
      <c r="A29" s="201" t="s">
        <v>64</v>
      </c>
      <c r="B29" s="202"/>
      <c r="C29" s="32">
        <v>-0.06</v>
      </c>
      <c r="D29" s="33"/>
      <c r="E29" s="1"/>
      <c r="F29" s="1"/>
      <c r="G29" s="1"/>
      <c r="H29" s="1"/>
      <c r="I29" s="1"/>
    </row>
  </sheetData>
  <mergeCells count="3">
    <mergeCell ref="A18:B18"/>
    <mergeCell ref="A28:B28"/>
    <mergeCell ref="A29:B2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/>
  </sheetViews>
  <sheetFormatPr defaultRowHeight="16.5"/>
  <cols>
    <col min="1" max="16384" width="9" style="1"/>
  </cols>
  <sheetData>
    <row r="2" spans="1:9">
      <c r="A2" s="116" t="s">
        <v>411</v>
      </c>
      <c r="B2" s="31">
        <v>25</v>
      </c>
      <c r="C2" s="64"/>
      <c r="D2" s="29">
        <f>SQRT(B2)</f>
        <v>5</v>
      </c>
      <c r="E2" s="64"/>
      <c r="F2" s="116" t="s">
        <v>412</v>
      </c>
      <c r="G2" s="64"/>
      <c r="H2" s="29">
        <f>PI( )</f>
        <v>3.1415926535897931</v>
      </c>
      <c r="I2" s="64"/>
    </row>
    <row r="3" spans="1:9">
      <c r="A3" s="116"/>
      <c r="B3" s="64"/>
      <c r="C3" s="64"/>
      <c r="D3" s="64"/>
      <c r="E3" s="64"/>
      <c r="F3" s="116"/>
      <c r="G3" s="64"/>
      <c r="H3" s="64"/>
      <c r="I3" s="64"/>
    </row>
    <row r="4" spans="1:9">
      <c r="A4" s="116" t="s">
        <v>386</v>
      </c>
      <c r="B4" s="31">
        <v>5</v>
      </c>
      <c r="C4" s="64"/>
      <c r="D4" s="29">
        <f>FACT(B4)</f>
        <v>120</v>
      </c>
      <c r="E4" s="64"/>
      <c r="F4" s="116" t="s">
        <v>413</v>
      </c>
      <c r="G4" s="64"/>
      <c r="H4" s="29">
        <f ca="1">RAND( )</f>
        <v>0.42848042602469671</v>
      </c>
      <c r="I4" s="64"/>
    </row>
    <row r="5" spans="1:9">
      <c r="A5" s="116"/>
      <c r="B5" s="64"/>
      <c r="C5" s="64"/>
      <c r="D5" s="64"/>
      <c r="E5" s="64"/>
      <c r="F5" s="64"/>
      <c r="G5" s="64"/>
      <c r="H5" s="64"/>
      <c r="I5" s="64"/>
    </row>
    <row r="6" spans="1:9">
      <c r="A6" s="116" t="s">
        <v>414</v>
      </c>
      <c r="B6" s="31">
        <v>4</v>
      </c>
      <c r="C6" s="64"/>
      <c r="D6" s="29">
        <f>POWER(B6,3)</f>
        <v>64</v>
      </c>
      <c r="E6" s="64"/>
      <c r="F6" s="64"/>
      <c r="G6" s="64"/>
      <c r="H6" s="64"/>
      <c r="I6" s="64"/>
    </row>
    <row r="7" spans="1:9">
      <c r="A7" s="64"/>
      <c r="B7" s="116"/>
      <c r="C7" s="64"/>
      <c r="D7" s="64"/>
      <c r="E7" s="64"/>
      <c r="F7" s="64"/>
      <c r="G7" s="64"/>
      <c r="H7" s="64"/>
      <c r="I7" s="64"/>
    </row>
    <row r="8" spans="1:9">
      <c r="A8" s="64"/>
      <c r="B8" s="100" t="s">
        <v>118</v>
      </c>
      <c r="C8" s="100" t="s">
        <v>192</v>
      </c>
      <c r="D8" s="100" t="s">
        <v>38</v>
      </c>
      <c r="E8" s="100" t="s">
        <v>40</v>
      </c>
      <c r="F8" s="100" t="s">
        <v>42</v>
      </c>
      <c r="G8" s="100" t="s">
        <v>394</v>
      </c>
      <c r="H8" s="64"/>
      <c r="I8" s="64"/>
    </row>
    <row r="9" spans="1:9">
      <c r="A9" s="64"/>
      <c r="B9" s="31" t="s">
        <v>396</v>
      </c>
      <c r="C9" s="31" t="s">
        <v>200</v>
      </c>
      <c r="D9" s="31">
        <v>557</v>
      </c>
      <c r="E9" s="31">
        <v>345</v>
      </c>
      <c r="F9" s="31">
        <v>721</v>
      </c>
      <c r="G9" s="31">
        <f t="shared" ref="G9:G15" si="0">SUM(D9:F9)</f>
        <v>1623</v>
      </c>
      <c r="H9" s="64"/>
      <c r="I9" s="64"/>
    </row>
    <row r="10" spans="1:9">
      <c r="A10" s="64"/>
      <c r="B10" s="31" t="s">
        <v>415</v>
      </c>
      <c r="C10" s="31" t="s">
        <v>416</v>
      </c>
      <c r="D10" s="31">
        <v>476</v>
      </c>
      <c r="E10" s="31">
        <v>513</v>
      </c>
      <c r="F10" s="31">
        <v>174</v>
      </c>
      <c r="G10" s="31">
        <f t="shared" si="0"/>
        <v>1163</v>
      </c>
      <c r="H10" s="64"/>
      <c r="I10" s="64"/>
    </row>
    <row r="11" spans="1:9">
      <c r="A11" s="64"/>
      <c r="B11" s="31" t="s">
        <v>417</v>
      </c>
      <c r="C11" s="31" t="s">
        <v>418</v>
      </c>
      <c r="D11" s="31">
        <v>231</v>
      </c>
      <c r="E11" s="31">
        <v>474</v>
      </c>
      <c r="F11" s="31">
        <v>358</v>
      </c>
      <c r="G11" s="31">
        <f t="shared" si="0"/>
        <v>1063</v>
      </c>
      <c r="H11" s="64"/>
      <c r="I11" s="64"/>
    </row>
    <row r="12" spans="1:9">
      <c r="A12" s="64"/>
      <c r="B12" s="31" t="s">
        <v>419</v>
      </c>
      <c r="C12" s="31" t="s">
        <v>418</v>
      </c>
      <c r="D12" s="31">
        <v>175</v>
      </c>
      <c r="E12" s="31">
        <v>453</v>
      </c>
      <c r="F12" s="31">
        <v>443</v>
      </c>
      <c r="G12" s="31">
        <f t="shared" si="0"/>
        <v>1071</v>
      </c>
      <c r="H12" s="64"/>
      <c r="I12" s="64"/>
    </row>
    <row r="13" spans="1:9">
      <c r="A13" s="64"/>
      <c r="B13" s="31" t="s">
        <v>420</v>
      </c>
      <c r="C13" s="31" t="s">
        <v>416</v>
      </c>
      <c r="D13" s="31">
        <v>834</v>
      </c>
      <c r="E13" s="31">
        <v>401</v>
      </c>
      <c r="F13" s="31">
        <v>743</v>
      </c>
      <c r="G13" s="31">
        <f t="shared" si="0"/>
        <v>1978</v>
      </c>
      <c r="H13" s="64"/>
      <c r="I13" s="64"/>
    </row>
    <row r="14" spans="1:9">
      <c r="A14" s="64"/>
      <c r="B14" s="31" t="s">
        <v>421</v>
      </c>
      <c r="C14" s="31" t="s">
        <v>418</v>
      </c>
      <c r="D14" s="31">
        <v>597</v>
      </c>
      <c r="E14" s="31">
        <v>347</v>
      </c>
      <c r="F14" s="31">
        <v>346</v>
      </c>
      <c r="G14" s="31">
        <f t="shared" si="0"/>
        <v>1290</v>
      </c>
      <c r="H14" s="64"/>
      <c r="I14" s="64"/>
    </row>
    <row r="15" spans="1:9">
      <c r="A15" s="64"/>
      <c r="B15" s="31" t="s">
        <v>422</v>
      </c>
      <c r="C15" s="31" t="s">
        <v>416</v>
      </c>
      <c r="D15" s="31">
        <v>634</v>
      </c>
      <c r="E15" s="31">
        <v>530</v>
      </c>
      <c r="F15" s="31">
        <v>651</v>
      </c>
      <c r="G15" s="31">
        <f t="shared" si="0"/>
        <v>1815</v>
      </c>
      <c r="H15" s="64"/>
      <c r="I15" s="64"/>
    </row>
    <row r="16" spans="1:9">
      <c r="A16" s="64"/>
      <c r="B16" s="64"/>
      <c r="C16" s="64"/>
      <c r="D16" s="64"/>
      <c r="E16" s="64"/>
      <c r="F16" s="64"/>
      <c r="G16" s="64"/>
      <c r="H16" s="64"/>
      <c r="I16" s="64"/>
    </row>
    <row r="17" spans="1:10">
      <c r="A17" s="64"/>
      <c r="B17" s="64"/>
      <c r="C17" s="64"/>
      <c r="D17" s="64"/>
      <c r="E17" s="64"/>
      <c r="F17" s="64"/>
      <c r="G17" s="64"/>
      <c r="H17" s="64"/>
      <c r="I17" s="64"/>
    </row>
    <row r="18" spans="1:10">
      <c r="A18" s="64"/>
      <c r="B18" s="100" t="s">
        <v>423</v>
      </c>
      <c r="C18" s="100" t="s">
        <v>424</v>
      </c>
      <c r="D18" s="100" t="s">
        <v>425</v>
      </c>
      <c r="E18" s="100" t="s">
        <v>426</v>
      </c>
      <c r="F18" s="100" t="s">
        <v>427</v>
      </c>
      <c r="H18" s="208" t="s">
        <v>428</v>
      </c>
      <c r="I18" s="209"/>
      <c r="J18" s="210"/>
    </row>
    <row r="19" spans="1:10">
      <c r="A19" s="64"/>
      <c r="B19" s="31" t="s">
        <v>418</v>
      </c>
      <c r="C19" s="29">
        <f>COUNTIF(C9:C15, B19)</f>
        <v>4</v>
      </c>
      <c r="D19" s="29">
        <f>SUMIF($C$9:$C$15, $B$19,D9:D15)</f>
        <v>1560</v>
      </c>
      <c r="E19" s="29">
        <f>SUMIF($C$9:$C$15, $B$19,E9:E15)</f>
        <v>1619</v>
      </c>
      <c r="F19" s="29">
        <f>SUMIF($C$9:$C$15, $B$19,F9:F15)</f>
        <v>1868</v>
      </c>
      <c r="H19" s="211">
        <f>SUMIFS(G9:G15,D9:D15,"&gt;=400",E9:E15,"&gt;=400",F9:F15,"&gt;=400")</f>
        <v>3793</v>
      </c>
      <c r="I19" s="212"/>
      <c r="J19" s="213"/>
    </row>
  </sheetData>
  <mergeCells count="2">
    <mergeCell ref="H19:J19"/>
    <mergeCell ref="H18:J18"/>
  </mergeCells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/>
  </sheetViews>
  <sheetFormatPr defaultRowHeight="16.5"/>
  <cols>
    <col min="2" max="2" width="9.125" bestFit="1" customWidth="1"/>
    <col min="3" max="3" width="11.875" bestFit="1" customWidth="1"/>
    <col min="4" max="4" width="11" bestFit="1" customWidth="1"/>
    <col min="5" max="8" width="9.125" bestFit="1" customWidth="1"/>
    <col min="9" max="9" width="11" bestFit="1" customWidth="1"/>
  </cols>
  <sheetData>
    <row r="1" spans="1:9">
      <c r="A1" s="21" t="s">
        <v>5</v>
      </c>
      <c r="B1" s="21" t="s">
        <v>429</v>
      </c>
      <c r="C1" s="21"/>
      <c r="D1" s="21"/>
      <c r="E1" s="21"/>
      <c r="F1" s="21"/>
      <c r="G1" s="121" t="s">
        <v>6</v>
      </c>
      <c r="H1" s="2" t="s">
        <v>430</v>
      </c>
      <c r="I1" s="21"/>
    </row>
    <row r="2" spans="1:9">
      <c r="A2" s="96" t="s">
        <v>431</v>
      </c>
      <c r="B2" s="96" t="s">
        <v>44</v>
      </c>
      <c r="C2" s="96" t="s">
        <v>432</v>
      </c>
      <c r="D2" s="96" t="s">
        <v>433</v>
      </c>
      <c r="E2" s="62" t="s">
        <v>434</v>
      </c>
      <c r="F2" s="21"/>
      <c r="G2" s="122" t="s">
        <v>435</v>
      </c>
      <c r="H2" s="123" t="s">
        <v>436</v>
      </c>
      <c r="I2" s="62" t="s">
        <v>437</v>
      </c>
    </row>
    <row r="3" spans="1:9">
      <c r="A3" s="96" t="s">
        <v>438</v>
      </c>
      <c r="B3" s="30">
        <v>108</v>
      </c>
      <c r="C3" s="30">
        <v>150</v>
      </c>
      <c r="D3" s="30">
        <v>97</v>
      </c>
      <c r="E3" s="30"/>
      <c r="F3" s="21"/>
      <c r="G3" s="96" t="s">
        <v>439</v>
      </c>
      <c r="H3" s="124">
        <v>77</v>
      </c>
      <c r="I3" s="96"/>
    </row>
    <row r="4" spans="1:9">
      <c r="A4" s="96" t="s">
        <v>440</v>
      </c>
      <c r="B4" s="30">
        <v>152</v>
      </c>
      <c r="C4" s="30">
        <v>52</v>
      </c>
      <c r="D4" s="30">
        <v>110</v>
      </c>
      <c r="E4" s="30"/>
      <c r="F4" s="21"/>
      <c r="G4" s="96" t="s">
        <v>441</v>
      </c>
      <c r="H4" s="124">
        <v>85</v>
      </c>
      <c r="I4" s="96"/>
    </row>
    <row r="5" spans="1:9">
      <c r="A5" s="96" t="s">
        <v>442</v>
      </c>
      <c r="B5" s="30">
        <v>52</v>
      </c>
      <c r="C5" s="30">
        <v>101</v>
      </c>
      <c r="D5" s="30">
        <v>89</v>
      </c>
      <c r="E5" s="30"/>
      <c r="F5" s="21"/>
      <c r="G5" s="96" t="s">
        <v>443</v>
      </c>
      <c r="H5" s="125">
        <v>63</v>
      </c>
      <c r="I5" s="96"/>
    </row>
    <row r="6" spans="1:9">
      <c r="A6" s="96" t="s">
        <v>444</v>
      </c>
      <c r="B6" s="30">
        <v>100</v>
      </c>
      <c r="C6" s="30">
        <v>98</v>
      </c>
      <c r="D6" s="30">
        <v>101</v>
      </c>
      <c r="E6" s="30"/>
      <c r="F6" s="21"/>
      <c r="G6" s="96" t="s">
        <v>445</v>
      </c>
      <c r="H6" s="125">
        <v>45</v>
      </c>
      <c r="I6" s="96"/>
    </row>
    <row r="7" spans="1:9">
      <c r="A7" s="96" t="s">
        <v>446</v>
      </c>
      <c r="B7" s="30">
        <v>75</v>
      </c>
      <c r="C7" s="30">
        <v>200</v>
      </c>
      <c r="D7" s="30">
        <v>36</v>
      </c>
      <c r="E7" s="30"/>
      <c r="F7" s="21"/>
      <c r="G7" s="96" t="s">
        <v>447</v>
      </c>
      <c r="H7" s="124">
        <v>64</v>
      </c>
      <c r="I7" s="96"/>
    </row>
    <row r="8" spans="1:9">
      <c r="A8" s="21"/>
      <c r="B8" s="21"/>
      <c r="C8" s="21"/>
      <c r="D8" s="21"/>
      <c r="E8" s="21"/>
      <c r="F8" s="21"/>
      <c r="G8" s="96" t="s">
        <v>448</v>
      </c>
      <c r="H8" s="124">
        <v>50</v>
      </c>
      <c r="I8" s="96"/>
    </row>
    <row r="9" spans="1:9">
      <c r="A9" s="2" t="s">
        <v>449</v>
      </c>
      <c r="B9" s="21" t="s">
        <v>450</v>
      </c>
      <c r="C9" s="21"/>
      <c r="D9" s="21"/>
      <c r="E9" s="21"/>
      <c r="F9" s="21"/>
      <c r="G9" s="96" t="s">
        <v>451</v>
      </c>
      <c r="H9" s="124">
        <v>46</v>
      </c>
      <c r="I9" s="96"/>
    </row>
    <row r="10" spans="1:9">
      <c r="A10" s="81" t="s">
        <v>452</v>
      </c>
      <c r="B10" s="96" t="s">
        <v>453</v>
      </c>
      <c r="C10" s="81" t="s">
        <v>454</v>
      </c>
      <c r="D10" s="21"/>
      <c r="E10" s="21"/>
      <c r="F10" s="21"/>
      <c r="G10" s="96" t="s">
        <v>455</v>
      </c>
      <c r="H10" s="124">
        <v>78</v>
      </c>
      <c r="I10" s="96"/>
    </row>
    <row r="11" spans="1:9">
      <c r="A11" s="81" t="s">
        <v>456</v>
      </c>
      <c r="B11" s="96" t="s">
        <v>457</v>
      </c>
      <c r="C11" s="126">
        <v>36483516</v>
      </c>
      <c r="D11" s="21"/>
      <c r="E11" s="21"/>
      <c r="F11" s="21"/>
      <c r="G11" s="21"/>
      <c r="H11" s="21"/>
      <c r="I11" s="21"/>
    </row>
    <row r="12" spans="1:9">
      <c r="A12" s="81" t="s">
        <v>458</v>
      </c>
      <c r="B12" s="96" t="s">
        <v>459</v>
      </c>
      <c r="C12" s="126">
        <v>12991336</v>
      </c>
      <c r="D12" s="21"/>
      <c r="E12" s="21" t="s">
        <v>460</v>
      </c>
      <c r="F12" s="21" t="s">
        <v>461</v>
      </c>
      <c r="G12" s="127"/>
      <c r="H12" s="127"/>
      <c r="I12" s="21"/>
    </row>
    <row r="13" spans="1:9">
      <c r="A13" s="81" t="s">
        <v>462</v>
      </c>
      <c r="B13" s="96" t="s">
        <v>459</v>
      </c>
      <c r="C13" s="126">
        <v>14230019</v>
      </c>
      <c r="D13" s="21"/>
      <c r="E13" s="81" t="s">
        <v>452</v>
      </c>
      <c r="F13" s="81" t="s">
        <v>463</v>
      </c>
      <c r="G13" s="81" t="s">
        <v>464</v>
      </c>
      <c r="H13" s="128" t="s">
        <v>465</v>
      </c>
      <c r="I13" s="129" t="s">
        <v>466</v>
      </c>
    </row>
    <row r="14" spans="1:9">
      <c r="A14" s="81" t="s">
        <v>467</v>
      </c>
      <c r="B14" s="96" t="s">
        <v>468</v>
      </c>
      <c r="C14" s="126">
        <v>23122065</v>
      </c>
      <c r="D14" s="21"/>
      <c r="E14" s="81" t="s">
        <v>469</v>
      </c>
      <c r="F14" s="130">
        <v>320</v>
      </c>
      <c r="G14" s="131">
        <v>341</v>
      </c>
      <c r="H14" s="131">
        <v>360</v>
      </c>
      <c r="I14" s="130"/>
    </row>
    <row r="15" spans="1:9">
      <c r="A15" s="81" t="s">
        <v>470</v>
      </c>
      <c r="B15" s="96" t="s">
        <v>471</v>
      </c>
      <c r="C15" s="126">
        <v>25390984</v>
      </c>
      <c r="D15" s="21"/>
      <c r="E15" s="81" t="s">
        <v>472</v>
      </c>
      <c r="F15" s="130">
        <v>296</v>
      </c>
      <c r="G15" s="131">
        <v>250</v>
      </c>
      <c r="H15" s="130">
        <v>270</v>
      </c>
      <c r="I15" s="130"/>
    </row>
    <row r="16" spans="1:9">
      <c r="A16" s="81" t="s">
        <v>473</v>
      </c>
      <c r="B16" s="96" t="s">
        <v>474</v>
      </c>
      <c r="C16" s="132">
        <v>20859311</v>
      </c>
      <c r="D16" s="21"/>
      <c r="E16" s="81" t="s">
        <v>475</v>
      </c>
      <c r="F16" s="130">
        <v>255</v>
      </c>
      <c r="G16" s="131">
        <v>310</v>
      </c>
      <c r="H16" s="130">
        <v>322</v>
      </c>
      <c r="I16" s="130"/>
    </row>
    <row r="17" spans="1:9">
      <c r="A17" s="81" t="s">
        <v>476</v>
      </c>
      <c r="B17" s="96" t="s">
        <v>477</v>
      </c>
      <c r="C17" s="133">
        <v>78945600</v>
      </c>
      <c r="D17" s="21"/>
      <c r="E17" s="81" t="s">
        <v>478</v>
      </c>
      <c r="F17" s="130">
        <v>361</v>
      </c>
      <c r="G17" s="131">
        <v>308</v>
      </c>
      <c r="H17" s="130">
        <v>375</v>
      </c>
      <c r="I17" s="130"/>
    </row>
    <row r="18" spans="1:9">
      <c r="A18" s="21"/>
      <c r="B18" s="21"/>
      <c r="C18" s="21"/>
      <c r="D18" s="21"/>
      <c r="E18" s="81" t="s">
        <v>479</v>
      </c>
      <c r="F18" s="130">
        <v>291</v>
      </c>
      <c r="G18" s="131">
        <v>342</v>
      </c>
      <c r="H18" s="130">
        <v>332</v>
      </c>
      <c r="I18" s="130"/>
    </row>
    <row r="19" spans="1:9">
      <c r="A19" s="214" t="s">
        <v>480</v>
      </c>
      <c r="B19" s="214"/>
      <c r="C19" s="135"/>
      <c r="D19" s="21"/>
      <c r="E19" s="81" t="s">
        <v>481</v>
      </c>
      <c r="F19" s="130">
        <v>308</v>
      </c>
      <c r="G19" s="131">
        <v>367</v>
      </c>
      <c r="H19" s="130">
        <v>367</v>
      </c>
      <c r="I19" s="130"/>
    </row>
    <row r="20" spans="1:9">
      <c r="A20" s="214" t="s">
        <v>482</v>
      </c>
      <c r="B20" s="214"/>
      <c r="C20" s="83"/>
      <c r="D20" s="21"/>
      <c r="E20" s="81" t="s">
        <v>483</v>
      </c>
      <c r="F20" s="130">
        <v>321</v>
      </c>
      <c r="G20" s="131">
        <v>268</v>
      </c>
      <c r="H20" s="130">
        <v>297</v>
      </c>
      <c r="I20" s="130"/>
    </row>
    <row r="21" spans="1:9">
      <c r="A21" s="21"/>
      <c r="B21" s="21"/>
      <c r="C21" s="21"/>
      <c r="D21" s="21"/>
      <c r="E21" s="21"/>
      <c r="F21" s="21"/>
      <c r="G21" s="21"/>
      <c r="H21" s="21"/>
      <c r="I21" s="21"/>
    </row>
    <row r="22" spans="1:9">
      <c r="A22" s="1" t="s">
        <v>484</v>
      </c>
      <c r="B22" s="1" t="s">
        <v>485</v>
      </c>
      <c r="C22" s="1"/>
      <c r="D22" s="1"/>
      <c r="E22" s="21"/>
      <c r="F22" s="21"/>
      <c r="G22" s="21"/>
      <c r="H22" s="21"/>
      <c r="I22" s="21"/>
    </row>
    <row r="23" spans="1:9">
      <c r="A23" s="5" t="s">
        <v>486</v>
      </c>
      <c r="B23" s="5" t="s">
        <v>487</v>
      </c>
      <c r="C23" s="5" t="s">
        <v>488</v>
      </c>
      <c r="D23" s="5" t="s">
        <v>489</v>
      </c>
      <c r="E23" s="21"/>
      <c r="F23" s="21"/>
      <c r="G23" s="21"/>
      <c r="H23" s="21"/>
      <c r="I23" s="21"/>
    </row>
    <row r="24" spans="1:9">
      <c r="A24" s="5" t="s">
        <v>490</v>
      </c>
      <c r="B24" s="119">
        <v>87</v>
      </c>
      <c r="C24" s="119">
        <v>56</v>
      </c>
      <c r="D24" s="119">
        <v>78</v>
      </c>
      <c r="E24" s="21"/>
      <c r="F24" s="21"/>
      <c r="G24" s="21"/>
      <c r="H24" s="21"/>
      <c r="I24" s="21"/>
    </row>
    <row r="25" spans="1:9">
      <c r="A25" s="5" t="s">
        <v>491</v>
      </c>
      <c r="B25" s="119">
        <v>98</v>
      </c>
      <c r="C25" s="119">
        <v>87</v>
      </c>
      <c r="D25" s="119">
        <v>78</v>
      </c>
      <c r="E25" s="21"/>
      <c r="F25" s="21"/>
      <c r="G25" s="21"/>
      <c r="H25" s="21"/>
      <c r="I25" s="21"/>
    </row>
    <row r="26" spans="1:9">
      <c r="A26" s="5" t="s">
        <v>492</v>
      </c>
      <c r="B26" s="119">
        <v>45</v>
      </c>
      <c r="C26" s="119">
        <v>67</v>
      </c>
      <c r="D26" s="119">
        <v>89</v>
      </c>
      <c r="E26" s="21"/>
      <c r="F26" s="21"/>
      <c r="G26" s="21"/>
      <c r="H26" s="21"/>
      <c r="I26" s="21"/>
    </row>
    <row r="27" spans="1:9">
      <c r="A27" s="5" t="s">
        <v>493</v>
      </c>
      <c r="B27" s="119">
        <v>34</v>
      </c>
      <c r="C27" s="119">
        <v>99</v>
      </c>
      <c r="D27" s="119">
        <v>86</v>
      </c>
      <c r="E27" s="21"/>
      <c r="F27" s="21"/>
      <c r="G27" s="21"/>
      <c r="H27" s="21"/>
      <c r="I27" s="21"/>
    </row>
    <row r="28" spans="1:9">
      <c r="A28" s="5" t="s">
        <v>494</v>
      </c>
      <c r="B28" s="119">
        <v>90</v>
      </c>
      <c r="C28" s="119">
        <v>87</v>
      </c>
      <c r="D28" s="119">
        <v>88</v>
      </c>
      <c r="E28" s="21"/>
      <c r="F28" s="21"/>
      <c r="G28" s="21"/>
      <c r="H28" s="21"/>
      <c r="I28" s="21"/>
    </row>
    <row r="29" spans="1:9">
      <c r="A29" s="8" t="s">
        <v>495</v>
      </c>
      <c r="B29" s="119">
        <v>93</v>
      </c>
      <c r="C29" s="119">
        <v>54</v>
      </c>
      <c r="D29" s="119">
        <v>90</v>
      </c>
      <c r="E29" s="21"/>
      <c r="F29" s="21"/>
      <c r="G29" s="21"/>
      <c r="H29" s="21"/>
      <c r="I29" s="21"/>
    </row>
    <row r="30" spans="1:9">
      <c r="A30" s="6" t="s">
        <v>496</v>
      </c>
      <c r="B30" s="120"/>
      <c r="C30" s="120"/>
      <c r="D30" s="120"/>
      <c r="E30" s="21"/>
      <c r="F30" s="21"/>
      <c r="G30" s="21"/>
      <c r="H30" s="21"/>
      <c r="I30" s="21"/>
    </row>
    <row r="31" spans="1:9">
      <c r="A31" s="6" t="s">
        <v>497</v>
      </c>
      <c r="B31" s="136"/>
      <c r="C31" s="136"/>
      <c r="D31" s="136"/>
      <c r="E31" s="21"/>
      <c r="F31" s="21"/>
      <c r="G31" s="21"/>
      <c r="H31" s="21"/>
      <c r="I31" s="21"/>
    </row>
  </sheetData>
  <mergeCells count="2">
    <mergeCell ref="A19:B19"/>
    <mergeCell ref="A20:B20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/>
  </sheetViews>
  <sheetFormatPr defaultRowHeight="16.5"/>
  <cols>
    <col min="2" max="2" width="9.125" bestFit="1" customWidth="1"/>
    <col min="3" max="3" width="11.875" bestFit="1" customWidth="1"/>
    <col min="4" max="4" width="11" bestFit="1" customWidth="1"/>
    <col min="5" max="8" width="9.125" bestFit="1" customWidth="1"/>
    <col min="9" max="9" width="11" bestFit="1" customWidth="1"/>
  </cols>
  <sheetData>
    <row r="1" spans="1:9">
      <c r="A1" s="21" t="s">
        <v>5</v>
      </c>
      <c r="B1" s="21" t="s">
        <v>429</v>
      </c>
      <c r="C1" s="21"/>
      <c r="D1" s="21"/>
      <c r="E1" s="21"/>
      <c r="F1" s="21"/>
      <c r="G1" s="121" t="s">
        <v>6</v>
      </c>
      <c r="H1" s="2" t="s">
        <v>430</v>
      </c>
      <c r="I1" s="21"/>
    </row>
    <row r="2" spans="1:9">
      <c r="A2" s="96" t="s">
        <v>431</v>
      </c>
      <c r="B2" s="96" t="s">
        <v>44</v>
      </c>
      <c r="C2" s="96" t="s">
        <v>432</v>
      </c>
      <c r="D2" s="96" t="s">
        <v>433</v>
      </c>
      <c r="E2" s="62" t="s">
        <v>434</v>
      </c>
      <c r="F2" s="21"/>
      <c r="G2" s="122" t="s">
        <v>435</v>
      </c>
      <c r="H2" s="123" t="s">
        <v>436</v>
      </c>
      <c r="I2" s="62" t="s">
        <v>437</v>
      </c>
    </row>
    <row r="3" spans="1:9">
      <c r="A3" s="96" t="s">
        <v>438</v>
      </c>
      <c r="B3" s="30">
        <v>108</v>
      </c>
      <c r="C3" s="30">
        <v>150</v>
      </c>
      <c r="D3" s="30">
        <v>97</v>
      </c>
      <c r="E3" s="30">
        <f>ROUND(AVERAGE(B3:D3),1)</f>
        <v>118.3</v>
      </c>
      <c r="F3" s="21"/>
      <c r="G3" s="96" t="s">
        <v>439</v>
      </c>
      <c r="H3" s="124">
        <v>77</v>
      </c>
      <c r="I3" s="96" t="str">
        <f>RANK(H3,$H$3:$H$10)&amp;"등"</f>
        <v>3등</v>
      </c>
    </row>
    <row r="4" spans="1:9">
      <c r="A4" s="96" t="s">
        <v>440</v>
      </c>
      <c r="B4" s="30">
        <v>152</v>
      </c>
      <c r="C4" s="30">
        <v>52</v>
      </c>
      <c r="D4" s="30">
        <v>110</v>
      </c>
      <c r="E4" s="30">
        <f>ROUND(AVERAGE(B4:D4),1)</f>
        <v>104.7</v>
      </c>
      <c r="F4" s="21"/>
      <c r="G4" s="96" t="s">
        <v>441</v>
      </c>
      <c r="H4" s="124">
        <v>85</v>
      </c>
      <c r="I4" s="96" t="str">
        <f t="shared" ref="I4:I10" si="0">RANK(H4,$H$3:$H$10)&amp;"등"</f>
        <v>1등</v>
      </c>
    </row>
    <row r="5" spans="1:9">
      <c r="A5" s="96" t="s">
        <v>442</v>
      </c>
      <c r="B5" s="30">
        <v>52</v>
      </c>
      <c r="C5" s="30">
        <v>101</v>
      </c>
      <c r="D5" s="30">
        <v>89</v>
      </c>
      <c r="E5" s="30">
        <f>ROUND(AVERAGE(B5:D5),1)</f>
        <v>80.7</v>
      </c>
      <c r="F5" s="21"/>
      <c r="G5" s="96" t="s">
        <v>443</v>
      </c>
      <c r="H5" s="125">
        <v>63</v>
      </c>
      <c r="I5" s="96" t="str">
        <f t="shared" si="0"/>
        <v>5등</v>
      </c>
    </row>
    <row r="6" spans="1:9">
      <c r="A6" s="96" t="s">
        <v>444</v>
      </c>
      <c r="B6" s="30">
        <v>100</v>
      </c>
      <c r="C6" s="30">
        <v>98</v>
      </c>
      <c r="D6" s="30">
        <v>101</v>
      </c>
      <c r="E6" s="30">
        <f>ROUND(AVERAGE(B6:D6),1)</f>
        <v>99.7</v>
      </c>
      <c r="F6" s="21"/>
      <c r="G6" s="96" t="s">
        <v>445</v>
      </c>
      <c r="H6" s="125">
        <v>45</v>
      </c>
      <c r="I6" s="96" t="str">
        <f t="shared" si="0"/>
        <v>8등</v>
      </c>
    </row>
    <row r="7" spans="1:9">
      <c r="A7" s="96" t="s">
        <v>446</v>
      </c>
      <c r="B7" s="30">
        <v>75</v>
      </c>
      <c r="C7" s="30">
        <v>200</v>
      </c>
      <c r="D7" s="30">
        <v>36</v>
      </c>
      <c r="E7" s="30">
        <f>ROUND(AVERAGE(B7:D7),1)</f>
        <v>103.7</v>
      </c>
      <c r="F7" s="21"/>
      <c r="G7" s="96" t="s">
        <v>447</v>
      </c>
      <c r="H7" s="124">
        <v>64</v>
      </c>
      <c r="I7" s="96" t="str">
        <f t="shared" si="0"/>
        <v>4등</v>
      </c>
    </row>
    <row r="8" spans="1:9">
      <c r="A8" s="21"/>
      <c r="B8" s="21"/>
      <c r="C8" s="21"/>
      <c r="D8" s="21"/>
      <c r="E8" s="21"/>
      <c r="F8" s="21"/>
      <c r="G8" s="96" t="s">
        <v>448</v>
      </c>
      <c r="H8" s="124">
        <v>50</v>
      </c>
      <c r="I8" s="96" t="str">
        <f t="shared" si="0"/>
        <v>6등</v>
      </c>
    </row>
    <row r="9" spans="1:9">
      <c r="A9" s="2" t="s">
        <v>449</v>
      </c>
      <c r="B9" s="21" t="s">
        <v>450</v>
      </c>
      <c r="C9" s="21"/>
      <c r="D9" s="21"/>
      <c r="E9" s="21"/>
      <c r="F9" s="21"/>
      <c r="G9" s="96" t="s">
        <v>451</v>
      </c>
      <c r="H9" s="124">
        <v>46</v>
      </c>
      <c r="I9" s="96" t="str">
        <f t="shared" si="0"/>
        <v>7등</v>
      </c>
    </row>
    <row r="10" spans="1:9">
      <c r="A10" s="81" t="s">
        <v>452</v>
      </c>
      <c r="B10" s="96" t="s">
        <v>453</v>
      </c>
      <c r="C10" s="81" t="s">
        <v>454</v>
      </c>
      <c r="D10" s="21"/>
      <c r="E10" s="21"/>
      <c r="F10" s="21"/>
      <c r="G10" s="96" t="s">
        <v>455</v>
      </c>
      <c r="H10" s="124">
        <v>78</v>
      </c>
      <c r="I10" s="96" t="str">
        <f t="shared" si="0"/>
        <v>2등</v>
      </c>
    </row>
    <row r="11" spans="1:9">
      <c r="A11" s="81" t="s">
        <v>456</v>
      </c>
      <c r="B11" s="96" t="s">
        <v>457</v>
      </c>
      <c r="C11" s="126">
        <v>36483516</v>
      </c>
      <c r="D11" s="21"/>
      <c r="E11" s="21"/>
      <c r="F11" s="21"/>
      <c r="G11" s="21"/>
      <c r="H11" s="21"/>
      <c r="I11" s="21"/>
    </row>
    <row r="12" spans="1:9">
      <c r="A12" s="81" t="s">
        <v>458</v>
      </c>
      <c r="B12" s="96" t="s">
        <v>459</v>
      </c>
      <c r="C12" s="126">
        <v>12991336</v>
      </c>
      <c r="D12" s="21"/>
      <c r="E12" s="21" t="s">
        <v>460</v>
      </c>
      <c r="F12" s="21" t="s">
        <v>461</v>
      </c>
      <c r="G12" s="127"/>
      <c r="H12" s="127"/>
      <c r="I12" s="21"/>
    </row>
    <row r="13" spans="1:9">
      <c r="A13" s="81" t="s">
        <v>462</v>
      </c>
      <c r="B13" s="96" t="s">
        <v>459</v>
      </c>
      <c r="C13" s="126">
        <v>14230019</v>
      </c>
      <c r="D13" s="21"/>
      <c r="E13" s="81" t="s">
        <v>452</v>
      </c>
      <c r="F13" s="81" t="s">
        <v>463</v>
      </c>
      <c r="G13" s="81" t="s">
        <v>464</v>
      </c>
      <c r="H13" s="128" t="s">
        <v>465</v>
      </c>
      <c r="I13" s="129" t="s">
        <v>466</v>
      </c>
    </row>
    <row r="14" spans="1:9">
      <c r="A14" s="81" t="s">
        <v>467</v>
      </c>
      <c r="B14" s="96" t="s">
        <v>468</v>
      </c>
      <c r="C14" s="126">
        <v>23122065</v>
      </c>
      <c r="D14" s="21"/>
      <c r="E14" s="81" t="s">
        <v>469</v>
      </c>
      <c r="F14" s="130">
        <v>320</v>
      </c>
      <c r="G14" s="131">
        <v>341</v>
      </c>
      <c r="H14" s="131">
        <v>360</v>
      </c>
      <c r="I14" s="130">
        <f t="shared" ref="I14:I20" si="1">MAX(F14:H14)-MIN(F14:H14)</f>
        <v>40</v>
      </c>
    </row>
    <row r="15" spans="1:9">
      <c r="A15" s="81" t="s">
        <v>470</v>
      </c>
      <c r="B15" s="96" t="s">
        <v>471</v>
      </c>
      <c r="C15" s="126">
        <v>25390984</v>
      </c>
      <c r="D15" s="21"/>
      <c r="E15" s="81" t="s">
        <v>472</v>
      </c>
      <c r="F15" s="130">
        <v>296</v>
      </c>
      <c r="G15" s="131">
        <v>250</v>
      </c>
      <c r="H15" s="130">
        <v>270</v>
      </c>
      <c r="I15" s="130">
        <f t="shared" si="1"/>
        <v>46</v>
      </c>
    </row>
    <row r="16" spans="1:9">
      <c r="A16" s="81" t="s">
        <v>473</v>
      </c>
      <c r="B16" s="96" t="s">
        <v>474</v>
      </c>
      <c r="C16" s="132">
        <v>20859311</v>
      </c>
      <c r="D16" s="21"/>
      <c r="E16" s="81" t="s">
        <v>475</v>
      </c>
      <c r="F16" s="130">
        <v>255</v>
      </c>
      <c r="G16" s="131">
        <v>310</v>
      </c>
      <c r="H16" s="130">
        <v>322</v>
      </c>
      <c r="I16" s="130">
        <f t="shared" si="1"/>
        <v>67</v>
      </c>
    </row>
    <row r="17" spans="1:9">
      <c r="A17" s="81" t="s">
        <v>476</v>
      </c>
      <c r="B17" s="96" t="s">
        <v>477</v>
      </c>
      <c r="C17" s="133">
        <v>78945600</v>
      </c>
      <c r="D17" s="21"/>
      <c r="E17" s="81" t="s">
        <v>478</v>
      </c>
      <c r="F17" s="130">
        <v>361</v>
      </c>
      <c r="G17" s="131">
        <v>308</v>
      </c>
      <c r="H17" s="130">
        <v>375</v>
      </c>
      <c r="I17" s="130">
        <f t="shared" si="1"/>
        <v>67</v>
      </c>
    </row>
    <row r="18" spans="1:9">
      <c r="A18" s="21"/>
      <c r="B18" s="21"/>
      <c r="C18" s="21"/>
      <c r="D18" s="21"/>
      <c r="E18" s="81" t="s">
        <v>479</v>
      </c>
      <c r="F18" s="130">
        <v>291</v>
      </c>
      <c r="G18" s="131">
        <v>342</v>
      </c>
      <c r="H18" s="130">
        <v>332</v>
      </c>
      <c r="I18" s="130">
        <f t="shared" si="1"/>
        <v>51</v>
      </c>
    </row>
    <row r="19" spans="1:9">
      <c r="A19" s="214" t="s">
        <v>480</v>
      </c>
      <c r="B19" s="214"/>
      <c r="C19" s="135">
        <f>LARGE(C11:C17,2)</f>
        <v>36483516</v>
      </c>
      <c r="D19" s="21"/>
      <c r="E19" s="81" t="s">
        <v>481</v>
      </c>
      <c r="F19" s="130">
        <v>308</v>
      </c>
      <c r="G19" s="131">
        <v>367</v>
      </c>
      <c r="H19" s="130">
        <v>367</v>
      </c>
      <c r="I19" s="130">
        <f t="shared" si="1"/>
        <v>59</v>
      </c>
    </row>
    <row r="20" spans="1:9">
      <c r="A20" s="214" t="s">
        <v>482</v>
      </c>
      <c r="B20" s="214"/>
      <c r="C20" s="83">
        <f>SMALL(C11:C17,2)</f>
        <v>14230019</v>
      </c>
      <c r="D20" s="21"/>
      <c r="E20" s="81" t="s">
        <v>483</v>
      </c>
      <c r="F20" s="130">
        <v>321</v>
      </c>
      <c r="G20" s="131">
        <v>268</v>
      </c>
      <c r="H20" s="130">
        <v>297</v>
      </c>
      <c r="I20" s="130">
        <f t="shared" si="1"/>
        <v>53</v>
      </c>
    </row>
    <row r="21" spans="1:9">
      <c r="A21" s="21"/>
      <c r="B21" s="21"/>
      <c r="C21" s="21"/>
      <c r="D21" s="21"/>
      <c r="E21" s="21"/>
      <c r="F21" s="21"/>
      <c r="G21" s="21"/>
      <c r="H21" s="21"/>
      <c r="I21" s="21"/>
    </row>
    <row r="22" spans="1:9">
      <c r="A22" s="1" t="s">
        <v>484</v>
      </c>
      <c r="B22" s="1" t="s">
        <v>485</v>
      </c>
      <c r="C22" s="1"/>
      <c r="D22" s="1"/>
      <c r="E22" s="21"/>
      <c r="F22" s="21"/>
      <c r="G22" s="21"/>
      <c r="H22" s="21"/>
      <c r="I22" s="21"/>
    </row>
    <row r="23" spans="1:9">
      <c r="A23" s="5" t="s">
        <v>486</v>
      </c>
      <c r="B23" s="5" t="s">
        <v>487</v>
      </c>
      <c r="C23" s="5" t="s">
        <v>488</v>
      </c>
      <c r="D23" s="5" t="s">
        <v>489</v>
      </c>
      <c r="E23" s="21"/>
      <c r="F23" s="21"/>
      <c r="G23" s="21"/>
      <c r="H23" s="21"/>
      <c r="I23" s="21"/>
    </row>
    <row r="24" spans="1:9">
      <c r="A24" s="5" t="s">
        <v>490</v>
      </c>
      <c r="B24" s="119">
        <v>87</v>
      </c>
      <c r="C24" s="119">
        <v>56</v>
      </c>
      <c r="D24" s="119">
        <v>78</v>
      </c>
      <c r="E24" s="21"/>
      <c r="F24" s="21"/>
      <c r="G24" s="21"/>
      <c r="H24" s="21"/>
      <c r="I24" s="21"/>
    </row>
    <row r="25" spans="1:9">
      <c r="A25" s="5" t="s">
        <v>491</v>
      </c>
      <c r="B25" s="119">
        <v>98</v>
      </c>
      <c r="C25" s="119">
        <v>87</v>
      </c>
      <c r="D25" s="119">
        <v>78</v>
      </c>
      <c r="E25" s="21"/>
      <c r="F25" s="21"/>
      <c r="G25" s="21"/>
      <c r="H25" s="21"/>
      <c r="I25" s="21"/>
    </row>
    <row r="26" spans="1:9">
      <c r="A26" s="5" t="s">
        <v>492</v>
      </c>
      <c r="B26" s="119">
        <v>45</v>
      </c>
      <c r="C26" s="119">
        <v>67</v>
      </c>
      <c r="D26" s="119">
        <v>89</v>
      </c>
      <c r="E26" s="21"/>
      <c r="F26" s="21"/>
      <c r="G26" s="21"/>
      <c r="H26" s="21"/>
      <c r="I26" s="21"/>
    </row>
    <row r="27" spans="1:9">
      <c r="A27" s="5" t="s">
        <v>493</v>
      </c>
      <c r="B27" s="119">
        <v>34</v>
      </c>
      <c r="C27" s="119">
        <v>99</v>
      </c>
      <c r="D27" s="119">
        <v>86</v>
      </c>
      <c r="E27" s="21"/>
      <c r="F27" s="21"/>
      <c r="G27" s="21"/>
      <c r="H27" s="21"/>
      <c r="I27" s="21"/>
    </row>
    <row r="28" spans="1:9">
      <c r="A28" s="5" t="s">
        <v>494</v>
      </c>
      <c r="B28" s="119">
        <v>90</v>
      </c>
      <c r="C28" s="119">
        <v>87</v>
      </c>
      <c r="D28" s="119">
        <v>88</v>
      </c>
      <c r="E28" s="21"/>
      <c r="F28" s="21"/>
      <c r="G28" s="21"/>
      <c r="H28" s="21"/>
      <c r="I28" s="21"/>
    </row>
    <row r="29" spans="1:9">
      <c r="A29" s="8" t="s">
        <v>495</v>
      </c>
      <c r="B29" s="119">
        <v>93</v>
      </c>
      <c r="C29" s="119">
        <v>54</v>
      </c>
      <c r="D29" s="119">
        <v>90</v>
      </c>
      <c r="E29" s="21"/>
      <c r="F29" s="21"/>
      <c r="G29" s="21"/>
      <c r="H29" s="21"/>
      <c r="I29" s="21"/>
    </row>
    <row r="30" spans="1:9">
      <c r="A30" s="6" t="s">
        <v>496</v>
      </c>
      <c r="B30" s="120">
        <f>STDEV(B24:B29)</f>
        <v>27.573538039214334</v>
      </c>
      <c r="C30" s="120">
        <f>STDEV(C24:C29)</f>
        <v>18.601075237738275</v>
      </c>
      <c r="D30" s="120">
        <f>STDEV(D24:D29)</f>
        <v>5.4558836742242471</v>
      </c>
      <c r="E30" s="21"/>
      <c r="F30" s="21"/>
      <c r="G30" s="21"/>
      <c r="H30" s="21"/>
      <c r="I30" s="21"/>
    </row>
    <row r="31" spans="1:9">
      <c r="A31" s="6" t="s">
        <v>497</v>
      </c>
      <c r="B31" s="136">
        <f>VAR(B24:B29)</f>
        <v>760.3</v>
      </c>
      <c r="C31" s="136">
        <f>VAR(C24:C29)</f>
        <v>346</v>
      </c>
      <c r="D31" s="136">
        <f>VAR(D24:D29)</f>
        <v>29.766666666666669</v>
      </c>
      <c r="E31" s="21"/>
      <c r="F31" s="21"/>
      <c r="G31" s="21"/>
      <c r="H31" s="21"/>
      <c r="I31" s="21"/>
    </row>
  </sheetData>
  <mergeCells count="2">
    <mergeCell ref="A19:B19"/>
    <mergeCell ref="A20:B20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cols>
    <col min="2" max="3" width="9.125" bestFit="1" customWidth="1"/>
    <col min="4" max="4" width="11.625" bestFit="1" customWidth="1"/>
    <col min="6" max="6" width="9.125" bestFit="1" customWidth="1"/>
    <col min="7" max="7" width="11.125" bestFit="1" customWidth="1"/>
    <col min="8" max="11" width="9.125" bestFit="1" customWidth="1"/>
  </cols>
  <sheetData>
    <row r="1" spans="1:11">
      <c r="A1" s="137" t="s">
        <v>498</v>
      </c>
      <c r="B1" s="138"/>
      <c r="C1" s="139"/>
      <c r="D1" s="140"/>
      <c r="E1" s="141"/>
      <c r="F1" s="142"/>
      <c r="G1" s="143" t="s">
        <v>499</v>
      </c>
      <c r="H1" s="141"/>
      <c r="I1" s="141"/>
      <c r="J1" s="141"/>
      <c r="K1" s="141"/>
    </row>
    <row r="2" spans="1:11">
      <c r="A2" s="140"/>
      <c r="B2" s="140"/>
      <c r="C2" s="140"/>
      <c r="D2" s="140"/>
      <c r="E2" s="141"/>
      <c r="F2" s="144" t="s">
        <v>486</v>
      </c>
      <c r="G2" s="144" t="s">
        <v>500</v>
      </c>
      <c r="H2" s="144" t="s">
        <v>501</v>
      </c>
      <c r="I2" s="141"/>
      <c r="J2" s="141"/>
      <c r="K2" s="141"/>
    </row>
    <row r="3" spans="1:11">
      <c r="A3" s="145" t="s">
        <v>502</v>
      </c>
      <c r="B3" s="145" t="s">
        <v>503</v>
      </c>
      <c r="C3" s="140"/>
      <c r="D3" s="146" t="s">
        <v>504</v>
      </c>
      <c r="E3" s="141"/>
      <c r="F3" s="144" t="s">
        <v>505</v>
      </c>
      <c r="G3" s="147">
        <v>34491</v>
      </c>
      <c r="H3" s="144">
        <v>73</v>
      </c>
      <c r="I3" s="141"/>
      <c r="J3" s="141"/>
      <c r="K3" s="141"/>
    </row>
    <row r="4" spans="1:11">
      <c r="A4" s="145" t="s">
        <v>506</v>
      </c>
      <c r="B4" s="145">
        <v>90</v>
      </c>
      <c r="C4" s="140"/>
      <c r="D4" s="145"/>
      <c r="E4" s="141"/>
      <c r="F4" s="144" t="s">
        <v>507</v>
      </c>
      <c r="G4" s="147">
        <v>35521</v>
      </c>
      <c r="H4" s="144">
        <v>68</v>
      </c>
      <c r="I4" s="215" t="s">
        <v>508</v>
      </c>
      <c r="J4" s="215"/>
      <c r="K4" s="141"/>
    </row>
    <row r="5" spans="1:11">
      <c r="A5" s="145" t="s">
        <v>509</v>
      </c>
      <c r="B5" s="145">
        <v>100</v>
      </c>
      <c r="C5" s="139"/>
      <c r="D5" s="140"/>
      <c r="E5" s="141"/>
      <c r="F5" s="144" t="s">
        <v>510</v>
      </c>
      <c r="G5" s="147">
        <v>36286</v>
      </c>
      <c r="H5" s="144">
        <v>98</v>
      </c>
      <c r="I5" s="216"/>
      <c r="J5" s="216"/>
      <c r="K5" s="141"/>
    </row>
    <row r="6" spans="1:11">
      <c r="A6" s="145" t="s">
        <v>511</v>
      </c>
      <c r="B6" s="145">
        <v>85</v>
      </c>
      <c r="C6" s="139"/>
      <c r="D6" s="140"/>
      <c r="E6" s="141"/>
      <c r="F6" s="144" t="s">
        <v>512</v>
      </c>
      <c r="G6" s="147">
        <v>35004</v>
      </c>
      <c r="H6" s="144">
        <v>65</v>
      </c>
      <c r="I6" s="141"/>
      <c r="J6" s="141"/>
      <c r="K6" s="141"/>
    </row>
    <row r="7" spans="1:11">
      <c r="A7" s="145" t="s">
        <v>513</v>
      </c>
      <c r="B7" s="145">
        <v>70</v>
      </c>
      <c r="C7" s="139"/>
      <c r="D7" s="140"/>
      <c r="E7" s="141"/>
      <c r="F7" s="144" t="s">
        <v>514</v>
      </c>
      <c r="G7" s="147">
        <v>35796</v>
      </c>
      <c r="H7" s="144">
        <v>69</v>
      </c>
      <c r="I7" s="141"/>
      <c r="J7" s="141"/>
      <c r="K7" s="141"/>
    </row>
    <row r="8" spans="1:11">
      <c r="A8" s="145" t="s">
        <v>515</v>
      </c>
      <c r="B8" s="145">
        <v>95</v>
      </c>
      <c r="C8" s="139"/>
      <c r="D8" s="148"/>
      <c r="E8" s="141"/>
      <c r="F8" s="144" t="s">
        <v>516</v>
      </c>
      <c r="G8" s="147">
        <v>35956</v>
      </c>
      <c r="H8" s="144">
        <v>80</v>
      </c>
      <c r="I8" s="141"/>
      <c r="J8" s="141"/>
      <c r="K8" s="141"/>
    </row>
    <row r="9" spans="1:11">
      <c r="A9" s="145" t="s">
        <v>517</v>
      </c>
      <c r="B9" s="145">
        <v>65</v>
      </c>
      <c r="C9" s="139"/>
      <c r="D9" s="140"/>
      <c r="E9" s="141"/>
      <c r="F9" s="144" t="s">
        <v>518</v>
      </c>
      <c r="G9" s="147">
        <v>35684</v>
      </c>
      <c r="H9" s="144">
        <v>86</v>
      </c>
      <c r="I9" s="141"/>
      <c r="J9" s="141"/>
      <c r="K9" s="141"/>
    </row>
    <row r="10" spans="1:11">
      <c r="A10" s="145" t="s">
        <v>519</v>
      </c>
      <c r="B10" s="145">
        <v>80</v>
      </c>
      <c r="C10" s="139"/>
      <c r="D10" s="140"/>
      <c r="E10" s="141"/>
      <c r="F10" s="144" t="s">
        <v>520</v>
      </c>
      <c r="G10" s="147">
        <v>35226</v>
      </c>
      <c r="H10" s="144">
        <v>70</v>
      </c>
      <c r="I10" s="141"/>
      <c r="J10" s="141"/>
      <c r="K10" s="141"/>
    </row>
    <row r="11" spans="1:11">
      <c r="A11" s="141"/>
      <c r="B11" s="141"/>
      <c r="C11" s="141"/>
      <c r="D11" s="141"/>
      <c r="E11" s="141"/>
      <c r="F11" s="149" t="s">
        <v>521</v>
      </c>
      <c r="G11" s="147">
        <v>35921</v>
      </c>
      <c r="H11" s="149">
        <v>68</v>
      </c>
      <c r="I11" s="141"/>
      <c r="J11" s="141"/>
      <c r="K11" s="141"/>
    </row>
    <row r="12" spans="1:11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</row>
    <row r="13" spans="1:11">
      <c r="A13" s="150"/>
      <c r="B13" s="151"/>
      <c r="C13" s="152" t="s">
        <v>522</v>
      </c>
      <c r="D13" s="153"/>
      <c r="E13" s="141"/>
      <c r="F13" s="154"/>
      <c r="G13" s="217" t="s">
        <v>523</v>
      </c>
      <c r="H13" s="217"/>
      <c r="I13" s="217"/>
      <c r="J13" s="217"/>
      <c r="K13" s="217"/>
    </row>
    <row r="14" spans="1:11">
      <c r="A14" s="144" t="s">
        <v>486</v>
      </c>
      <c r="B14" s="144" t="s">
        <v>524</v>
      </c>
      <c r="C14" s="144" t="s">
        <v>525</v>
      </c>
      <c r="D14" s="144" t="s">
        <v>526</v>
      </c>
      <c r="E14" s="141"/>
      <c r="F14" s="155" t="s">
        <v>527</v>
      </c>
      <c r="G14" s="144" t="s">
        <v>486</v>
      </c>
      <c r="H14" s="144" t="s">
        <v>524</v>
      </c>
      <c r="I14" s="144" t="s">
        <v>525</v>
      </c>
      <c r="J14" s="144" t="s">
        <v>526</v>
      </c>
      <c r="K14" s="144" t="s">
        <v>528</v>
      </c>
    </row>
    <row r="15" spans="1:11">
      <c r="A15" s="144" t="s">
        <v>529</v>
      </c>
      <c r="B15" s="144" t="s">
        <v>530</v>
      </c>
      <c r="C15" s="144"/>
      <c r="D15" s="144" t="s">
        <v>530</v>
      </c>
      <c r="E15" s="141"/>
      <c r="F15" s="155">
        <v>101</v>
      </c>
      <c r="G15" s="144" t="s">
        <v>531</v>
      </c>
      <c r="H15" s="144" t="s">
        <v>532</v>
      </c>
      <c r="I15" s="144"/>
      <c r="J15" s="144" t="s">
        <v>532</v>
      </c>
      <c r="K15" s="144"/>
    </row>
    <row r="16" spans="1:11">
      <c r="A16" s="144" t="s">
        <v>533</v>
      </c>
      <c r="B16" s="144"/>
      <c r="C16" s="144" t="s">
        <v>530</v>
      </c>
      <c r="D16" s="144"/>
      <c r="E16" s="141"/>
      <c r="F16" s="155">
        <v>102</v>
      </c>
      <c r="G16" s="144" t="s">
        <v>534</v>
      </c>
      <c r="H16" s="144"/>
      <c r="I16" s="144" t="s">
        <v>532</v>
      </c>
      <c r="J16" s="144"/>
      <c r="K16" s="144"/>
    </row>
    <row r="17" spans="1:11">
      <c r="A17" s="144" t="s">
        <v>535</v>
      </c>
      <c r="B17" s="144" t="s">
        <v>530</v>
      </c>
      <c r="C17" s="144"/>
      <c r="D17" s="144" t="s">
        <v>530</v>
      </c>
      <c r="E17" s="141"/>
      <c r="F17" s="155">
        <v>103</v>
      </c>
      <c r="G17" s="144" t="s">
        <v>536</v>
      </c>
      <c r="H17" s="144" t="s">
        <v>532</v>
      </c>
      <c r="I17" s="144"/>
      <c r="J17" s="144" t="s">
        <v>532</v>
      </c>
      <c r="K17" s="144"/>
    </row>
    <row r="18" spans="1:11">
      <c r="A18" s="144" t="s">
        <v>537</v>
      </c>
      <c r="B18" s="144" t="s">
        <v>530</v>
      </c>
      <c r="C18" s="144" t="s">
        <v>530</v>
      </c>
      <c r="D18" s="144"/>
      <c r="E18" s="141"/>
      <c r="F18" s="155">
        <v>104</v>
      </c>
      <c r="G18" s="144" t="s">
        <v>538</v>
      </c>
      <c r="H18" s="144"/>
      <c r="I18" s="144" t="s">
        <v>532</v>
      </c>
      <c r="J18" s="144"/>
      <c r="K18" s="144" t="s">
        <v>532</v>
      </c>
    </row>
    <row r="19" spans="1:11">
      <c r="A19" s="144" t="s">
        <v>539</v>
      </c>
      <c r="B19" s="144"/>
      <c r="C19" s="144"/>
      <c r="D19" s="144" t="s">
        <v>530</v>
      </c>
      <c r="E19" s="141"/>
      <c r="F19" s="155">
        <v>105</v>
      </c>
      <c r="G19" s="144" t="s">
        <v>540</v>
      </c>
      <c r="H19" s="144"/>
      <c r="I19" s="144"/>
      <c r="J19" s="144" t="s">
        <v>532</v>
      </c>
      <c r="K19" s="144"/>
    </row>
    <row r="20" spans="1:11">
      <c r="A20" s="149" t="s">
        <v>541</v>
      </c>
      <c r="B20" s="144" t="s">
        <v>530</v>
      </c>
      <c r="C20" s="144" t="s">
        <v>530</v>
      </c>
      <c r="D20" s="144" t="s">
        <v>530</v>
      </c>
      <c r="E20" s="141"/>
      <c r="F20" s="155">
        <v>106</v>
      </c>
      <c r="G20" s="149" t="s">
        <v>542</v>
      </c>
      <c r="H20" s="144"/>
      <c r="I20" s="144" t="s">
        <v>532</v>
      </c>
      <c r="J20" s="144" t="s">
        <v>532</v>
      </c>
      <c r="K20" s="144"/>
    </row>
    <row r="21" spans="1:11">
      <c r="A21" s="149" t="s">
        <v>543</v>
      </c>
      <c r="B21" s="144"/>
      <c r="C21" s="144" t="s">
        <v>530</v>
      </c>
      <c r="D21" s="144" t="s">
        <v>530</v>
      </c>
      <c r="E21" s="141"/>
      <c r="F21" s="155">
        <v>107</v>
      </c>
      <c r="G21" s="149" t="s">
        <v>544</v>
      </c>
      <c r="H21" s="144" t="s">
        <v>532</v>
      </c>
      <c r="I21" s="144" t="s">
        <v>532</v>
      </c>
      <c r="J21" s="144"/>
      <c r="K21" s="144" t="s">
        <v>532</v>
      </c>
    </row>
    <row r="22" spans="1:11">
      <c r="A22" s="149" t="s">
        <v>545</v>
      </c>
      <c r="B22" s="144" t="s">
        <v>530</v>
      </c>
      <c r="C22" s="144"/>
      <c r="D22" s="144" t="s">
        <v>530</v>
      </c>
      <c r="E22" s="141"/>
      <c r="F22" s="155">
        <v>108</v>
      </c>
      <c r="G22" s="149" t="s">
        <v>546</v>
      </c>
      <c r="H22" s="144"/>
      <c r="I22" s="144"/>
      <c r="J22" s="144" t="s">
        <v>532</v>
      </c>
      <c r="K22" s="144"/>
    </row>
    <row r="23" spans="1:11">
      <c r="A23" s="156" t="s">
        <v>547</v>
      </c>
      <c r="B23" s="144"/>
      <c r="C23" s="144"/>
      <c r="D23" s="144"/>
      <c r="E23" s="141"/>
      <c r="F23" s="141"/>
      <c r="G23" s="157" t="s">
        <v>548</v>
      </c>
      <c r="H23" s="144"/>
      <c r="I23" s="144"/>
      <c r="J23" s="144"/>
      <c r="K23" s="144"/>
    </row>
  </sheetData>
  <mergeCells count="3">
    <mergeCell ref="I4:J4"/>
    <mergeCell ref="I5:J5"/>
    <mergeCell ref="G13:K13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/>
  </sheetViews>
  <sheetFormatPr defaultRowHeight="16.5"/>
  <cols>
    <col min="2" max="3" width="9.125" bestFit="1" customWidth="1"/>
    <col min="4" max="4" width="11.625" bestFit="1" customWidth="1"/>
    <col min="6" max="6" width="9.125" bestFit="1" customWidth="1"/>
    <col min="7" max="7" width="11.125" bestFit="1" customWidth="1"/>
    <col min="8" max="11" width="9.125" bestFit="1" customWidth="1"/>
  </cols>
  <sheetData>
    <row r="1" spans="1:11">
      <c r="A1" s="137" t="s">
        <v>498</v>
      </c>
      <c r="B1" s="138"/>
      <c r="C1" s="139"/>
      <c r="D1" s="140"/>
      <c r="E1" s="141"/>
      <c r="F1" s="142"/>
      <c r="G1" s="143" t="s">
        <v>499</v>
      </c>
      <c r="H1" s="141"/>
      <c r="I1" s="141"/>
      <c r="J1" s="141"/>
      <c r="K1" s="141"/>
    </row>
    <row r="2" spans="1:11">
      <c r="A2" s="140"/>
      <c r="B2" s="140"/>
      <c r="C2" s="140"/>
      <c r="D2" s="140"/>
      <c r="E2" s="141"/>
      <c r="F2" s="144" t="s">
        <v>486</v>
      </c>
      <c r="G2" s="144" t="s">
        <v>500</v>
      </c>
      <c r="H2" s="144" t="s">
        <v>501</v>
      </c>
      <c r="I2" s="141"/>
      <c r="J2" s="141"/>
      <c r="K2" s="141"/>
    </row>
    <row r="3" spans="1:11">
      <c r="A3" s="145" t="s">
        <v>502</v>
      </c>
      <c r="B3" s="145" t="s">
        <v>503</v>
      </c>
      <c r="C3" s="140"/>
      <c r="D3" s="146" t="s">
        <v>504</v>
      </c>
      <c r="E3" s="141"/>
      <c r="F3" s="144" t="s">
        <v>505</v>
      </c>
      <c r="G3" s="147">
        <v>34491</v>
      </c>
      <c r="H3" s="144">
        <v>73</v>
      </c>
      <c r="I3" s="141"/>
      <c r="J3" s="141"/>
      <c r="K3" s="141"/>
    </row>
    <row r="4" spans="1:11">
      <c r="A4" s="145" t="s">
        <v>506</v>
      </c>
      <c r="B4" s="145">
        <v>90</v>
      </c>
      <c r="C4" s="140"/>
      <c r="D4" s="145">
        <f>COUNT(B4:B10)</f>
        <v>7</v>
      </c>
      <c r="E4" s="141"/>
      <c r="F4" s="144" t="s">
        <v>507</v>
      </c>
      <c r="G4" s="147">
        <v>35521</v>
      </c>
      <c r="H4" s="144">
        <v>68</v>
      </c>
      <c r="I4" s="215" t="s">
        <v>508</v>
      </c>
      <c r="J4" s="215"/>
      <c r="K4" s="141"/>
    </row>
    <row r="5" spans="1:11">
      <c r="A5" s="145" t="s">
        <v>509</v>
      </c>
      <c r="B5" s="145">
        <v>100</v>
      </c>
      <c r="C5" s="139"/>
      <c r="D5" s="140"/>
      <c r="E5" s="141"/>
      <c r="F5" s="144" t="s">
        <v>510</v>
      </c>
      <c r="G5" s="147">
        <v>36286</v>
      </c>
      <c r="H5" s="144">
        <v>98</v>
      </c>
      <c r="I5" s="216">
        <f>COUNTIF(H3:H11,"&gt;=70")-COUNTIF(H3:H11,"&gt;=80")</f>
        <v>2</v>
      </c>
      <c r="J5" s="216"/>
      <c r="K5" s="141"/>
    </row>
    <row r="6" spans="1:11">
      <c r="A6" s="145" t="s">
        <v>511</v>
      </c>
      <c r="B6" s="145">
        <v>85</v>
      </c>
      <c r="C6" s="139"/>
      <c r="D6" s="140"/>
      <c r="E6" s="141"/>
      <c r="F6" s="144" t="s">
        <v>512</v>
      </c>
      <c r="G6" s="147">
        <v>35004</v>
      </c>
      <c r="H6" s="144">
        <v>65</v>
      </c>
      <c r="I6" s="141"/>
      <c r="J6" s="141"/>
      <c r="K6" s="141"/>
    </row>
    <row r="7" spans="1:11">
      <c r="A7" s="145" t="s">
        <v>513</v>
      </c>
      <c r="B7" s="145">
        <v>70</v>
      </c>
      <c r="C7" s="139"/>
      <c r="D7" s="140"/>
      <c r="E7" s="141"/>
      <c r="F7" s="144" t="s">
        <v>514</v>
      </c>
      <c r="G7" s="147">
        <v>35796</v>
      </c>
      <c r="H7" s="144">
        <v>69</v>
      </c>
      <c r="I7" s="141"/>
      <c r="J7" s="141"/>
      <c r="K7" s="141"/>
    </row>
    <row r="8" spans="1:11">
      <c r="A8" s="145" t="s">
        <v>515</v>
      </c>
      <c r="B8" s="145">
        <v>95</v>
      </c>
      <c r="C8" s="139"/>
      <c r="D8" s="148"/>
      <c r="E8" s="141"/>
      <c r="F8" s="144" t="s">
        <v>516</v>
      </c>
      <c r="G8" s="147">
        <v>35956</v>
      </c>
      <c r="H8" s="144">
        <v>80</v>
      </c>
      <c r="I8" s="141"/>
      <c r="J8" s="141"/>
      <c r="K8" s="141"/>
    </row>
    <row r="9" spans="1:11">
      <c r="A9" s="145" t="s">
        <v>517</v>
      </c>
      <c r="B9" s="145">
        <v>65</v>
      </c>
      <c r="C9" s="139"/>
      <c r="D9" s="140"/>
      <c r="E9" s="141"/>
      <c r="F9" s="144" t="s">
        <v>518</v>
      </c>
      <c r="G9" s="147">
        <v>35684</v>
      </c>
      <c r="H9" s="144">
        <v>86</v>
      </c>
      <c r="I9" s="141"/>
      <c r="J9" s="141"/>
      <c r="K9" s="141"/>
    </row>
    <row r="10" spans="1:11">
      <c r="A10" s="145" t="s">
        <v>519</v>
      </c>
      <c r="B10" s="145">
        <v>80</v>
      </c>
      <c r="C10" s="139"/>
      <c r="D10" s="140"/>
      <c r="E10" s="141"/>
      <c r="F10" s="144" t="s">
        <v>520</v>
      </c>
      <c r="G10" s="147">
        <v>35226</v>
      </c>
      <c r="H10" s="144">
        <v>70</v>
      </c>
      <c r="I10" s="141"/>
      <c r="J10" s="141"/>
      <c r="K10" s="141"/>
    </row>
    <row r="11" spans="1:11">
      <c r="A11" s="141"/>
      <c r="B11" s="141"/>
      <c r="C11" s="141"/>
      <c r="D11" s="141"/>
      <c r="E11" s="141"/>
      <c r="F11" s="149" t="s">
        <v>521</v>
      </c>
      <c r="G11" s="147">
        <v>35921</v>
      </c>
      <c r="H11" s="149">
        <v>68</v>
      </c>
      <c r="I11" s="141"/>
      <c r="J11" s="141"/>
      <c r="K11" s="141"/>
    </row>
    <row r="12" spans="1:11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</row>
    <row r="13" spans="1:11">
      <c r="A13" s="150"/>
      <c r="B13" s="151"/>
      <c r="C13" s="152" t="s">
        <v>522</v>
      </c>
      <c r="D13" s="153"/>
      <c r="E13" s="141"/>
      <c r="F13" s="154"/>
      <c r="G13" s="217" t="s">
        <v>523</v>
      </c>
      <c r="H13" s="217"/>
      <c r="I13" s="217"/>
      <c r="J13" s="217"/>
      <c r="K13" s="217"/>
    </row>
    <row r="14" spans="1:11">
      <c r="A14" s="144" t="s">
        <v>486</v>
      </c>
      <c r="B14" s="144" t="s">
        <v>524</v>
      </c>
      <c r="C14" s="144" t="s">
        <v>525</v>
      </c>
      <c r="D14" s="144" t="s">
        <v>526</v>
      </c>
      <c r="E14" s="141"/>
      <c r="F14" s="155" t="s">
        <v>527</v>
      </c>
      <c r="G14" s="144" t="s">
        <v>486</v>
      </c>
      <c r="H14" s="144" t="s">
        <v>524</v>
      </c>
      <c r="I14" s="144" t="s">
        <v>525</v>
      </c>
      <c r="J14" s="144" t="s">
        <v>526</v>
      </c>
      <c r="K14" s="144" t="s">
        <v>528</v>
      </c>
    </row>
    <row r="15" spans="1:11">
      <c r="A15" s="144" t="s">
        <v>529</v>
      </c>
      <c r="B15" s="144" t="s">
        <v>530</v>
      </c>
      <c r="C15" s="144"/>
      <c r="D15" s="144" t="s">
        <v>530</v>
      </c>
      <c r="E15" s="141"/>
      <c r="F15" s="155">
        <v>101</v>
      </c>
      <c r="G15" s="144" t="s">
        <v>531</v>
      </c>
      <c r="H15" s="144" t="s">
        <v>532</v>
      </c>
      <c r="I15" s="144"/>
      <c r="J15" s="144" t="s">
        <v>532</v>
      </c>
      <c r="K15" s="144"/>
    </row>
    <row r="16" spans="1:11">
      <c r="A16" s="144" t="s">
        <v>533</v>
      </c>
      <c r="B16" s="144"/>
      <c r="C16" s="144" t="s">
        <v>530</v>
      </c>
      <c r="D16" s="144"/>
      <c r="E16" s="141"/>
      <c r="F16" s="155">
        <v>102</v>
      </c>
      <c r="G16" s="144" t="s">
        <v>534</v>
      </c>
      <c r="H16" s="144"/>
      <c r="I16" s="144" t="s">
        <v>532</v>
      </c>
      <c r="J16" s="144"/>
      <c r="K16" s="144"/>
    </row>
    <row r="17" spans="1:11">
      <c r="A17" s="144" t="s">
        <v>535</v>
      </c>
      <c r="B17" s="144" t="s">
        <v>530</v>
      </c>
      <c r="C17" s="144"/>
      <c r="D17" s="144" t="s">
        <v>530</v>
      </c>
      <c r="E17" s="141"/>
      <c r="F17" s="155">
        <v>103</v>
      </c>
      <c r="G17" s="144" t="s">
        <v>536</v>
      </c>
      <c r="H17" s="144" t="s">
        <v>532</v>
      </c>
      <c r="I17" s="144"/>
      <c r="J17" s="144" t="s">
        <v>532</v>
      </c>
      <c r="K17" s="144"/>
    </row>
    <row r="18" spans="1:11">
      <c r="A18" s="144" t="s">
        <v>537</v>
      </c>
      <c r="B18" s="144" t="s">
        <v>530</v>
      </c>
      <c r="C18" s="144" t="s">
        <v>530</v>
      </c>
      <c r="D18" s="144"/>
      <c r="E18" s="141"/>
      <c r="F18" s="155">
        <v>104</v>
      </c>
      <c r="G18" s="144" t="s">
        <v>538</v>
      </c>
      <c r="H18" s="144"/>
      <c r="I18" s="144" t="s">
        <v>532</v>
      </c>
      <c r="J18" s="144"/>
      <c r="K18" s="144" t="s">
        <v>532</v>
      </c>
    </row>
    <row r="19" spans="1:11">
      <c r="A19" s="144" t="s">
        <v>539</v>
      </c>
      <c r="B19" s="144"/>
      <c r="C19" s="144"/>
      <c r="D19" s="144" t="s">
        <v>530</v>
      </c>
      <c r="E19" s="141"/>
      <c r="F19" s="155">
        <v>105</v>
      </c>
      <c r="G19" s="144" t="s">
        <v>540</v>
      </c>
      <c r="H19" s="144"/>
      <c r="I19" s="144"/>
      <c r="J19" s="144" t="s">
        <v>532</v>
      </c>
      <c r="K19" s="144"/>
    </row>
    <row r="20" spans="1:11">
      <c r="A20" s="149" t="s">
        <v>541</v>
      </c>
      <c r="B20" s="144" t="s">
        <v>530</v>
      </c>
      <c r="C20" s="144" t="s">
        <v>530</v>
      </c>
      <c r="D20" s="144" t="s">
        <v>530</v>
      </c>
      <c r="E20" s="141"/>
      <c r="F20" s="155">
        <v>106</v>
      </c>
      <c r="G20" s="149" t="s">
        <v>542</v>
      </c>
      <c r="H20" s="144"/>
      <c r="I20" s="144" t="s">
        <v>532</v>
      </c>
      <c r="J20" s="144" t="s">
        <v>532</v>
      </c>
      <c r="K20" s="144"/>
    </row>
    <row r="21" spans="1:11">
      <c r="A21" s="149" t="s">
        <v>543</v>
      </c>
      <c r="B21" s="144"/>
      <c r="C21" s="144" t="s">
        <v>530</v>
      </c>
      <c r="D21" s="144" t="s">
        <v>530</v>
      </c>
      <c r="E21" s="141"/>
      <c r="F21" s="155">
        <v>107</v>
      </c>
      <c r="G21" s="149" t="s">
        <v>544</v>
      </c>
      <c r="H21" s="144" t="s">
        <v>532</v>
      </c>
      <c r="I21" s="144" t="s">
        <v>532</v>
      </c>
      <c r="J21" s="144"/>
      <c r="K21" s="144" t="s">
        <v>532</v>
      </c>
    </row>
    <row r="22" spans="1:11">
      <c r="A22" s="149" t="s">
        <v>545</v>
      </c>
      <c r="B22" s="144" t="s">
        <v>530</v>
      </c>
      <c r="C22" s="144"/>
      <c r="D22" s="144" t="s">
        <v>530</v>
      </c>
      <c r="E22" s="141"/>
      <c r="F22" s="155">
        <v>108</v>
      </c>
      <c r="G22" s="149" t="s">
        <v>546</v>
      </c>
      <c r="H22" s="144"/>
      <c r="I22" s="144"/>
      <c r="J22" s="144" t="s">
        <v>532</v>
      </c>
      <c r="K22" s="144"/>
    </row>
    <row r="23" spans="1:11">
      <c r="A23" s="156" t="s">
        <v>547</v>
      </c>
      <c r="B23" s="144">
        <f>COUNTA(B15:B22)</f>
        <v>5</v>
      </c>
      <c r="C23" s="144">
        <f>COUNTA(C15:C22)</f>
        <v>4</v>
      </c>
      <c r="D23" s="144">
        <f>COUNTA(D15:D22)</f>
        <v>6</v>
      </c>
      <c r="E23" s="141"/>
      <c r="F23" s="141"/>
      <c r="G23" s="157" t="s">
        <v>548</v>
      </c>
      <c r="H23" s="144">
        <f>COUNTBLANK(H15:H22)</f>
        <v>5</v>
      </c>
      <c r="I23" s="144">
        <f>COUNTBLANK(I15:I22)</f>
        <v>4</v>
      </c>
      <c r="J23" s="144">
        <f>COUNTBLANK(J15:J22)</f>
        <v>3</v>
      </c>
      <c r="K23" s="144">
        <f>COUNTBLANK(K15:K22)</f>
        <v>6</v>
      </c>
    </row>
  </sheetData>
  <mergeCells count="3">
    <mergeCell ref="I4:J4"/>
    <mergeCell ref="I5:J5"/>
    <mergeCell ref="G13:K13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/>
  </sheetViews>
  <sheetFormatPr defaultRowHeight="16.5"/>
  <cols>
    <col min="1" max="1" width="1.625" style="1" customWidth="1"/>
    <col min="2" max="2" width="9.875" style="1" bestFit="1" customWidth="1"/>
    <col min="3" max="8" width="9" style="1"/>
    <col min="9" max="9" width="1.625" style="1" customWidth="1"/>
    <col min="10" max="10" width="40.375" style="1" bestFit="1" customWidth="1"/>
    <col min="11" max="11" width="9.375" style="1" bestFit="1" customWidth="1"/>
    <col min="12" max="16384" width="9" style="1"/>
  </cols>
  <sheetData>
    <row r="1" spans="2:11" ht="27.75" customHeight="1">
      <c r="B1" s="220" t="s">
        <v>919</v>
      </c>
      <c r="C1" s="221"/>
      <c r="D1" s="221"/>
      <c r="E1" s="221"/>
      <c r="F1" s="221"/>
      <c r="G1" s="221"/>
      <c r="H1" s="221"/>
    </row>
    <row r="2" spans="2:11" ht="20.25">
      <c r="B2" s="190"/>
      <c r="C2" s="191"/>
      <c r="D2" s="191"/>
      <c r="E2" s="191"/>
      <c r="F2" s="191"/>
      <c r="G2" s="191"/>
      <c r="H2" s="191"/>
    </row>
    <row r="3" spans="2:11">
      <c r="B3" s="184" t="s">
        <v>920</v>
      </c>
      <c r="C3" s="185" t="s">
        <v>921</v>
      </c>
      <c r="D3" s="185" t="s">
        <v>922</v>
      </c>
      <c r="E3" s="185" t="s">
        <v>923</v>
      </c>
      <c r="F3" s="185" t="s">
        <v>924</v>
      </c>
      <c r="G3" s="185" t="s">
        <v>925</v>
      </c>
      <c r="H3" s="186" t="s">
        <v>926</v>
      </c>
      <c r="J3" s="222" t="s">
        <v>927</v>
      </c>
      <c r="K3" s="223"/>
    </row>
    <row r="4" spans="2:11">
      <c r="B4" s="187">
        <v>42015</v>
      </c>
      <c r="C4" s="188">
        <v>1416</v>
      </c>
      <c r="D4" s="188" t="s">
        <v>916</v>
      </c>
      <c r="E4" s="188" t="s">
        <v>928</v>
      </c>
      <c r="F4" s="189">
        <v>8</v>
      </c>
      <c r="G4" s="188" t="s">
        <v>929</v>
      </c>
      <c r="H4" s="189">
        <v>424000</v>
      </c>
      <c r="J4" s="222"/>
      <c r="K4" s="223"/>
    </row>
    <row r="5" spans="2:11">
      <c r="B5" s="187">
        <v>42015</v>
      </c>
      <c r="C5" s="188">
        <v>1705</v>
      </c>
      <c r="D5" s="188" t="s">
        <v>916</v>
      </c>
      <c r="E5" s="188" t="s">
        <v>928</v>
      </c>
      <c r="F5" s="189">
        <v>18</v>
      </c>
      <c r="G5" s="188" t="s">
        <v>930</v>
      </c>
      <c r="H5" s="189">
        <v>337000</v>
      </c>
      <c r="J5" s="222"/>
      <c r="K5" s="223"/>
    </row>
    <row r="6" spans="2:11">
      <c r="B6" s="187">
        <v>42017</v>
      </c>
      <c r="C6" s="188">
        <v>1935</v>
      </c>
      <c r="D6" s="188" t="s">
        <v>916</v>
      </c>
      <c r="E6" s="188" t="s">
        <v>931</v>
      </c>
      <c r="F6" s="189">
        <v>7</v>
      </c>
      <c r="G6" s="188" t="s">
        <v>929</v>
      </c>
      <c r="H6" s="189">
        <v>299000</v>
      </c>
      <c r="J6" s="224" t="s">
        <v>932</v>
      </c>
      <c r="K6" s="226"/>
    </row>
    <row r="7" spans="2:11">
      <c r="B7" s="187">
        <v>42027</v>
      </c>
      <c r="C7" s="188">
        <v>3229</v>
      </c>
      <c r="D7" s="188" t="s">
        <v>916</v>
      </c>
      <c r="E7" s="188" t="s">
        <v>928</v>
      </c>
      <c r="F7" s="189">
        <v>12</v>
      </c>
      <c r="G7" s="188" t="s">
        <v>930</v>
      </c>
      <c r="H7" s="189">
        <v>212000</v>
      </c>
      <c r="J7" s="225"/>
      <c r="K7" s="226"/>
    </row>
    <row r="8" spans="2:11">
      <c r="B8" s="187">
        <v>42034</v>
      </c>
      <c r="C8" s="188">
        <v>5326</v>
      </c>
      <c r="D8" s="188" t="s">
        <v>916</v>
      </c>
      <c r="E8" s="188" t="s">
        <v>933</v>
      </c>
      <c r="F8" s="189">
        <v>13</v>
      </c>
      <c r="G8" s="188" t="s">
        <v>930</v>
      </c>
      <c r="H8" s="189">
        <v>304000</v>
      </c>
      <c r="J8" s="225"/>
      <c r="K8" s="226"/>
    </row>
    <row r="9" spans="2:11">
      <c r="B9" s="187">
        <v>42010</v>
      </c>
      <c r="C9" s="188">
        <v>1126</v>
      </c>
      <c r="D9" s="188" t="s">
        <v>917</v>
      </c>
      <c r="E9" s="188" t="s">
        <v>934</v>
      </c>
      <c r="F9" s="189" t="s">
        <v>935</v>
      </c>
      <c r="G9" s="188" t="s">
        <v>929</v>
      </c>
      <c r="H9" s="189">
        <v>194000</v>
      </c>
      <c r="J9" s="224" t="s">
        <v>936</v>
      </c>
      <c r="K9" s="200"/>
    </row>
    <row r="10" spans="2:11">
      <c r="B10" s="187">
        <v>42012</v>
      </c>
      <c r="C10" s="188">
        <v>1355</v>
      </c>
      <c r="D10" s="188" t="s">
        <v>917</v>
      </c>
      <c r="E10" s="188" t="s">
        <v>937</v>
      </c>
      <c r="F10" s="189">
        <v>12</v>
      </c>
      <c r="G10" s="188" t="s">
        <v>929</v>
      </c>
      <c r="H10" s="189">
        <v>190000</v>
      </c>
      <c r="J10" s="225"/>
      <c r="K10" s="200"/>
    </row>
    <row r="11" spans="2:11">
      <c r="B11" s="187">
        <v>42012</v>
      </c>
      <c r="C11" s="188">
        <v>1355</v>
      </c>
      <c r="D11" s="188" t="s">
        <v>917</v>
      </c>
      <c r="E11" s="188" t="s">
        <v>937</v>
      </c>
      <c r="F11" s="189">
        <v>10</v>
      </c>
      <c r="G11" s="188" t="s">
        <v>929</v>
      </c>
      <c r="H11" s="189">
        <v>158000</v>
      </c>
      <c r="J11" s="225"/>
      <c r="K11" s="200"/>
    </row>
    <row r="12" spans="2:11">
      <c r="B12" s="187">
        <v>42014</v>
      </c>
      <c r="C12" s="188">
        <v>1343</v>
      </c>
      <c r="D12" s="188" t="s">
        <v>917</v>
      </c>
      <c r="E12" s="188" t="s">
        <v>937</v>
      </c>
      <c r="F12" s="189">
        <v>8</v>
      </c>
      <c r="G12" s="188" t="s">
        <v>938</v>
      </c>
      <c r="H12" s="189">
        <v>126000</v>
      </c>
      <c r="J12" s="218" t="s">
        <v>939</v>
      </c>
      <c r="K12" s="200"/>
    </row>
    <row r="13" spans="2:11">
      <c r="B13" s="187">
        <v>42014</v>
      </c>
      <c r="C13" s="188">
        <v>1343</v>
      </c>
      <c r="D13" s="188" t="s">
        <v>917</v>
      </c>
      <c r="E13" s="188" t="s">
        <v>937</v>
      </c>
      <c r="F13" s="189">
        <v>18</v>
      </c>
      <c r="G13" s="188" t="s">
        <v>938</v>
      </c>
      <c r="H13" s="189">
        <v>284000</v>
      </c>
      <c r="J13" s="219"/>
      <c r="K13" s="200"/>
    </row>
    <row r="14" spans="2:11">
      <c r="B14" s="187">
        <v>42015</v>
      </c>
      <c r="C14" s="188">
        <v>1667</v>
      </c>
      <c r="D14" s="188" t="s">
        <v>917</v>
      </c>
      <c r="E14" s="188" t="s">
        <v>940</v>
      </c>
      <c r="F14" s="189">
        <v>3</v>
      </c>
      <c r="G14" s="188" t="s">
        <v>941</v>
      </c>
      <c r="H14" s="189">
        <v>424000</v>
      </c>
    </row>
    <row r="15" spans="2:11">
      <c r="B15" s="187">
        <v>42020</v>
      </c>
      <c r="C15" s="188">
        <v>1919</v>
      </c>
      <c r="D15" s="188" t="s">
        <v>917</v>
      </c>
      <c r="E15" s="188" t="s">
        <v>940</v>
      </c>
      <c r="F15" s="189">
        <v>20</v>
      </c>
      <c r="G15" s="188" t="s">
        <v>941</v>
      </c>
      <c r="H15" s="189">
        <v>357000</v>
      </c>
    </row>
    <row r="16" spans="2:11">
      <c r="B16" s="187">
        <v>42023</v>
      </c>
      <c r="C16" s="188">
        <v>2731</v>
      </c>
      <c r="D16" s="188" t="s">
        <v>917</v>
      </c>
      <c r="E16" s="188" t="s">
        <v>928</v>
      </c>
      <c r="F16" s="189">
        <v>24</v>
      </c>
      <c r="G16" s="188" t="s">
        <v>938</v>
      </c>
      <c r="H16" s="189">
        <v>424000</v>
      </c>
    </row>
    <row r="17" spans="2:8">
      <c r="B17" s="187">
        <v>42027</v>
      </c>
      <c r="C17" s="188">
        <v>3629</v>
      </c>
      <c r="D17" s="188" t="s">
        <v>917</v>
      </c>
      <c r="E17" s="188" t="s">
        <v>934</v>
      </c>
      <c r="F17" s="189" t="s">
        <v>935</v>
      </c>
      <c r="G17" s="188" t="s">
        <v>929</v>
      </c>
      <c r="H17" s="189">
        <v>212000</v>
      </c>
    </row>
    <row r="18" spans="2:8">
      <c r="B18" s="187">
        <v>42031</v>
      </c>
      <c r="C18" s="188">
        <v>4306</v>
      </c>
      <c r="D18" s="188" t="s">
        <v>917</v>
      </c>
      <c r="E18" s="188" t="s">
        <v>928</v>
      </c>
      <c r="F18" s="189">
        <v>24</v>
      </c>
      <c r="G18" s="188" t="s">
        <v>938</v>
      </c>
      <c r="H18" s="189">
        <v>424000</v>
      </c>
    </row>
    <row r="19" spans="2:8">
      <c r="B19" s="187">
        <v>42032</v>
      </c>
      <c r="C19" s="188">
        <v>5301</v>
      </c>
      <c r="D19" s="188" t="s">
        <v>917</v>
      </c>
      <c r="E19" s="188" t="s">
        <v>928</v>
      </c>
      <c r="F19" s="189">
        <v>16</v>
      </c>
      <c r="G19" s="188" t="s">
        <v>941</v>
      </c>
      <c r="H19" s="189">
        <v>306000</v>
      </c>
    </row>
    <row r="20" spans="2:8">
      <c r="B20" s="187">
        <v>42013</v>
      </c>
      <c r="C20" s="188">
        <v>1336</v>
      </c>
      <c r="D20" s="188" t="s">
        <v>918</v>
      </c>
      <c r="E20" s="188" t="s">
        <v>928</v>
      </c>
      <c r="F20" s="189">
        <v>12</v>
      </c>
      <c r="G20" s="188" t="s">
        <v>930</v>
      </c>
      <c r="H20" s="189">
        <v>324000</v>
      </c>
    </row>
  </sheetData>
  <mergeCells count="9">
    <mergeCell ref="J12:J13"/>
    <mergeCell ref="K12:K13"/>
    <mergeCell ref="B1:H1"/>
    <mergeCell ref="J3:J5"/>
    <mergeCell ref="K3:K5"/>
    <mergeCell ref="J6:J8"/>
    <mergeCell ref="K6:K8"/>
    <mergeCell ref="J9:J11"/>
    <mergeCell ref="K9:K11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/>
  </sheetViews>
  <sheetFormatPr defaultRowHeight="16.5"/>
  <cols>
    <col min="1" max="1" width="1.625" style="1" customWidth="1"/>
    <col min="2" max="2" width="9.875" style="1" bestFit="1" customWidth="1"/>
    <col min="3" max="8" width="9" style="1"/>
    <col min="9" max="9" width="1.625" style="1" customWidth="1"/>
    <col min="10" max="10" width="40.375" style="1" bestFit="1" customWidth="1"/>
    <col min="11" max="11" width="9.375" style="1" bestFit="1" customWidth="1"/>
    <col min="12" max="16384" width="9" style="1"/>
  </cols>
  <sheetData>
    <row r="1" spans="2:11" ht="27.75" customHeight="1">
      <c r="B1" s="220" t="s">
        <v>919</v>
      </c>
      <c r="C1" s="221"/>
      <c r="D1" s="221"/>
      <c r="E1" s="221"/>
      <c r="F1" s="221"/>
      <c r="G1" s="221"/>
      <c r="H1" s="221"/>
    </row>
    <row r="2" spans="2:11" ht="20.25">
      <c r="B2" s="190"/>
      <c r="C2" s="191"/>
      <c r="D2" s="191"/>
      <c r="E2" s="191"/>
      <c r="F2" s="191"/>
      <c r="G2" s="191"/>
      <c r="H2" s="191"/>
    </row>
    <row r="3" spans="2:11">
      <c r="B3" s="184" t="s">
        <v>920</v>
      </c>
      <c r="C3" s="185" t="s">
        <v>921</v>
      </c>
      <c r="D3" s="185" t="s">
        <v>922</v>
      </c>
      <c r="E3" s="185" t="s">
        <v>923</v>
      </c>
      <c r="F3" s="185" t="s">
        <v>924</v>
      </c>
      <c r="G3" s="185" t="s">
        <v>925</v>
      </c>
      <c r="H3" s="186" t="s">
        <v>926</v>
      </c>
      <c r="J3" s="222" t="s">
        <v>927</v>
      </c>
      <c r="K3" s="223">
        <f>AVERAGEIF(E4:E20,"영천",H4:H20)</f>
        <v>350142.85714285716</v>
      </c>
    </row>
    <row r="4" spans="2:11">
      <c r="B4" s="187">
        <v>42015</v>
      </c>
      <c r="C4" s="188">
        <v>1416</v>
      </c>
      <c r="D4" s="188" t="s">
        <v>916</v>
      </c>
      <c r="E4" s="188" t="s">
        <v>928</v>
      </c>
      <c r="F4" s="189">
        <v>8</v>
      </c>
      <c r="G4" s="188" t="s">
        <v>929</v>
      </c>
      <c r="H4" s="189">
        <v>424000</v>
      </c>
      <c r="J4" s="222"/>
      <c r="K4" s="223"/>
    </row>
    <row r="5" spans="2:11">
      <c r="B5" s="187">
        <v>42015</v>
      </c>
      <c r="C5" s="188">
        <v>1705</v>
      </c>
      <c r="D5" s="188" t="s">
        <v>916</v>
      </c>
      <c r="E5" s="188" t="s">
        <v>928</v>
      </c>
      <c r="F5" s="189">
        <v>18</v>
      </c>
      <c r="G5" s="188" t="s">
        <v>930</v>
      </c>
      <c r="H5" s="189">
        <v>337000</v>
      </c>
      <c r="J5" s="222"/>
      <c r="K5" s="223"/>
    </row>
    <row r="6" spans="2:11">
      <c r="B6" s="187">
        <v>42017</v>
      </c>
      <c r="C6" s="188">
        <v>1935</v>
      </c>
      <c r="D6" s="188" t="s">
        <v>916</v>
      </c>
      <c r="E6" s="188" t="s">
        <v>931</v>
      </c>
      <c r="F6" s="189">
        <v>7</v>
      </c>
      <c r="G6" s="188" t="s">
        <v>929</v>
      </c>
      <c r="H6" s="189">
        <v>299000</v>
      </c>
      <c r="J6" s="224" t="s">
        <v>932</v>
      </c>
      <c r="K6" s="226">
        <f>AVERAGEIFS(H4:H20,E4:E20,"고령",G4:G20,"자차")</f>
        <v>174000</v>
      </c>
    </row>
    <row r="7" spans="2:11">
      <c r="B7" s="187">
        <v>42027</v>
      </c>
      <c r="C7" s="188">
        <v>3229</v>
      </c>
      <c r="D7" s="188" t="s">
        <v>916</v>
      </c>
      <c r="E7" s="188" t="s">
        <v>928</v>
      </c>
      <c r="F7" s="189">
        <v>12</v>
      </c>
      <c r="G7" s="188" t="s">
        <v>930</v>
      </c>
      <c r="H7" s="189">
        <v>212000</v>
      </c>
      <c r="J7" s="225"/>
      <c r="K7" s="226"/>
    </row>
    <row r="8" spans="2:11">
      <c r="B8" s="187">
        <v>42034</v>
      </c>
      <c r="C8" s="188">
        <v>5326</v>
      </c>
      <c r="D8" s="188" t="s">
        <v>916</v>
      </c>
      <c r="E8" s="188" t="s">
        <v>933</v>
      </c>
      <c r="F8" s="189">
        <v>13</v>
      </c>
      <c r="G8" s="188" t="s">
        <v>930</v>
      </c>
      <c r="H8" s="189">
        <v>304000</v>
      </c>
      <c r="J8" s="225"/>
      <c r="K8" s="226"/>
    </row>
    <row r="9" spans="2:11">
      <c r="B9" s="187">
        <v>42010</v>
      </c>
      <c r="C9" s="188">
        <v>1126</v>
      </c>
      <c r="D9" s="188" t="s">
        <v>917</v>
      </c>
      <c r="E9" s="188" t="s">
        <v>934</v>
      </c>
      <c r="F9" s="189" t="s">
        <v>935</v>
      </c>
      <c r="G9" s="188" t="s">
        <v>929</v>
      </c>
      <c r="H9" s="189">
        <v>194000</v>
      </c>
      <c r="J9" s="224" t="s">
        <v>936</v>
      </c>
      <c r="K9" s="200">
        <f>COUNTIFS(D4:D20,"초석산업",E4:E20,"영천",F4:F20,"&gt;=10")</f>
        <v>3</v>
      </c>
    </row>
    <row r="10" spans="2:11">
      <c r="B10" s="187">
        <v>42012</v>
      </c>
      <c r="C10" s="188">
        <v>1355</v>
      </c>
      <c r="D10" s="188" t="s">
        <v>917</v>
      </c>
      <c r="E10" s="188" t="s">
        <v>937</v>
      </c>
      <c r="F10" s="189">
        <v>12</v>
      </c>
      <c r="G10" s="188" t="s">
        <v>929</v>
      </c>
      <c r="H10" s="189">
        <v>190000</v>
      </c>
      <c r="J10" s="225"/>
      <c r="K10" s="200"/>
    </row>
    <row r="11" spans="2:11">
      <c r="B11" s="187">
        <v>42012</v>
      </c>
      <c r="C11" s="188">
        <v>1355</v>
      </c>
      <c r="D11" s="188" t="s">
        <v>917</v>
      </c>
      <c r="E11" s="188" t="s">
        <v>937</v>
      </c>
      <c r="F11" s="189">
        <v>10</v>
      </c>
      <c r="G11" s="188" t="s">
        <v>929</v>
      </c>
      <c r="H11" s="189">
        <v>158000</v>
      </c>
      <c r="J11" s="225"/>
      <c r="K11" s="200"/>
    </row>
    <row r="12" spans="2:11">
      <c r="B12" s="187">
        <v>42014</v>
      </c>
      <c r="C12" s="188">
        <v>1343</v>
      </c>
      <c r="D12" s="188" t="s">
        <v>917</v>
      </c>
      <c r="E12" s="188" t="s">
        <v>937</v>
      </c>
      <c r="F12" s="189">
        <v>8</v>
      </c>
      <c r="G12" s="188" t="s">
        <v>938</v>
      </c>
      <c r="H12" s="189">
        <v>126000</v>
      </c>
      <c r="J12" s="218" t="s">
        <v>939</v>
      </c>
      <c r="K12" s="200">
        <f>MAXA(F4:F20)</f>
        <v>24</v>
      </c>
    </row>
    <row r="13" spans="2:11">
      <c r="B13" s="187">
        <v>42014</v>
      </c>
      <c r="C13" s="188">
        <v>1343</v>
      </c>
      <c r="D13" s="188" t="s">
        <v>917</v>
      </c>
      <c r="E13" s="188" t="s">
        <v>937</v>
      </c>
      <c r="F13" s="189">
        <v>18</v>
      </c>
      <c r="G13" s="188" t="s">
        <v>938</v>
      </c>
      <c r="H13" s="189">
        <v>284000</v>
      </c>
      <c r="J13" s="219"/>
      <c r="K13" s="200"/>
    </row>
    <row r="14" spans="2:11">
      <c r="B14" s="187">
        <v>42015</v>
      </c>
      <c r="C14" s="188">
        <v>1667</v>
      </c>
      <c r="D14" s="188" t="s">
        <v>917</v>
      </c>
      <c r="E14" s="188" t="s">
        <v>940</v>
      </c>
      <c r="F14" s="189">
        <v>3</v>
      </c>
      <c r="G14" s="188" t="s">
        <v>941</v>
      </c>
      <c r="H14" s="189">
        <v>424000</v>
      </c>
    </row>
    <row r="15" spans="2:11">
      <c r="B15" s="187">
        <v>42020</v>
      </c>
      <c r="C15" s="188">
        <v>1919</v>
      </c>
      <c r="D15" s="188" t="s">
        <v>917</v>
      </c>
      <c r="E15" s="188" t="s">
        <v>940</v>
      </c>
      <c r="F15" s="189">
        <v>20</v>
      </c>
      <c r="G15" s="188" t="s">
        <v>941</v>
      </c>
      <c r="H15" s="189">
        <v>357000</v>
      </c>
    </row>
    <row r="16" spans="2:11">
      <c r="B16" s="187">
        <v>42023</v>
      </c>
      <c r="C16" s="188">
        <v>2731</v>
      </c>
      <c r="D16" s="188" t="s">
        <v>917</v>
      </c>
      <c r="E16" s="188" t="s">
        <v>928</v>
      </c>
      <c r="F16" s="189">
        <v>24</v>
      </c>
      <c r="G16" s="188" t="s">
        <v>938</v>
      </c>
      <c r="H16" s="189">
        <v>424000</v>
      </c>
    </row>
    <row r="17" spans="2:8">
      <c r="B17" s="187">
        <v>42027</v>
      </c>
      <c r="C17" s="188">
        <v>3629</v>
      </c>
      <c r="D17" s="188" t="s">
        <v>917</v>
      </c>
      <c r="E17" s="188" t="s">
        <v>934</v>
      </c>
      <c r="F17" s="189" t="s">
        <v>935</v>
      </c>
      <c r="G17" s="188" t="s">
        <v>929</v>
      </c>
      <c r="H17" s="189">
        <v>212000</v>
      </c>
    </row>
    <row r="18" spans="2:8">
      <c r="B18" s="187">
        <v>42031</v>
      </c>
      <c r="C18" s="188">
        <v>4306</v>
      </c>
      <c r="D18" s="188" t="s">
        <v>917</v>
      </c>
      <c r="E18" s="188" t="s">
        <v>928</v>
      </c>
      <c r="F18" s="189">
        <v>24</v>
      </c>
      <c r="G18" s="188" t="s">
        <v>938</v>
      </c>
      <c r="H18" s="189">
        <v>424000</v>
      </c>
    </row>
    <row r="19" spans="2:8">
      <c r="B19" s="187">
        <v>42032</v>
      </c>
      <c r="C19" s="188">
        <v>5301</v>
      </c>
      <c r="D19" s="188" t="s">
        <v>917</v>
      </c>
      <c r="E19" s="188" t="s">
        <v>928</v>
      </c>
      <c r="F19" s="189">
        <v>16</v>
      </c>
      <c r="G19" s="188" t="s">
        <v>941</v>
      </c>
      <c r="H19" s="189">
        <v>306000</v>
      </c>
    </row>
    <row r="20" spans="2:8">
      <c r="B20" s="187">
        <v>42013</v>
      </c>
      <c r="C20" s="188">
        <v>1336</v>
      </c>
      <c r="D20" s="188" t="s">
        <v>918</v>
      </c>
      <c r="E20" s="188" t="s">
        <v>928</v>
      </c>
      <c r="F20" s="189">
        <v>12</v>
      </c>
      <c r="G20" s="188" t="s">
        <v>930</v>
      </c>
      <c r="H20" s="189">
        <v>324000</v>
      </c>
    </row>
  </sheetData>
  <mergeCells count="9">
    <mergeCell ref="J12:J13"/>
    <mergeCell ref="K12:K13"/>
    <mergeCell ref="B1:H1"/>
    <mergeCell ref="J3:J5"/>
    <mergeCell ref="K3:K5"/>
    <mergeCell ref="J6:J8"/>
    <mergeCell ref="K6:K8"/>
    <mergeCell ref="J9:J11"/>
    <mergeCell ref="K9:K1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96" zoomScaleNormal="96" workbookViewId="0"/>
  </sheetViews>
  <sheetFormatPr defaultRowHeight="16.5"/>
  <cols>
    <col min="1" max="2" width="9" style="1"/>
    <col min="3" max="3" width="12.375" style="1" bestFit="1" customWidth="1"/>
    <col min="4" max="11" width="9" style="1"/>
    <col min="12" max="12" width="11" style="1" bestFit="1" customWidth="1"/>
    <col min="13" max="16384" width="9" style="1"/>
  </cols>
  <sheetData>
    <row r="1" spans="1:13">
      <c r="A1" s="1" t="s">
        <v>803</v>
      </c>
      <c r="D1" s="174"/>
      <c r="F1" s="175" t="s">
        <v>804</v>
      </c>
      <c r="K1" s="1" t="s">
        <v>94</v>
      </c>
    </row>
    <row r="2" spans="1:13">
      <c r="A2" s="178" t="s">
        <v>805</v>
      </c>
      <c r="B2" s="178" t="s">
        <v>806</v>
      </c>
      <c r="C2" s="178" t="s">
        <v>807</v>
      </c>
      <c r="D2" s="117" t="s">
        <v>808</v>
      </c>
      <c r="F2" s="179" t="s">
        <v>809</v>
      </c>
      <c r="G2" s="31" t="s">
        <v>810</v>
      </c>
      <c r="H2" s="114" t="s">
        <v>811</v>
      </c>
      <c r="I2" s="114" t="s">
        <v>812</v>
      </c>
      <c r="K2" s="196" t="s">
        <v>33</v>
      </c>
      <c r="L2" s="196" t="s">
        <v>766</v>
      </c>
      <c r="M2" s="180" t="s">
        <v>813</v>
      </c>
    </row>
    <row r="3" spans="1:13">
      <c r="A3" s="178" t="s">
        <v>724</v>
      </c>
      <c r="B3" s="5" t="s">
        <v>814</v>
      </c>
      <c r="C3" s="54" t="s">
        <v>815</v>
      </c>
      <c r="D3" s="178"/>
      <c r="F3" s="176" t="s">
        <v>816</v>
      </c>
      <c r="G3" s="31">
        <v>10</v>
      </c>
      <c r="H3" s="114" t="s">
        <v>817</v>
      </c>
      <c r="I3" s="114" t="s">
        <v>818</v>
      </c>
      <c r="K3" s="179" t="s">
        <v>819</v>
      </c>
      <c r="L3" s="195">
        <v>3</v>
      </c>
      <c r="M3" s="170"/>
    </row>
    <row r="4" spans="1:13">
      <c r="A4" s="178" t="s">
        <v>725</v>
      </c>
      <c r="B4" s="5" t="s">
        <v>820</v>
      </c>
      <c r="C4" s="54" t="s">
        <v>821</v>
      </c>
      <c r="D4" s="178"/>
      <c r="F4" s="176" t="s">
        <v>822</v>
      </c>
      <c r="G4" s="31">
        <v>15</v>
      </c>
      <c r="H4" s="114" t="s">
        <v>823</v>
      </c>
      <c r="I4" s="114" t="s">
        <v>818</v>
      </c>
      <c r="K4" s="195" t="s">
        <v>729</v>
      </c>
      <c r="L4" s="195">
        <v>1</v>
      </c>
      <c r="M4" s="170"/>
    </row>
    <row r="5" spans="1:13">
      <c r="A5" s="178" t="s">
        <v>730</v>
      </c>
      <c r="B5" s="5" t="s">
        <v>824</v>
      </c>
      <c r="C5" s="54" t="s">
        <v>825</v>
      </c>
      <c r="D5" s="178"/>
      <c r="F5" s="179" t="s">
        <v>826</v>
      </c>
      <c r="G5" s="31">
        <v>11</v>
      </c>
      <c r="H5" s="114" t="s">
        <v>827</v>
      </c>
      <c r="I5" s="114" t="s">
        <v>828</v>
      </c>
      <c r="K5" s="195" t="s">
        <v>735</v>
      </c>
      <c r="L5" s="195">
        <v>2</v>
      </c>
      <c r="M5" s="170"/>
    </row>
    <row r="6" spans="1:13">
      <c r="A6" s="178" t="s">
        <v>736</v>
      </c>
      <c r="B6" s="5" t="s">
        <v>829</v>
      </c>
      <c r="C6" s="54" t="s">
        <v>830</v>
      </c>
      <c r="D6" s="178"/>
      <c r="F6" s="179" t="s">
        <v>831</v>
      </c>
      <c r="G6" s="31">
        <v>20</v>
      </c>
      <c r="H6" s="114" t="s">
        <v>832</v>
      </c>
      <c r="I6" s="114" t="s">
        <v>833</v>
      </c>
      <c r="K6" s="195" t="s">
        <v>741</v>
      </c>
      <c r="L6" s="195">
        <v>3</v>
      </c>
      <c r="M6" s="170"/>
    </row>
    <row r="7" spans="1:13">
      <c r="A7" s="178" t="s">
        <v>742</v>
      </c>
      <c r="B7" s="5" t="s">
        <v>834</v>
      </c>
      <c r="C7" s="54" t="s">
        <v>835</v>
      </c>
      <c r="D7" s="178"/>
      <c r="F7" s="176" t="s">
        <v>836</v>
      </c>
      <c r="G7" s="31">
        <v>8</v>
      </c>
      <c r="H7" s="114" t="s">
        <v>837</v>
      </c>
      <c r="I7" s="114" t="s">
        <v>828</v>
      </c>
      <c r="K7" s="195" t="s">
        <v>747</v>
      </c>
      <c r="L7" s="195">
        <v>2</v>
      </c>
      <c r="M7" s="170"/>
    </row>
    <row r="8" spans="1:13">
      <c r="A8" s="178" t="s">
        <v>748</v>
      </c>
      <c r="B8" s="5" t="s">
        <v>838</v>
      </c>
      <c r="C8" s="54" t="s">
        <v>839</v>
      </c>
      <c r="D8" s="178"/>
      <c r="F8" s="176" t="s">
        <v>840</v>
      </c>
      <c r="G8" s="31">
        <v>3</v>
      </c>
      <c r="H8" s="114" t="s">
        <v>841</v>
      </c>
      <c r="I8" s="114" t="s">
        <v>828</v>
      </c>
      <c r="K8" s="195" t="s">
        <v>753</v>
      </c>
      <c r="L8" s="195">
        <v>1</v>
      </c>
      <c r="M8" s="170"/>
    </row>
    <row r="9" spans="1:13">
      <c r="A9" s="178" t="s">
        <v>754</v>
      </c>
      <c r="B9" s="5" t="s">
        <v>842</v>
      </c>
      <c r="C9" s="54" t="s">
        <v>835</v>
      </c>
      <c r="D9" s="178"/>
      <c r="F9" s="181"/>
      <c r="G9" s="77"/>
      <c r="H9" s="177"/>
      <c r="I9" s="177"/>
      <c r="K9" s="67" t="s">
        <v>185</v>
      </c>
      <c r="L9" s="195">
        <v>3</v>
      </c>
      <c r="M9" s="170"/>
    </row>
    <row r="10" spans="1:13">
      <c r="A10" s="178" t="s">
        <v>757</v>
      </c>
      <c r="B10" s="178" t="s">
        <v>843</v>
      </c>
      <c r="C10" s="54" t="s">
        <v>830</v>
      </c>
      <c r="D10" s="178"/>
      <c r="F10" s="181"/>
      <c r="G10" s="77"/>
      <c r="H10" s="117" t="s">
        <v>811</v>
      </c>
      <c r="I10" s="31"/>
      <c r="K10" s="67" t="s">
        <v>186</v>
      </c>
      <c r="L10" s="195">
        <v>4</v>
      </c>
      <c r="M10" s="170"/>
    </row>
    <row r="12" spans="1:13">
      <c r="A12" s="227" t="s">
        <v>844</v>
      </c>
      <c r="B12" s="227"/>
      <c r="C12" s="227"/>
      <c r="D12" s="227"/>
      <c r="L12"/>
      <c r="M12"/>
    </row>
    <row r="13" spans="1:13">
      <c r="A13" s="114" t="s">
        <v>845</v>
      </c>
      <c r="B13" s="114" t="s">
        <v>846</v>
      </c>
      <c r="C13" s="31" t="s">
        <v>847</v>
      </c>
      <c r="D13" s="31" t="s">
        <v>848</v>
      </c>
      <c r="L13" s="196" t="s">
        <v>950</v>
      </c>
      <c r="M13"/>
    </row>
    <row r="14" spans="1:13">
      <c r="A14" s="114" t="s">
        <v>849</v>
      </c>
      <c r="B14" s="7" t="s">
        <v>850</v>
      </c>
      <c r="C14" s="7" t="s">
        <v>851</v>
      </c>
      <c r="D14" s="7" t="s">
        <v>852</v>
      </c>
      <c r="F14" s="175" t="s">
        <v>853</v>
      </c>
      <c r="G14" s="182"/>
      <c r="H14" s="182"/>
      <c r="I14" s="182"/>
      <c r="J14" s="182"/>
      <c r="L14" s="195">
        <v>1</v>
      </c>
      <c r="M14"/>
    </row>
    <row r="15" spans="1:13">
      <c r="F15" s="128" t="s">
        <v>854</v>
      </c>
      <c r="G15" s="128" t="s">
        <v>650</v>
      </c>
      <c r="H15" s="128" t="s">
        <v>855</v>
      </c>
      <c r="I15" s="128" t="s">
        <v>856</v>
      </c>
      <c r="J15" s="134" t="s">
        <v>857</v>
      </c>
      <c r="L15" s="195">
        <v>2</v>
      </c>
      <c r="M15"/>
    </row>
    <row r="16" spans="1:13">
      <c r="A16" s="175" t="s">
        <v>858</v>
      </c>
      <c r="F16" s="183" t="s">
        <v>859</v>
      </c>
      <c r="G16" s="178" t="s">
        <v>860</v>
      </c>
      <c r="H16" s="115" t="s">
        <v>861</v>
      </c>
      <c r="I16" s="115">
        <v>16</v>
      </c>
      <c r="J16" s="115"/>
      <c r="L16" s="195">
        <v>4</v>
      </c>
      <c r="M16"/>
    </row>
    <row r="17" spans="1:13">
      <c r="A17" s="179" t="s">
        <v>862</v>
      </c>
      <c r="B17" s="114" t="s">
        <v>863</v>
      </c>
      <c r="C17" s="114" t="s">
        <v>864</v>
      </c>
      <c r="D17" s="117" t="s">
        <v>658</v>
      </c>
      <c r="F17" s="128" t="s">
        <v>865</v>
      </c>
      <c r="G17" s="178" t="s">
        <v>866</v>
      </c>
      <c r="H17" s="115" t="s">
        <v>867</v>
      </c>
      <c r="I17" s="115">
        <v>13</v>
      </c>
      <c r="J17" s="115"/>
      <c r="L17" s="195">
        <v>6</v>
      </c>
      <c r="M17"/>
    </row>
    <row r="18" spans="1:13">
      <c r="A18" s="179" t="s">
        <v>784</v>
      </c>
      <c r="B18" s="67" t="s">
        <v>868</v>
      </c>
      <c r="C18" s="114">
        <v>190.15</v>
      </c>
      <c r="D18" s="114"/>
      <c r="F18" s="128" t="s">
        <v>869</v>
      </c>
      <c r="G18" s="178" t="s">
        <v>870</v>
      </c>
      <c r="H18" s="115" t="s">
        <v>861</v>
      </c>
      <c r="I18" s="115">
        <v>8</v>
      </c>
      <c r="J18" s="115"/>
    </row>
    <row r="19" spans="1:13">
      <c r="A19" s="179" t="s">
        <v>787</v>
      </c>
      <c r="B19" s="67" t="s">
        <v>871</v>
      </c>
      <c r="C19" s="114">
        <v>166.93</v>
      </c>
      <c r="D19" s="114"/>
      <c r="F19" s="128" t="s">
        <v>872</v>
      </c>
      <c r="G19" s="178" t="s">
        <v>873</v>
      </c>
      <c r="H19" s="128" t="s">
        <v>867</v>
      </c>
      <c r="I19" s="115">
        <v>12</v>
      </c>
      <c r="J19" s="115"/>
    </row>
    <row r="20" spans="1:13">
      <c r="A20" s="179" t="s">
        <v>790</v>
      </c>
      <c r="B20" s="67" t="s">
        <v>874</v>
      </c>
      <c r="C20" s="114">
        <v>182.54</v>
      </c>
      <c r="D20" s="114"/>
      <c r="F20" s="128" t="s">
        <v>875</v>
      </c>
      <c r="G20" s="178" t="s">
        <v>876</v>
      </c>
      <c r="H20" s="128" t="s">
        <v>877</v>
      </c>
      <c r="I20" s="115">
        <v>4</v>
      </c>
      <c r="J20" s="115"/>
    </row>
    <row r="21" spans="1:13">
      <c r="A21" s="179" t="s">
        <v>794</v>
      </c>
      <c r="B21" s="67" t="s">
        <v>878</v>
      </c>
      <c r="C21" s="114">
        <v>168.78</v>
      </c>
      <c r="D21" s="114"/>
      <c r="F21" s="115" t="s">
        <v>879</v>
      </c>
      <c r="G21" s="178" t="s">
        <v>880</v>
      </c>
      <c r="H21" s="128" t="s">
        <v>877</v>
      </c>
      <c r="I21" s="115">
        <v>11</v>
      </c>
      <c r="J21" s="115"/>
    </row>
    <row r="22" spans="1:13">
      <c r="A22" s="179" t="s">
        <v>797</v>
      </c>
      <c r="B22" s="67" t="s">
        <v>881</v>
      </c>
      <c r="C22" s="114">
        <v>191.54</v>
      </c>
      <c r="D22" s="114"/>
      <c r="F22" s="115" t="s">
        <v>882</v>
      </c>
      <c r="G22" s="178" t="s">
        <v>883</v>
      </c>
      <c r="H22" s="128" t="s">
        <v>877</v>
      </c>
      <c r="I22" s="115">
        <v>3</v>
      </c>
      <c r="J22" s="115"/>
    </row>
    <row r="23" spans="1:13">
      <c r="A23" s="179" t="s">
        <v>884</v>
      </c>
      <c r="B23" s="67" t="s">
        <v>885</v>
      </c>
      <c r="C23" s="114">
        <v>170.58</v>
      </c>
      <c r="D23" s="114"/>
      <c r="F23" s="115" t="s">
        <v>886</v>
      </c>
      <c r="G23" s="7" t="s">
        <v>887</v>
      </c>
      <c r="H23" s="128" t="s">
        <v>861</v>
      </c>
      <c r="I23" s="115">
        <v>15</v>
      </c>
      <c r="J23" s="115"/>
    </row>
  </sheetData>
  <mergeCells count="1">
    <mergeCell ref="A12:D12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95" zoomScaleNormal="95" workbookViewId="0"/>
  </sheetViews>
  <sheetFormatPr defaultRowHeight="16.5"/>
  <cols>
    <col min="3" max="3" width="12.375" bestFit="1" customWidth="1"/>
    <col min="12" max="12" width="11" bestFit="1" customWidth="1"/>
    <col min="13" max="13" width="9.375" bestFit="1" customWidth="1"/>
  </cols>
  <sheetData>
    <row r="1" spans="1:13">
      <c r="A1" s="1" t="s">
        <v>888</v>
      </c>
      <c r="B1" s="1"/>
      <c r="C1" s="1"/>
      <c r="D1" s="174"/>
      <c r="E1" s="1"/>
      <c r="F1" s="175" t="s">
        <v>889</v>
      </c>
      <c r="G1" s="1"/>
      <c r="H1" s="1"/>
      <c r="I1" s="1"/>
      <c r="J1" s="1"/>
      <c r="K1" s="1" t="s">
        <v>890</v>
      </c>
      <c r="L1" s="1"/>
      <c r="M1" s="1"/>
    </row>
    <row r="2" spans="1:13">
      <c r="A2" s="178" t="s">
        <v>891</v>
      </c>
      <c r="B2" s="178" t="s">
        <v>892</v>
      </c>
      <c r="C2" s="178" t="s">
        <v>893</v>
      </c>
      <c r="D2" s="117" t="s">
        <v>894</v>
      </c>
      <c r="E2" s="1"/>
      <c r="F2" s="179" t="s">
        <v>895</v>
      </c>
      <c r="G2" s="31" t="s">
        <v>896</v>
      </c>
      <c r="H2" s="114" t="s">
        <v>759</v>
      </c>
      <c r="I2" s="114" t="s">
        <v>897</v>
      </c>
      <c r="J2" s="1"/>
      <c r="K2" s="65" t="s">
        <v>558</v>
      </c>
      <c r="L2" s="65" t="s">
        <v>766</v>
      </c>
      <c r="M2" s="180" t="s">
        <v>898</v>
      </c>
    </row>
    <row r="3" spans="1:13">
      <c r="A3" s="178" t="s">
        <v>724</v>
      </c>
      <c r="B3" s="5" t="s">
        <v>899</v>
      </c>
      <c r="C3" s="54" t="s">
        <v>900</v>
      </c>
      <c r="D3" s="178" t="str">
        <f>HLOOKUP(LEFT(C3,1),$A$13:$D$14,2,0)</f>
        <v>스마트폰</v>
      </c>
      <c r="E3" s="1"/>
      <c r="F3" s="176" t="s">
        <v>901</v>
      </c>
      <c r="G3" s="31">
        <v>10</v>
      </c>
      <c r="H3" s="114" t="s">
        <v>902</v>
      </c>
      <c r="I3" s="114" t="s">
        <v>728</v>
      </c>
      <c r="J3" s="1"/>
      <c r="K3" s="179" t="s">
        <v>903</v>
      </c>
      <c r="L3" s="114">
        <v>3</v>
      </c>
      <c r="M3" s="170">
        <f t="shared" ref="M3:M10" si="0">L3*60000*(1-CHOOSE(MATCH(L3,$L$14:$L$17,1),0%,5%,10%,15%))</f>
        <v>171000</v>
      </c>
    </row>
    <row r="4" spans="1:13">
      <c r="A4" s="178" t="s">
        <v>725</v>
      </c>
      <c r="B4" s="5" t="s">
        <v>904</v>
      </c>
      <c r="C4" s="54" t="s">
        <v>905</v>
      </c>
      <c r="D4" s="178" t="str">
        <f t="shared" ref="D4:D10" si="1">HLOOKUP(LEFT(C4,1),$A$13:$D$14,2,0)</f>
        <v>아이패드</v>
      </c>
      <c r="E4" s="1"/>
      <c r="F4" s="176" t="s">
        <v>726</v>
      </c>
      <c r="G4" s="31">
        <v>15</v>
      </c>
      <c r="H4" s="114" t="s">
        <v>727</v>
      </c>
      <c r="I4" s="114" t="s">
        <v>728</v>
      </c>
      <c r="J4" s="1"/>
      <c r="K4" s="114" t="s">
        <v>729</v>
      </c>
      <c r="L4" s="114">
        <v>1</v>
      </c>
      <c r="M4" s="170">
        <f t="shared" si="0"/>
        <v>60000</v>
      </c>
    </row>
    <row r="5" spans="1:13">
      <c r="A5" s="178" t="s">
        <v>730</v>
      </c>
      <c r="B5" s="5" t="s">
        <v>731</v>
      </c>
      <c r="C5" s="54" t="s">
        <v>906</v>
      </c>
      <c r="D5" s="178" t="str">
        <f t="shared" si="1"/>
        <v>전화기</v>
      </c>
      <c r="E5" s="1"/>
      <c r="F5" s="179" t="s">
        <v>732</v>
      </c>
      <c r="G5" s="31">
        <v>11</v>
      </c>
      <c r="H5" s="114" t="s">
        <v>733</v>
      </c>
      <c r="I5" s="114" t="s">
        <v>734</v>
      </c>
      <c r="J5" s="1"/>
      <c r="K5" s="114" t="s">
        <v>735</v>
      </c>
      <c r="L5" s="114">
        <v>2</v>
      </c>
      <c r="M5" s="170">
        <f t="shared" si="0"/>
        <v>114000</v>
      </c>
    </row>
    <row r="6" spans="1:13">
      <c r="A6" s="178" t="s">
        <v>736</v>
      </c>
      <c r="B6" s="5" t="s">
        <v>737</v>
      </c>
      <c r="C6" s="54" t="s">
        <v>907</v>
      </c>
      <c r="D6" s="178" t="str">
        <f t="shared" si="1"/>
        <v>없음</v>
      </c>
      <c r="E6" s="1"/>
      <c r="F6" s="179" t="s">
        <v>738</v>
      </c>
      <c r="G6" s="31">
        <v>20</v>
      </c>
      <c r="H6" s="114" t="s">
        <v>739</v>
      </c>
      <c r="I6" s="114" t="s">
        <v>740</v>
      </c>
      <c r="J6" s="1"/>
      <c r="K6" s="114" t="s">
        <v>741</v>
      </c>
      <c r="L6" s="114">
        <v>3</v>
      </c>
      <c r="M6" s="170">
        <f t="shared" si="0"/>
        <v>171000</v>
      </c>
    </row>
    <row r="7" spans="1:13">
      <c r="A7" s="178" t="s">
        <v>742</v>
      </c>
      <c r="B7" s="5" t="s">
        <v>743</v>
      </c>
      <c r="C7" s="54" t="s">
        <v>744</v>
      </c>
      <c r="D7" s="178" t="str">
        <f t="shared" si="1"/>
        <v>스마트폰</v>
      </c>
      <c r="E7" s="1"/>
      <c r="F7" s="176" t="s">
        <v>745</v>
      </c>
      <c r="G7" s="31">
        <v>8</v>
      </c>
      <c r="H7" s="114" t="s">
        <v>746</v>
      </c>
      <c r="I7" s="114" t="s">
        <v>734</v>
      </c>
      <c r="J7" s="1"/>
      <c r="K7" s="114" t="s">
        <v>747</v>
      </c>
      <c r="L7" s="114">
        <v>2</v>
      </c>
      <c r="M7" s="170">
        <f t="shared" si="0"/>
        <v>114000</v>
      </c>
    </row>
    <row r="8" spans="1:13">
      <c r="A8" s="178" t="s">
        <v>748</v>
      </c>
      <c r="B8" s="5" t="s">
        <v>749</v>
      </c>
      <c r="C8" s="54" t="s">
        <v>750</v>
      </c>
      <c r="D8" s="178" t="str">
        <f t="shared" si="1"/>
        <v>전화기</v>
      </c>
      <c r="E8" s="1"/>
      <c r="F8" s="176" t="s">
        <v>751</v>
      </c>
      <c r="G8" s="31">
        <v>3</v>
      </c>
      <c r="H8" s="114" t="s">
        <v>752</v>
      </c>
      <c r="I8" s="114" t="s">
        <v>734</v>
      </c>
      <c r="J8" s="1"/>
      <c r="K8" s="114" t="s">
        <v>753</v>
      </c>
      <c r="L8" s="114">
        <v>1</v>
      </c>
      <c r="M8" s="170">
        <f t="shared" si="0"/>
        <v>60000</v>
      </c>
    </row>
    <row r="9" spans="1:13">
      <c r="A9" s="178" t="s">
        <v>754</v>
      </c>
      <c r="B9" s="5" t="s">
        <v>755</v>
      </c>
      <c r="C9" s="54" t="s">
        <v>744</v>
      </c>
      <c r="D9" s="178" t="str">
        <f t="shared" si="1"/>
        <v>스마트폰</v>
      </c>
      <c r="E9" s="1"/>
      <c r="F9" s="181"/>
      <c r="G9" s="77"/>
      <c r="H9" s="177"/>
      <c r="I9" s="177"/>
      <c r="J9" s="1"/>
      <c r="K9" s="67" t="s">
        <v>756</v>
      </c>
      <c r="L9" s="114">
        <v>3</v>
      </c>
      <c r="M9" s="170">
        <f t="shared" si="0"/>
        <v>171000</v>
      </c>
    </row>
    <row r="10" spans="1:13">
      <c r="A10" s="178" t="s">
        <v>757</v>
      </c>
      <c r="B10" s="178" t="s">
        <v>758</v>
      </c>
      <c r="C10" s="54" t="s">
        <v>907</v>
      </c>
      <c r="D10" s="178" t="str">
        <f t="shared" si="1"/>
        <v>없음</v>
      </c>
      <c r="E10" s="1"/>
      <c r="F10" s="181"/>
      <c r="G10" s="77"/>
      <c r="H10" s="117" t="s">
        <v>759</v>
      </c>
      <c r="I10" s="31" t="str">
        <f>VLOOKUP(LARGE(G3:G8,1),G3:I8,2,0)</f>
        <v>김민철</v>
      </c>
      <c r="J10" s="1"/>
      <c r="K10" s="67" t="s">
        <v>760</v>
      </c>
      <c r="L10" s="114">
        <v>4</v>
      </c>
      <c r="M10" s="170">
        <f t="shared" si="0"/>
        <v>216000</v>
      </c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227" t="s">
        <v>761</v>
      </c>
      <c r="B12" s="227"/>
      <c r="C12" s="227"/>
      <c r="D12" s="227"/>
      <c r="E12" s="1"/>
      <c r="F12" s="1"/>
      <c r="G12" s="1"/>
      <c r="H12" s="1"/>
      <c r="I12" s="1"/>
      <c r="J12" s="1"/>
      <c r="K12" s="1"/>
    </row>
    <row r="13" spans="1:13">
      <c r="A13" s="114" t="s">
        <v>762</v>
      </c>
      <c r="B13" s="114" t="s">
        <v>763</v>
      </c>
      <c r="C13" s="31" t="s">
        <v>764</v>
      </c>
      <c r="D13" s="31" t="s">
        <v>765</v>
      </c>
      <c r="E13" s="1"/>
      <c r="F13" s="1"/>
      <c r="G13" s="1"/>
      <c r="H13" s="1"/>
      <c r="I13" s="1"/>
      <c r="J13" s="1"/>
      <c r="K13" s="1"/>
      <c r="L13" s="196" t="s">
        <v>950</v>
      </c>
    </row>
    <row r="14" spans="1:13">
      <c r="A14" s="114" t="s">
        <v>767</v>
      </c>
      <c r="B14" s="7" t="s">
        <v>768</v>
      </c>
      <c r="C14" s="7" t="s">
        <v>769</v>
      </c>
      <c r="D14" s="7" t="s">
        <v>770</v>
      </c>
      <c r="E14" s="1"/>
      <c r="F14" s="175" t="s">
        <v>771</v>
      </c>
      <c r="G14" s="182"/>
      <c r="H14" s="182"/>
      <c r="I14" s="182"/>
      <c r="J14" s="182"/>
      <c r="K14" s="1"/>
      <c r="L14" s="114">
        <v>1</v>
      </c>
    </row>
    <row r="15" spans="1:13">
      <c r="A15" s="1"/>
      <c r="B15" s="1"/>
      <c r="C15" s="1"/>
      <c r="D15" s="1"/>
      <c r="E15" s="1"/>
      <c r="F15" s="128" t="s">
        <v>772</v>
      </c>
      <c r="G15" s="128" t="s">
        <v>558</v>
      </c>
      <c r="H15" s="128" t="s">
        <v>773</v>
      </c>
      <c r="I15" s="128" t="s">
        <v>774</v>
      </c>
      <c r="J15" s="134" t="s">
        <v>775</v>
      </c>
      <c r="K15" s="1"/>
      <c r="L15" s="114">
        <v>2</v>
      </c>
    </row>
    <row r="16" spans="1:13">
      <c r="A16" s="175" t="s">
        <v>140</v>
      </c>
      <c r="B16" s="1"/>
      <c r="C16" s="1"/>
      <c r="D16" s="1"/>
      <c r="E16" s="1"/>
      <c r="F16" s="183" t="s">
        <v>908</v>
      </c>
      <c r="G16" s="178" t="s">
        <v>776</v>
      </c>
      <c r="H16" s="115" t="s">
        <v>777</v>
      </c>
      <c r="I16" s="115">
        <v>16</v>
      </c>
      <c r="J16" s="115" t="str">
        <f t="shared" ref="J16:J23" si="2">CHOOSE(MID(F16,3,1),"부장","과장","대리","사원")</f>
        <v>부장</v>
      </c>
      <c r="K16" s="1"/>
      <c r="L16" s="114">
        <v>4</v>
      </c>
    </row>
    <row r="17" spans="1:13">
      <c r="A17" s="179" t="s">
        <v>778</v>
      </c>
      <c r="B17" s="114" t="s">
        <v>779</v>
      </c>
      <c r="C17" s="114" t="s">
        <v>780</v>
      </c>
      <c r="D17" s="197" t="s">
        <v>781</v>
      </c>
      <c r="E17" s="1"/>
      <c r="F17" s="128" t="s">
        <v>909</v>
      </c>
      <c r="G17" s="178" t="s">
        <v>782</v>
      </c>
      <c r="H17" s="115" t="s">
        <v>783</v>
      </c>
      <c r="I17" s="115">
        <v>13</v>
      </c>
      <c r="J17" s="115" t="str">
        <f t="shared" si="2"/>
        <v>과장</v>
      </c>
      <c r="K17" s="1"/>
      <c r="L17" s="114">
        <v>6</v>
      </c>
    </row>
    <row r="18" spans="1:13">
      <c r="A18" s="179" t="s">
        <v>784</v>
      </c>
      <c r="B18" s="67" t="s">
        <v>785</v>
      </c>
      <c r="C18" s="114">
        <v>190.15</v>
      </c>
      <c r="D18" s="114" t="str">
        <f>CHOOSE(RANK(C18,$C$18:$C$23),"성과급","성과급","","","","감봉")</f>
        <v>성과급</v>
      </c>
      <c r="E18" s="1"/>
      <c r="F18" s="128" t="s">
        <v>910</v>
      </c>
      <c r="G18" s="178" t="s">
        <v>786</v>
      </c>
      <c r="H18" s="115" t="s">
        <v>777</v>
      </c>
      <c r="I18" s="115">
        <v>8</v>
      </c>
      <c r="J18" s="115" t="str">
        <f t="shared" si="2"/>
        <v>대리</v>
      </c>
      <c r="K18" s="1"/>
      <c r="L18" s="1"/>
      <c r="M18" s="1"/>
    </row>
    <row r="19" spans="1:13">
      <c r="A19" s="179" t="s">
        <v>787</v>
      </c>
      <c r="B19" s="67" t="s">
        <v>788</v>
      </c>
      <c r="C19" s="114">
        <v>166.93</v>
      </c>
      <c r="D19" s="114" t="str">
        <f t="shared" ref="D19:D23" si="3">CHOOSE(RANK(C19,$C$18:$C$23),"성과급","성과급","","","","감봉")</f>
        <v>감봉</v>
      </c>
      <c r="E19" s="1"/>
      <c r="F19" s="128" t="s">
        <v>911</v>
      </c>
      <c r="G19" s="178" t="s">
        <v>789</v>
      </c>
      <c r="H19" s="128" t="s">
        <v>783</v>
      </c>
      <c r="I19" s="115">
        <v>12</v>
      </c>
      <c r="J19" s="115" t="str">
        <f t="shared" si="2"/>
        <v>과장</v>
      </c>
      <c r="K19" s="1"/>
      <c r="L19" s="1"/>
      <c r="M19" s="1"/>
    </row>
    <row r="20" spans="1:13">
      <c r="A20" s="179" t="s">
        <v>790</v>
      </c>
      <c r="B20" s="67" t="s">
        <v>791</v>
      </c>
      <c r="C20" s="114">
        <v>182.54</v>
      </c>
      <c r="D20" s="114" t="str">
        <f t="shared" si="3"/>
        <v/>
      </c>
      <c r="E20" s="1"/>
      <c r="F20" s="128" t="s">
        <v>912</v>
      </c>
      <c r="G20" s="178" t="s">
        <v>792</v>
      </c>
      <c r="H20" s="128" t="s">
        <v>793</v>
      </c>
      <c r="I20" s="115">
        <v>4</v>
      </c>
      <c r="J20" s="115" t="str">
        <f t="shared" si="2"/>
        <v>사원</v>
      </c>
      <c r="K20" s="1"/>
      <c r="L20" s="1"/>
      <c r="M20" s="1"/>
    </row>
    <row r="21" spans="1:13">
      <c r="A21" s="179" t="s">
        <v>794</v>
      </c>
      <c r="B21" s="67" t="s">
        <v>795</v>
      </c>
      <c r="C21" s="114">
        <v>168.78</v>
      </c>
      <c r="D21" s="114" t="str">
        <f t="shared" si="3"/>
        <v/>
      </c>
      <c r="E21" s="1"/>
      <c r="F21" s="115" t="s">
        <v>913</v>
      </c>
      <c r="G21" s="178" t="s">
        <v>796</v>
      </c>
      <c r="H21" s="128" t="s">
        <v>793</v>
      </c>
      <c r="I21" s="115">
        <v>11</v>
      </c>
      <c r="J21" s="115" t="str">
        <f t="shared" si="2"/>
        <v>과장</v>
      </c>
      <c r="K21" s="1"/>
      <c r="L21" s="1"/>
      <c r="M21" s="1"/>
    </row>
    <row r="22" spans="1:13">
      <c r="A22" s="179" t="s">
        <v>797</v>
      </c>
      <c r="B22" s="67" t="s">
        <v>798</v>
      </c>
      <c r="C22" s="114">
        <v>191.54</v>
      </c>
      <c r="D22" s="114" t="str">
        <f t="shared" si="3"/>
        <v>성과급</v>
      </c>
      <c r="E22" s="1"/>
      <c r="F22" s="115" t="s">
        <v>914</v>
      </c>
      <c r="G22" s="178" t="s">
        <v>799</v>
      </c>
      <c r="H22" s="128" t="s">
        <v>793</v>
      </c>
      <c r="I22" s="115">
        <v>3</v>
      </c>
      <c r="J22" s="115" t="str">
        <f t="shared" si="2"/>
        <v>사원</v>
      </c>
      <c r="K22" s="1"/>
      <c r="L22" s="1"/>
      <c r="M22" s="1"/>
    </row>
    <row r="23" spans="1:13">
      <c r="A23" s="179" t="s">
        <v>800</v>
      </c>
      <c r="B23" s="67" t="s">
        <v>801</v>
      </c>
      <c r="C23" s="114">
        <v>170.58</v>
      </c>
      <c r="D23" s="114" t="str">
        <f t="shared" si="3"/>
        <v/>
      </c>
      <c r="E23" s="1"/>
      <c r="F23" s="115" t="s">
        <v>915</v>
      </c>
      <c r="G23" s="7" t="s">
        <v>802</v>
      </c>
      <c r="H23" s="128" t="s">
        <v>777</v>
      </c>
      <c r="I23" s="115">
        <v>15</v>
      </c>
      <c r="J23" s="115" t="str">
        <f t="shared" si="2"/>
        <v>부장</v>
      </c>
      <c r="K23" s="1"/>
      <c r="L23" s="1"/>
      <c r="M23" s="1"/>
    </row>
  </sheetData>
  <mergeCells count="1">
    <mergeCell ref="A12:D1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/>
  </sheetViews>
  <sheetFormatPr defaultRowHeight="16.5"/>
  <cols>
    <col min="1" max="16384" width="9" style="46"/>
  </cols>
  <sheetData>
    <row r="2" spans="1:6" ht="27.95" customHeight="1">
      <c r="A2" s="192"/>
      <c r="B2" s="192"/>
      <c r="C2" s="236" t="s">
        <v>942</v>
      </c>
      <c r="D2" s="236"/>
      <c r="E2" s="236"/>
      <c r="F2" s="236"/>
    </row>
    <row r="3" spans="1:6" ht="27.95" customHeight="1">
      <c r="A3" s="192"/>
      <c r="B3" s="193" t="s">
        <v>803</v>
      </c>
      <c r="C3" s="194"/>
      <c r="D3" s="194"/>
      <c r="E3" s="194"/>
      <c r="F3" s="194"/>
    </row>
    <row r="4" spans="1:6" ht="27.95" customHeight="1">
      <c r="A4" s="228" t="s">
        <v>943</v>
      </c>
      <c r="B4" s="194"/>
      <c r="C4" s="47" t="s">
        <v>944</v>
      </c>
      <c r="D4" s="47" t="s">
        <v>944</v>
      </c>
      <c r="E4" s="47" t="s">
        <v>944</v>
      </c>
      <c r="F4" s="47" t="s">
        <v>944</v>
      </c>
    </row>
    <row r="5" spans="1:6" ht="27.95" customHeight="1">
      <c r="A5" s="228"/>
      <c r="B5" s="194"/>
      <c r="C5" s="47" t="s">
        <v>944</v>
      </c>
      <c r="D5" s="47" t="s">
        <v>944</v>
      </c>
      <c r="E5" s="47" t="s">
        <v>944</v>
      </c>
      <c r="F5" s="47" t="s">
        <v>944</v>
      </c>
    </row>
    <row r="6" spans="1:6" ht="27.95" customHeight="1">
      <c r="A6" s="228"/>
      <c r="B6" s="194"/>
      <c r="C6" s="47" t="s">
        <v>944</v>
      </c>
      <c r="D6" s="47" t="s">
        <v>944</v>
      </c>
      <c r="E6" s="47" t="s">
        <v>944</v>
      </c>
      <c r="F6" s="47" t="s">
        <v>944</v>
      </c>
    </row>
    <row r="7" spans="1:6" ht="27.95" customHeight="1">
      <c r="A7" s="228"/>
      <c r="B7" s="194"/>
      <c r="C7" s="47" t="s">
        <v>944</v>
      </c>
      <c r="D7" s="47" t="s">
        <v>944</v>
      </c>
      <c r="E7" s="47" t="s">
        <v>944</v>
      </c>
      <c r="F7" s="47" t="s">
        <v>944</v>
      </c>
    </row>
    <row r="8" spans="1:6" ht="27.95" customHeight="1">
      <c r="A8" s="228"/>
      <c r="B8" s="194"/>
      <c r="C8" s="47" t="s">
        <v>944</v>
      </c>
      <c r="D8" s="47" t="s">
        <v>944</v>
      </c>
      <c r="E8" s="47" t="s">
        <v>944</v>
      </c>
      <c r="F8" s="47" t="s">
        <v>944</v>
      </c>
    </row>
    <row r="9" spans="1:6" ht="27.95" customHeight="1">
      <c r="A9" s="192"/>
      <c r="B9" s="192"/>
      <c r="C9" s="192"/>
      <c r="D9" s="192"/>
      <c r="E9" s="192"/>
      <c r="F9" s="192"/>
    </row>
    <row r="10" spans="1:6" ht="27.95" customHeight="1">
      <c r="A10" s="192"/>
      <c r="B10" s="229" t="s">
        <v>945</v>
      </c>
      <c r="C10" s="230"/>
      <c r="D10" s="231"/>
      <c r="E10" s="232"/>
      <c r="F10" s="233"/>
    </row>
    <row r="11" spans="1:6" ht="27.95" customHeight="1">
      <c r="A11" s="192"/>
      <c r="B11" s="229" t="s">
        <v>946</v>
      </c>
      <c r="C11" s="230"/>
      <c r="D11" s="231"/>
      <c r="E11" s="232"/>
      <c r="F11" s="233"/>
    </row>
    <row r="12" spans="1:6" ht="27.95" customHeight="1">
      <c r="A12" s="192"/>
      <c r="B12" s="234" t="s">
        <v>947</v>
      </c>
      <c r="C12" s="234"/>
      <c r="D12" s="234"/>
      <c r="E12" s="235"/>
      <c r="F12" s="235"/>
    </row>
    <row r="13" spans="1:6" ht="27.95" customHeight="1">
      <c r="A13" s="192"/>
      <c r="B13" s="234" t="s">
        <v>948</v>
      </c>
      <c r="C13" s="234"/>
      <c r="D13" s="234"/>
      <c r="E13" s="235"/>
      <c r="F13" s="235"/>
    </row>
  </sheetData>
  <mergeCells count="10">
    <mergeCell ref="B12:D12"/>
    <mergeCell ref="E12:F12"/>
    <mergeCell ref="B13:D13"/>
    <mergeCell ref="E13:F13"/>
    <mergeCell ref="C2:F2"/>
    <mergeCell ref="A4:A8"/>
    <mergeCell ref="B10:D10"/>
    <mergeCell ref="E10:F10"/>
    <mergeCell ref="B11:D11"/>
    <mergeCell ref="E11:F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6.5"/>
  <cols>
    <col min="1" max="1" width="18.625" customWidth="1"/>
    <col min="2" max="2" width="17" customWidth="1"/>
  </cols>
  <sheetData>
    <row r="1" spans="1:2">
      <c r="A1" s="36" t="s">
        <v>65</v>
      </c>
      <c r="B1" s="37">
        <f ca="1">TODAY()</f>
        <v>42634</v>
      </c>
    </row>
    <row r="2" spans="1:2">
      <c r="A2" s="36" t="s">
        <v>66</v>
      </c>
      <c r="B2" s="38">
        <f ca="1">NOW()</f>
        <v>42634.516931828701</v>
      </c>
    </row>
    <row r="4" spans="1:2">
      <c r="A4" s="39" t="s">
        <v>67</v>
      </c>
      <c r="B4" s="39" t="s">
        <v>68</v>
      </c>
    </row>
    <row r="5" spans="1:2">
      <c r="A5" s="36" t="s">
        <v>69</v>
      </c>
      <c r="B5" s="40">
        <f ca="1">YEAR(B2)</f>
        <v>2016</v>
      </c>
    </row>
    <row r="6" spans="1:2">
      <c r="A6" s="36" t="s">
        <v>70</v>
      </c>
      <c r="B6" s="40">
        <f ca="1">MONTH(B2)</f>
        <v>9</v>
      </c>
    </row>
    <row r="7" spans="1:2">
      <c r="A7" s="36" t="s">
        <v>71</v>
      </c>
      <c r="B7" s="40">
        <f ca="1">DAY(B2)</f>
        <v>21</v>
      </c>
    </row>
    <row r="8" spans="1:2">
      <c r="A8" s="36" t="s">
        <v>72</v>
      </c>
      <c r="B8" s="40">
        <f ca="1">HOUR(B2)</f>
        <v>12</v>
      </c>
    </row>
    <row r="9" spans="1:2">
      <c r="A9" s="36" t="s">
        <v>73</v>
      </c>
      <c r="B9" s="40">
        <f ca="1">MINUTE(B2)</f>
        <v>24</v>
      </c>
    </row>
    <row r="10" spans="1:2">
      <c r="A10" s="36" t="s">
        <v>74</v>
      </c>
      <c r="B10" s="40">
        <f ca="1">SECOND(B2)</f>
        <v>23</v>
      </c>
    </row>
    <row r="11" spans="1:2">
      <c r="A11" s="36" t="s">
        <v>75</v>
      </c>
      <c r="B11" s="37">
        <f ca="1">DATE(B5, B6, B7)</f>
        <v>42634</v>
      </c>
    </row>
    <row r="12" spans="1:2">
      <c r="A12" s="36" t="s">
        <v>76</v>
      </c>
      <c r="B12" s="41">
        <f ca="1">TIME(B8,B9,B10)</f>
        <v>0.51693287037037039</v>
      </c>
    </row>
    <row r="13" spans="1:2">
      <c r="A13" s="36" t="s">
        <v>77</v>
      </c>
      <c r="B13" s="40">
        <f ca="1">WEEKDAY(B2)</f>
        <v>4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/>
  </sheetViews>
  <sheetFormatPr defaultRowHeight="16.5"/>
  <sheetData>
    <row r="2" spans="1:6" ht="27.95" customHeight="1">
      <c r="A2" s="86"/>
      <c r="B2" s="86"/>
      <c r="C2" s="245" t="s">
        <v>718</v>
      </c>
      <c r="D2" s="245"/>
      <c r="E2" s="245"/>
      <c r="F2" s="245"/>
    </row>
    <row r="3" spans="1:6" ht="27.95" customHeight="1">
      <c r="A3" s="86"/>
      <c r="B3" s="165" t="s">
        <v>115</v>
      </c>
      <c r="C3" s="173">
        <f>COLUMN()-2</f>
        <v>1</v>
      </c>
      <c r="D3" s="173">
        <f t="shared" ref="D3:F3" si="0">COLUMN()-2</f>
        <v>2</v>
      </c>
      <c r="E3" s="173">
        <f t="shared" si="0"/>
        <v>3</v>
      </c>
      <c r="F3" s="173">
        <f t="shared" si="0"/>
        <v>4</v>
      </c>
    </row>
    <row r="4" spans="1:6" ht="27.95" customHeight="1">
      <c r="A4" s="237" t="s">
        <v>719</v>
      </c>
      <c r="B4" s="173">
        <f>ROW()-3</f>
        <v>1</v>
      </c>
      <c r="C4" s="39" t="s">
        <v>363</v>
      </c>
      <c r="D4" s="39" t="s">
        <v>363</v>
      </c>
      <c r="E4" s="39" t="s">
        <v>363</v>
      </c>
      <c r="F4" s="39" t="s">
        <v>363</v>
      </c>
    </row>
    <row r="5" spans="1:6" ht="27.95" customHeight="1">
      <c r="A5" s="237"/>
      <c r="B5" s="173">
        <f t="shared" ref="B5:B8" si="1">ROW()-3</f>
        <v>2</v>
      </c>
      <c r="C5" s="39" t="s">
        <v>363</v>
      </c>
      <c r="D5" s="39" t="s">
        <v>363</v>
      </c>
      <c r="E5" s="39" t="s">
        <v>363</v>
      </c>
      <c r="F5" s="39" t="s">
        <v>363</v>
      </c>
    </row>
    <row r="6" spans="1:6" ht="27.95" customHeight="1">
      <c r="A6" s="237"/>
      <c r="B6" s="173">
        <f t="shared" si="1"/>
        <v>3</v>
      </c>
      <c r="C6" s="39" t="s">
        <v>363</v>
      </c>
      <c r="D6" s="39" t="s">
        <v>363</v>
      </c>
      <c r="E6" s="39" t="s">
        <v>363</v>
      </c>
      <c r="F6" s="39" t="s">
        <v>363</v>
      </c>
    </row>
    <row r="7" spans="1:6" ht="27.95" customHeight="1">
      <c r="A7" s="237"/>
      <c r="B7" s="173">
        <f t="shared" si="1"/>
        <v>4</v>
      </c>
      <c r="C7" s="39" t="s">
        <v>363</v>
      </c>
      <c r="D7" s="39" t="s">
        <v>363</v>
      </c>
      <c r="E7" s="39" t="s">
        <v>363</v>
      </c>
      <c r="F7" s="39" t="s">
        <v>363</v>
      </c>
    </row>
    <row r="8" spans="1:6" ht="27.95" customHeight="1">
      <c r="A8" s="237"/>
      <c r="B8" s="173">
        <f t="shared" si="1"/>
        <v>5</v>
      </c>
      <c r="C8" s="39" t="s">
        <v>363</v>
      </c>
      <c r="D8" s="39" t="s">
        <v>363</v>
      </c>
      <c r="E8" s="39" t="s">
        <v>363</v>
      </c>
      <c r="F8" s="39" t="s">
        <v>363</v>
      </c>
    </row>
    <row r="9" spans="1:6" ht="27.95" customHeight="1">
      <c r="A9" s="86"/>
      <c r="B9" s="86"/>
      <c r="C9" s="86"/>
      <c r="D9" s="86"/>
      <c r="E9" s="86"/>
      <c r="F9" s="86"/>
    </row>
    <row r="10" spans="1:6" ht="27.95" customHeight="1">
      <c r="A10" s="86"/>
      <c r="B10" s="238" t="s">
        <v>720</v>
      </c>
      <c r="C10" s="239"/>
      <c r="D10" s="240"/>
      <c r="E10" s="241">
        <f>COLUMNS(B3:F8)</f>
        <v>5</v>
      </c>
      <c r="F10" s="242"/>
    </row>
    <row r="11" spans="1:6" ht="27.95" customHeight="1">
      <c r="A11" s="86"/>
      <c r="B11" s="238" t="s">
        <v>721</v>
      </c>
      <c r="C11" s="239"/>
      <c r="D11" s="240"/>
      <c r="E11" s="241">
        <f>ROWS(B3:F8)</f>
        <v>6</v>
      </c>
      <c r="F11" s="242"/>
    </row>
    <row r="12" spans="1:6" ht="27.95" customHeight="1">
      <c r="A12" s="86"/>
      <c r="B12" s="243" t="s">
        <v>722</v>
      </c>
      <c r="C12" s="243"/>
      <c r="D12" s="243"/>
      <c r="E12" s="244">
        <f>COLUMN(B2)</f>
        <v>2</v>
      </c>
      <c r="F12" s="244"/>
    </row>
    <row r="13" spans="1:6" ht="27.95" customHeight="1">
      <c r="A13" s="86"/>
      <c r="B13" s="243" t="s">
        <v>723</v>
      </c>
      <c r="C13" s="243"/>
      <c r="D13" s="243"/>
      <c r="E13" s="244">
        <f>ROW(B2)</f>
        <v>2</v>
      </c>
      <c r="F13" s="244"/>
    </row>
  </sheetData>
  <mergeCells count="10">
    <mergeCell ref="B12:D12"/>
    <mergeCell ref="E12:F12"/>
    <mergeCell ref="B13:D13"/>
    <mergeCell ref="E13:F13"/>
    <mergeCell ref="C2:F2"/>
    <mergeCell ref="A4:A8"/>
    <mergeCell ref="B10:D10"/>
    <mergeCell ref="E10:F10"/>
    <mergeCell ref="B11:D11"/>
    <mergeCell ref="E11:F11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cols>
    <col min="1" max="1" width="11.125" customWidth="1"/>
    <col min="5" max="5" width="11" bestFit="1" customWidth="1"/>
    <col min="7" max="7" width="14.375" customWidth="1"/>
    <col min="8" max="10" width="10.875" bestFit="1" customWidth="1"/>
  </cols>
  <sheetData>
    <row r="1" spans="1:11">
      <c r="A1" s="172" t="s">
        <v>653</v>
      </c>
      <c r="B1" s="64"/>
      <c r="C1" s="64"/>
      <c r="D1" s="64"/>
      <c r="E1" s="64"/>
      <c r="F1" s="1"/>
      <c r="G1" s="73" t="s">
        <v>654</v>
      </c>
      <c r="H1" s="1"/>
      <c r="I1" s="1"/>
      <c r="J1" s="1"/>
      <c r="K1" s="1"/>
    </row>
    <row r="2" spans="1:11">
      <c r="A2" s="8" t="s">
        <v>650</v>
      </c>
      <c r="B2" s="8" t="s">
        <v>655</v>
      </c>
      <c r="C2" s="8" t="s">
        <v>656</v>
      </c>
      <c r="D2" s="14" t="s">
        <v>657</v>
      </c>
      <c r="E2" s="6" t="s">
        <v>658</v>
      </c>
      <c r="F2" s="1"/>
      <c r="G2" s="5" t="s">
        <v>659</v>
      </c>
      <c r="H2" s="5" t="s">
        <v>660</v>
      </c>
      <c r="I2" s="8" t="s">
        <v>661</v>
      </c>
      <c r="J2" s="6" t="s">
        <v>662</v>
      </c>
      <c r="K2" s="1"/>
    </row>
    <row r="3" spans="1:11">
      <c r="A3" s="8" t="s">
        <v>663</v>
      </c>
      <c r="B3" s="166">
        <v>95</v>
      </c>
      <c r="C3" s="167">
        <v>89</v>
      </c>
      <c r="D3" s="14">
        <v>91</v>
      </c>
      <c r="E3" s="8"/>
      <c r="F3" s="1"/>
      <c r="G3" s="5" t="s">
        <v>664</v>
      </c>
      <c r="H3" s="69">
        <v>1845000</v>
      </c>
      <c r="I3" s="69">
        <v>120000</v>
      </c>
      <c r="J3" s="69"/>
      <c r="K3" s="1"/>
    </row>
    <row r="4" spans="1:11">
      <c r="A4" s="8" t="s">
        <v>665</v>
      </c>
      <c r="B4" s="166">
        <v>90</v>
      </c>
      <c r="C4" s="14">
        <v>97</v>
      </c>
      <c r="D4" s="14">
        <v>89</v>
      </c>
      <c r="E4" s="8"/>
      <c r="F4" s="1"/>
      <c r="G4" s="5" t="s">
        <v>666</v>
      </c>
      <c r="H4" s="69">
        <v>1546200</v>
      </c>
      <c r="I4" s="69">
        <v>135000</v>
      </c>
      <c r="J4" s="69"/>
      <c r="K4" s="1"/>
    </row>
    <row r="5" spans="1:11">
      <c r="A5" s="8" t="s">
        <v>667</v>
      </c>
      <c r="B5" s="166">
        <v>82</v>
      </c>
      <c r="C5" s="14">
        <v>79</v>
      </c>
      <c r="D5" s="14">
        <v>88</v>
      </c>
      <c r="E5" s="8"/>
      <c r="F5" s="1"/>
      <c r="G5" s="5" t="s">
        <v>668</v>
      </c>
      <c r="H5" s="69">
        <v>1782500</v>
      </c>
      <c r="I5" s="69">
        <v>102000</v>
      </c>
      <c r="J5" s="69"/>
      <c r="K5" s="1"/>
    </row>
    <row r="6" spans="1:11">
      <c r="A6" s="8" t="s">
        <v>669</v>
      </c>
      <c r="B6" s="166">
        <v>75</v>
      </c>
      <c r="C6" s="14">
        <v>88</v>
      </c>
      <c r="D6" s="14">
        <v>77</v>
      </c>
      <c r="E6" s="8"/>
      <c r="F6" s="1"/>
      <c r="G6" s="5" t="s">
        <v>670</v>
      </c>
      <c r="H6" s="69">
        <v>1456800</v>
      </c>
      <c r="I6" s="69">
        <v>98000</v>
      </c>
      <c r="J6" s="69"/>
      <c r="K6" s="1"/>
    </row>
    <row r="7" spans="1:11">
      <c r="A7" s="8" t="s">
        <v>671</v>
      </c>
      <c r="B7" s="166">
        <v>98</v>
      </c>
      <c r="C7" s="14">
        <v>99</v>
      </c>
      <c r="D7" s="14">
        <v>89</v>
      </c>
      <c r="E7" s="8"/>
      <c r="F7" s="1"/>
      <c r="G7" s="5" t="s">
        <v>672</v>
      </c>
      <c r="H7" s="69">
        <v>1851000</v>
      </c>
      <c r="I7" s="69">
        <v>85200</v>
      </c>
      <c r="J7" s="69"/>
      <c r="K7" s="1"/>
    </row>
    <row r="8" spans="1:11">
      <c r="A8" s="8" t="s">
        <v>673</v>
      </c>
      <c r="B8" s="166">
        <v>85</v>
      </c>
      <c r="C8" s="14">
        <v>85</v>
      </c>
      <c r="D8" s="14">
        <v>94</v>
      </c>
      <c r="E8" s="8"/>
      <c r="F8" s="1"/>
      <c r="G8" s="114" t="s">
        <v>674</v>
      </c>
      <c r="H8" s="58">
        <v>1210000</v>
      </c>
      <c r="I8" s="58">
        <v>85000</v>
      </c>
      <c r="J8" s="69"/>
      <c r="K8" s="1"/>
    </row>
    <row r="9" spans="1:11">
      <c r="A9" s="8" t="s">
        <v>675</v>
      </c>
      <c r="B9" s="166">
        <v>88</v>
      </c>
      <c r="C9" s="14">
        <v>89</v>
      </c>
      <c r="D9" s="14">
        <v>97</v>
      </c>
      <c r="E9" s="8"/>
      <c r="F9" s="1"/>
      <c r="G9" s="1"/>
      <c r="H9" s="168" t="s">
        <v>676</v>
      </c>
      <c r="I9" s="169">
        <v>1.2E-2</v>
      </c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73" t="s">
        <v>677</v>
      </c>
      <c r="B12" s="1"/>
      <c r="C12" s="1"/>
      <c r="D12" s="1"/>
      <c r="E12" s="1"/>
      <c r="F12" s="1"/>
      <c r="G12" s="73" t="s">
        <v>678</v>
      </c>
      <c r="H12" s="1"/>
      <c r="I12" s="1"/>
      <c r="J12" s="1"/>
      <c r="K12" s="1"/>
    </row>
    <row r="13" spans="1:11">
      <c r="A13" s="5" t="s">
        <v>650</v>
      </c>
      <c r="B13" s="246" t="s">
        <v>679</v>
      </c>
      <c r="C13" s="246"/>
      <c r="D13" s="247" t="s">
        <v>680</v>
      </c>
      <c r="E13" s="248"/>
      <c r="F13" s="1"/>
      <c r="G13" s="8" t="s">
        <v>681</v>
      </c>
      <c r="H13" s="8" t="s">
        <v>682</v>
      </c>
      <c r="I13" s="8" t="s">
        <v>683</v>
      </c>
      <c r="J13" s="8" t="s">
        <v>684</v>
      </c>
      <c r="K13" s="8" t="s">
        <v>685</v>
      </c>
    </row>
    <row r="14" spans="1:11">
      <c r="A14" s="5" t="s">
        <v>686</v>
      </c>
      <c r="B14" s="246" t="s">
        <v>687</v>
      </c>
      <c r="C14" s="246"/>
      <c r="D14" s="249"/>
      <c r="E14" s="250"/>
      <c r="F14" s="1"/>
      <c r="G14" s="5" t="s">
        <v>688</v>
      </c>
      <c r="H14" s="69">
        <v>100</v>
      </c>
      <c r="I14" s="69">
        <v>1000000</v>
      </c>
      <c r="J14" s="170">
        <v>300000</v>
      </c>
      <c r="K14" s="170">
        <v>50000</v>
      </c>
    </row>
    <row r="15" spans="1:11">
      <c r="A15" s="5" t="s">
        <v>689</v>
      </c>
      <c r="B15" s="246" t="s">
        <v>690</v>
      </c>
      <c r="C15" s="246"/>
      <c r="D15" s="249"/>
      <c r="E15" s="250"/>
      <c r="F15" s="1"/>
      <c r="G15" s="5" t="s">
        <v>691</v>
      </c>
      <c r="H15" s="69">
        <v>600</v>
      </c>
      <c r="I15" s="69">
        <v>2500000</v>
      </c>
      <c r="J15" s="170">
        <v>600000</v>
      </c>
      <c r="K15" s="170">
        <v>30000</v>
      </c>
    </row>
    <row r="16" spans="1:11">
      <c r="A16" s="5" t="s">
        <v>692</v>
      </c>
      <c r="B16" s="246" t="s">
        <v>693</v>
      </c>
      <c r="C16" s="246"/>
      <c r="D16" s="249"/>
      <c r="E16" s="250"/>
      <c r="F16" s="1"/>
      <c r="G16" s="5" t="s">
        <v>694</v>
      </c>
      <c r="H16" s="69">
        <v>360</v>
      </c>
      <c r="I16" s="69">
        <v>3000000</v>
      </c>
      <c r="J16" s="170">
        <v>250000</v>
      </c>
      <c r="K16" s="170">
        <v>10000</v>
      </c>
    </row>
    <row r="17" spans="1:11">
      <c r="A17" s="5" t="s">
        <v>695</v>
      </c>
      <c r="B17" s="246" t="s">
        <v>696</v>
      </c>
      <c r="C17" s="246"/>
      <c r="D17" s="249"/>
      <c r="E17" s="250"/>
      <c r="F17" s="1"/>
      <c r="G17" s="5" t="s">
        <v>697</v>
      </c>
      <c r="H17" s="69">
        <v>120</v>
      </c>
      <c r="I17" s="69">
        <v>2800000</v>
      </c>
      <c r="J17" s="170">
        <v>140000</v>
      </c>
      <c r="K17" s="170">
        <v>100000</v>
      </c>
    </row>
    <row r="18" spans="1:11">
      <c r="A18" s="5" t="s">
        <v>698</v>
      </c>
      <c r="B18" s="246" t="s">
        <v>699</v>
      </c>
      <c r="C18" s="246"/>
      <c r="D18" s="249"/>
      <c r="E18" s="250"/>
      <c r="F18" s="1"/>
      <c r="G18" s="5" t="s">
        <v>700</v>
      </c>
      <c r="H18" s="69">
        <v>790</v>
      </c>
      <c r="I18" s="69">
        <v>1600000</v>
      </c>
      <c r="J18" s="170">
        <v>380000</v>
      </c>
      <c r="K18" s="170">
        <v>100000</v>
      </c>
    </row>
    <row r="19" spans="1:11">
      <c r="A19" s="5" t="s">
        <v>701</v>
      </c>
      <c r="B19" s="246" t="s">
        <v>702</v>
      </c>
      <c r="C19" s="246"/>
      <c r="D19" s="249"/>
      <c r="E19" s="250"/>
      <c r="F19" s="1"/>
      <c r="G19" s="5" t="s">
        <v>703</v>
      </c>
      <c r="H19" s="69">
        <v>230</v>
      </c>
      <c r="I19" s="69">
        <v>3700000</v>
      </c>
      <c r="J19" s="170">
        <v>1000000</v>
      </c>
      <c r="K19" s="170">
        <v>300000</v>
      </c>
    </row>
    <row r="20" spans="1:11">
      <c r="A20" s="5" t="s">
        <v>704</v>
      </c>
      <c r="B20" s="246" t="s">
        <v>705</v>
      </c>
      <c r="C20" s="246"/>
      <c r="D20" s="249"/>
      <c r="E20" s="250"/>
      <c r="F20" s="1"/>
      <c r="G20" s="6" t="s">
        <v>706</v>
      </c>
      <c r="H20" s="69"/>
      <c r="I20" s="69"/>
      <c r="J20" s="69"/>
      <c r="K20" s="69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73" t="s">
        <v>707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31" t="s">
        <v>708</v>
      </c>
      <c r="B24" s="31" t="s">
        <v>651</v>
      </c>
      <c r="C24" s="31" t="s">
        <v>709</v>
      </c>
      <c r="D24" s="31" t="s">
        <v>710</v>
      </c>
      <c r="E24" s="31" t="s">
        <v>711</v>
      </c>
      <c r="F24" s="1"/>
      <c r="G24" s="1"/>
      <c r="H24" s="1"/>
      <c r="I24" s="1"/>
      <c r="J24" s="1"/>
      <c r="K24" s="1"/>
    </row>
    <row r="25" spans="1:11">
      <c r="A25" s="114" t="s">
        <v>712</v>
      </c>
      <c r="B25" s="171">
        <v>78</v>
      </c>
      <c r="C25" s="171">
        <v>78</v>
      </c>
      <c r="D25" s="171">
        <v>78</v>
      </c>
      <c r="E25" s="171">
        <v>80</v>
      </c>
      <c r="F25" s="1"/>
      <c r="G25" s="1"/>
      <c r="H25" s="1"/>
      <c r="I25" s="1"/>
      <c r="J25" s="1"/>
      <c r="K25" s="1"/>
    </row>
    <row r="26" spans="1:11">
      <c r="A26" s="114" t="s">
        <v>713</v>
      </c>
      <c r="B26" s="171">
        <v>87</v>
      </c>
      <c r="C26" s="171">
        <v>85</v>
      </c>
      <c r="D26" s="171">
        <v>84</v>
      </c>
      <c r="E26" s="171">
        <v>81</v>
      </c>
      <c r="F26" s="1"/>
      <c r="G26" s="1"/>
      <c r="H26" s="1"/>
      <c r="I26" s="1"/>
      <c r="J26" s="1"/>
      <c r="K26" s="1"/>
    </row>
    <row r="27" spans="1:11">
      <c r="A27" s="114" t="s">
        <v>714</v>
      </c>
      <c r="B27" s="171">
        <v>86</v>
      </c>
      <c r="C27" s="171">
        <v>72</v>
      </c>
      <c r="D27" s="171">
        <v>82</v>
      </c>
      <c r="E27" s="171">
        <v>78</v>
      </c>
      <c r="F27" s="1"/>
      <c r="G27" s="1"/>
      <c r="H27" s="1"/>
      <c r="I27" s="1"/>
      <c r="J27" s="1"/>
      <c r="K27" s="1"/>
    </row>
    <row r="28" spans="1:11">
      <c r="A28" s="114" t="s">
        <v>715</v>
      </c>
      <c r="B28" s="171">
        <v>79</v>
      </c>
      <c r="C28" s="171">
        <v>81</v>
      </c>
      <c r="D28" s="171">
        <v>76</v>
      </c>
      <c r="E28" s="171">
        <v>82</v>
      </c>
      <c r="F28" s="1"/>
      <c r="G28" s="1"/>
      <c r="H28" s="1"/>
      <c r="I28" s="1"/>
      <c r="J28" s="1"/>
      <c r="K28" s="1"/>
    </row>
    <row r="29" spans="1:11">
      <c r="A29" s="114" t="s">
        <v>716</v>
      </c>
      <c r="B29" s="171">
        <v>77</v>
      </c>
      <c r="C29" s="171">
        <v>83</v>
      </c>
      <c r="D29" s="171">
        <v>78</v>
      </c>
      <c r="E29" s="171">
        <v>83</v>
      </c>
      <c r="F29" s="1"/>
      <c r="G29" s="1"/>
      <c r="H29" s="1"/>
      <c r="I29" s="1"/>
      <c r="J29" s="1"/>
      <c r="K29" s="1"/>
    </row>
    <row r="30" spans="1:11">
      <c r="A30" s="117" t="s">
        <v>717</v>
      </c>
      <c r="B30" s="171"/>
      <c r="C30" s="171"/>
      <c r="D30" s="171"/>
      <c r="E30" s="171"/>
      <c r="F30" s="1"/>
      <c r="G30" s="1"/>
      <c r="H30" s="1"/>
      <c r="I30" s="1"/>
      <c r="J30" s="1"/>
      <c r="K30" s="1"/>
    </row>
  </sheetData>
  <mergeCells count="16">
    <mergeCell ref="B19:C19"/>
    <mergeCell ref="D19:E19"/>
    <mergeCell ref="B20:C20"/>
    <mergeCell ref="D20:E20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workbookViewId="0"/>
  </sheetViews>
  <sheetFormatPr defaultRowHeight="16.5"/>
  <cols>
    <col min="1" max="1" width="11.125" customWidth="1"/>
    <col min="5" max="5" width="11" bestFit="1" customWidth="1"/>
    <col min="7" max="7" width="14.375" customWidth="1"/>
    <col min="8" max="10" width="10.875" bestFit="1" customWidth="1"/>
  </cols>
  <sheetData>
    <row r="1" spans="1:11">
      <c r="A1" s="172" t="s">
        <v>653</v>
      </c>
      <c r="B1" s="64"/>
      <c r="C1" s="64"/>
      <c r="D1" s="64"/>
      <c r="E1" s="64"/>
      <c r="F1" s="1"/>
      <c r="G1" s="73" t="s">
        <v>654</v>
      </c>
      <c r="H1" s="1"/>
      <c r="I1" s="1"/>
      <c r="J1" s="1"/>
      <c r="K1" s="1"/>
    </row>
    <row r="2" spans="1:11">
      <c r="A2" s="8" t="s">
        <v>650</v>
      </c>
      <c r="B2" s="8" t="s">
        <v>655</v>
      </c>
      <c r="C2" s="8" t="s">
        <v>656</v>
      </c>
      <c r="D2" s="14" t="s">
        <v>657</v>
      </c>
      <c r="E2" s="6" t="s">
        <v>658</v>
      </c>
      <c r="F2" s="1"/>
      <c r="G2" s="5" t="s">
        <v>659</v>
      </c>
      <c r="H2" s="5" t="s">
        <v>660</v>
      </c>
      <c r="I2" s="8" t="s">
        <v>661</v>
      </c>
      <c r="J2" s="6" t="s">
        <v>662</v>
      </c>
      <c r="K2" s="1"/>
    </row>
    <row r="3" spans="1:11">
      <c r="A3" s="8" t="s">
        <v>663</v>
      </c>
      <c r="B3" s="166">
        <v>95</v>
      </c>
      <c r="C3" s="167">
        <v>89</v>
      </c>
      <c r="D3" s="14">
        <v>91</v>
      </c>
      <c r="E3" s="8" t="str">
        <f t="shared" ref="E3:E9" si="0">IF(RANK(D3,$D$3:$D$9)&lt;=3,"연수대상자","")</f>
        <v>연수대상자</v>
      </c>
      <c r="F3" s="1"/>
      <c r="G3" s="5" t="s">
        <v>664</v>
      </c>
      <c r="H3" s="69">
        <v>1845000</v>
      </c>
      <c r="I3" s="69">
        <v>120000</v>
      </c>
      <c r="J3" s="69">
        <f t="shared" ref="J3:J8" si="1">H3+H3*$I$9+I3</f>
        <v>1987140</v>
      </c>
      <c r="K3" s="1"/>
    </row>
    <row r="4" spans="1:11">
      <c r="A4" s="8" t="s">
        <v>665</v>
      </c>
      <c r="B4" s="166">
        <v>90</v>
      </c>
      <c r="C4" s="14">
        <v>97</v>
      </c>
      <c r="D4" s="14">
        <v>89</v>
      </c>
      <c r="E4" s="8" t="str">
        <f t="shared" si="0"/>
        <v/>
      </c>
      <c r="F4" s="1"/>
      <c r="G4" s="5" t="s">
        <v>666</v>
      </c>
      <c r="H4" s="69">
        <v>1546200</v>
      </c>
      <c r="I4" s="69">
        <v>135000</v>
      </c>
      <c r="J4" s="69">
        <f t="shared" si="1"/>
        <v>1699754.4</v>
      </c>
      <c r="K4" s="1"/>
    </row>
    <row r="5" spans="1:11">
      <c r="A5" s="8" t="s">
        <v>667</v>
      </c>
      <c r="B5" s="166">
        <v>82</v>
      </c>
      <c r="C5" s="14">
        <v>79</v>
      </c>
      <c r="D5" s="14">
        <v>88</v>
      </c>
      <c r="E5" s="8" t="str">
        <f t="shared" si="0"/>
        <v/>
      </c>
      <c r="F5" s="1"/>
      <c r="G5" s="5" t="s">
        <v>668</v>
      </c>
      <c r="H5" s="69">
        <v>1782500</v>
      </c>
      <c r="I5" s="69">
        <v>102000</v>
      </c>
      <c r="J5" s="69">
        <f t="shared" si="1"/>
        <v>1905890</v>
      </c>
      <c r="K5" s="1"/>
    </row>
    <row r="6" spans="1:11">
      <c r="A6" s="8" t="s">
        <v>669</v>
      </c>
      <c r="B6" s="166">
        <v>75</v>
      </c>
      <c r="C6" s="14">
        <v>88</v>
      </c>
      <c r="D6" s="14">
        <v>77</v>
      </c>
      <c r="E6" s="8" t="str">
        <f t="shared" si="0"/>
        <v/>
      </c>
      <c r="F6" s="1"/>
      <c r="G6" s="5" t="s">
        <v>670</v>
      </c>
      <c r="H6" s="69">
        <v>1456800</v>
      </c>
      <c r="I6" s="69">
        <v>98000</v>
      </c>
      <c r="J6" s="69">
        <f t="shared" si="1"/>
        <v>1572281.6</v>
      </c>
      <c r="K6" s="1"/>
    </row>
    <row r="7" spans="1:11">
      <c r="A7" s="8" t="s">
        <v>671</v>
      </c>
      <c r="B7" s="166">
        <v>98</v>
      </c>
      <c r="C7" s="14">
        <v>99</v>
      </c>
      <c r="D7" s="14">
        <v>89</v>
      </c>
      <c r="E7" s="8" t="str">
        <f t="shared" si="0"/>
        <v/>
      </c>
      <c r="F7" s="1"/>
      <c r="G7" s="5" t="s">
        <v>672</v>
      </c>
      <c r="H7" s="69">
        <v>1851000</v>
      </c>
      <c r="I7" s="69">
        <v>85200</v>
      </c>
      <c r="J7" s="69">
        <f t="shared" si="1"/>
        <v>1958412</v>
      </c>
      <c r="K7" s="1"/>
    </row>
    <row r="8" spans="1:11">
      <c r="A8" s="8" t="s">
        <v>673</v>
      </c>
      <c r="B8" s="166">
        <v>85</v>
      </c>
      <c r="C8" s="14">
        <v>85</v>
      </c>
      <c r="D8" s="14">
        <v>94</v>
      </c>
      <c r="E8" s="8" t="str">
        <f t="shared" si="0"/>
        <v>연수대상자</v>
      </c>
      <c r="F8" s="1"/>
      <c r="G8" s="114" t="s">
        <v>674</v>
      </c>
      <c r="H8" s="58">
        <v>1210000</v>
      </c>
      <c r="I8" s="58">
        <v>85000</v>
      </c>
      <c r="J8" s="69">
        <f t="shared" si="1"/>
        <v>1309520</v>
      </c>
      <c r="K8" s="1"/>
    </row>
    <row r="9" spans="1:11">
      <c r="A9" s="8" t="s">
        <v>675</v>
      </c>
      <c r="B9" s="166">
        <v>88</v>
      </c>
      <c r="C9" s="14">
        <v>89</v>
      </c>
      <c r="D9" s="14">
        <v>97</v>
      </c>
      <c r="E9" s="8" t="str">
        <f t="shared" si="0"/>
        <v>연수대상자</v>
      </c>
      <c r="F9" s="1"/>
      <c r="G9" s="1"/>
      <c r="H9" s="168" t="s">
        <v>676</v>
      </c>
      <c r="I9" s="169">
        <v>1.2E-2</v>
      </c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73" t="s">
        <v>677</v>
      </c>
      <c r="B12" s="1"/>
      <c r="C12" s="1"/>
      <c r="D12" s="1"/>
      <c r="E12" s="1"/>
      <c r="F12" s="1"/>
      <c r="G12" s="73" t="s">
        <v>678</v>
      </c>
      <c r="H12" s="1"/>
      <c r="I12" s="1"/>
      <c r="J12" s="1"/>
      <c r="K12" s="1"/>
    </row>
    <row r="13" spans="1:11">
      <c r="A13" s="5" t="s">
        <v>650</v>
      </c>
      <c r="B13" s="246" t="s">
        <v>679</v>
      </c>
      <c r="C13" s="246"/>
      <c r="D13" s="247" t="s">
        <v>680</v>
      </c>
      <c r="E13" s="248"/>
      <c r="F13" s="1"/>
      <c r="G13" s="8" t="s">
        <v>681</v>
      </c>
      <c r="H13" s="8" t="s">
        <v>682</v>
      </c>
      <c r="I13" s="8" t="s">
        <v>683</v>
      </c>
      <c r="J13" s="8" t="s">
        <v>684</v>
      </c>
      <c r="K13" s="8" t="s">
        <v>685</v>
      </c>
    </row>
    <row r="14" spans="1:11">
      <c r="A14" s="5" t="s">
        <v>686</v>
      </c>
      <c r="B14" s="246" t="s">
        <v>687</v>
      </c>
      <c r="C14" s="246"/>
      <c r="D14" s="249" t="str">
        <f>LEFT(B14,8)&amp;"******"</f>
        <v>980609-2******</v>
      </c>
      <c r="E14" s="250"/>
      <c r="F14" s="1"/>
      <c r="G14" s="5" t="s">
        <v>688</v>
      </c>
      <c r="H14" s="69">
        <v>100</v>
      </c>
      <c r="I14" s="69">
        <v>1000000</v>
      </c>
      <c r="J14" s="170">
        <v>300000</v>
      </c>
      <c r="K14" s="170">
        <v>50000</v>
      </c>
    </row>
    <row r="15" spans="1:11">
      <c r="A15" s="5" t="s">
        <v>689</v>
      </c>
      <c r="B15" s="246" t="s">
        <v>690</v>
      </c>
      <c r="C15" s="246"/>
      <c r="D15" s="249" t="str">
        <f t="shared" ref="D15:D20" si="2">LEFT(B15,8)&amp;"******"</f>
        <v>780123-1******</v>
      </c>
      <c r="E15" s="250"/>
      <c r="F15" s="1"/>
      <c r="G15" s="5" t="s">
        <v>691</v>
      </c>
      <c r="H15" s="69">
        <v>600</v>
      </c>
      <c r="I15" s="69">
        <v>2500000</v>
      </c>
      <c r="J15" s="170">
        <v>600000</v>
      </c>
      <c r="K15" s="170">
        <v>30000</v>
      </c>
    </row>
    <row r="16" spans="1:11">
      <c r="A16" s="5" t="s">
        <v>692</v>
      </c>
      <c r="B16" s="246" t="s">
        <v>693</v>
      </c>
      <c r="C16" s="246"/>
      <c r="D16" s="249" t="str">
        <f t="shared" si="2"/>
        <v>860227-2******</v>
      </c>
      <c r="E16" s="250"/>
      <c r="F16" s="1"/>
      <c r="G16" s="5" t="s">
        <v>694</v>
      </c>
      <c r="H16" s="69">
        <v>360</v>
      </c>
      <c r="I16" s="69">
        <v>3000000</v>
      </c>
      <c r="J16" s="170">
        <v>250000</v>
      </c>
      <c r="K16" s="170">
        <v>10000</v>
      </c>
    </row>
    <row r="17" spans="1:11">
      <c r="A17" s="5" t="s">
        <v>695</v>
      </c>
      <c r="B17" s="246" t="s">
        <v>696</v>
      </c>
      <c r="C17" s="246"/>
      <c r="D17" s="249" t="str">
        <f t="shared" si="2"/>
        <v>650930-2******</v>
      </c>
      <c r="E17" s="250"/>
      <c r="F17" s="1"/>
      <c r="G17" s="5" t="s">
        <v>697</v>
      </c>
      <c r="H17" s="69">
        <v>120</v>
      </c>
      <c r="I17" s="69">
        <v>2800000</v>
      </c>
      <c r="J17" s="170">
        <v>140000</v>
      </c>
      <c r="K17" s="170">
        <v>100000</v>
      </c>
    </row>
    <row r="18" spans="1:11">
      <c r="A18" s="5" t="s">
        <v>698</v>
      </c>
      <c r="B18" s="246" t="s">
        <v>699</v>
      </c>
      <c r="C18" s="246"/>
      <c r="D18" s="249" t="str">
        <f t="shared" si="2"/>
        <v>890329-2******</v>
      </c>
      <c r="E18" s="250"/>
      <c r="F18" s="1"/>
      <c r="G18" s="5" t="s">
        <v>700</v>
      </c>
      <c r="H18" s="69">
        <v>790</v>
      </c>
      <c r="I18" s="69">
        <v>1600000</v>
      </c>
      <c r="J18" s="170">
        <v>380000</v>
      </c>
      <c r="K18" s="170">
        <v>100000</v>
      </c>
    </row>
    <row r="19" spans="1:11">
      <c r="A19" s="5" t="s">
        <v>701</v>
      </c>
      <c r="B19" s="246" t="s">
        <v>702</v>
      </c>
      <c r="C19" s="246"/>
      <c r="D19" s="249" t="str">
        <f t="shared" si="2"/>
        <v>981212-1******</v>
      </c>
      <c r="E19" s="250"/>
      <c r="F19" s="1"/>
      <c r="G19" s="5" t="s">
        <v>703</v>
      </c>
      <c r="H19" s="69">
        <v>230</v>
      </c>
      <c r="I19" s="69">
        <v>3700000</v>
      </c>
      <c r="J19" s="170">
        <v>1000000</v>
      </c>
      <c r="K19" s="170">
        <v>300000</v>
      </c>
    </row>
    <row r="20" spans="1:11">
      <c r="A20" s="5" t="s">
        <v>704</v>
      </c>
      <c r="B20" s="246" t="s">
        <v>705</v>
      </c>
      <c r="C20" s="246"/>
      <c r="D20" s="249" t="str">
        <f t="shared" si="2"/>
        <v>811214-1******</v>
      </c>
      <c r="E20" s="250"/>
      <c r="F20" s="1"/>
      <c r="G20" s="6" t="s">
        <v>706</v>
      </c>
      <c r="H20" s="69">
        <f>MAX(H14:H19)-MIN(H14:H19)</f>
        <v>690</v>
      </c>
      <c r="I20" s="69">
        <f>MAX(I14:I19)-MIN(I14:I19)</f>
        <v>2700000</v>
      </c>
      <c r="J20" s="69">
        <f>MAX(J14:J19)-MIN(J14:J19)</f>
        <v>860000</v>
      </c>
      <c r="K20" s="69">
        <f>MAX(K14:K19)-MIN(K14:K19)</f>
        <v>290000</v>
      </c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73" t="s">
        <v>707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31" t="s">
        <v>708</v>
      </c>
      <c r="B24" s="31" t="s">
        <v>651</v>
      </c>
      <c r="C24" s="31" t="s">
        <v>709</v>
      </c>
      <c r="D24" s="31" t="s">
        <v>710</v>
      </c>
      <c r="E24" s="31" t="s">
        <v>711</v>
      </c>
      <c r="F24" s="1"/>
      <c r="G24" s="1"/>
      <c r="H24" s="1"/>
      <c r="I24" s="1"/>
      <c r="J24" s="1"/>
      <c r="K24" s="1"/>
    </row>
    <row r="25" spans="1:11">
      <c r="A25" s="114" t="s">
        <v>712</v>
      </c>
      <c r="B25" s="171">
        <v>78</v>
      </c>
      <c r="C25" s="171">
        <v>78</v>
      </c>
      <c r="D25" s="171">
        <v>78</v>
      </c>
      <c r="E25" s="171">
        <v>80</v>
      </c>
      <c r="F25" s="1"/>
      <c r="G25" s="1"/>
      <c r="H25" s="1"/>
      <c r="I25" s="1"/>
      <c r="J25" s="1"/>
      <c r="K25" s="1"/>
    </row>
    <row r="26" spans="1:11">
      <c r="A26" s="114" t="s">
        <v>713</v>
      </c>
      <c r="B26" s="171">
        <v>87</v>
      </c>
      <c r="C26" s="171">
        <v>85</v>
      </c>
      <c r="D26" s="171">
        <v>84</v>
      </c>
      <c r="E26" s="171">
        <v>81</v>
      </c>
      <c r="F26" s="1"/>
      <c r="G26" s="1"/>
      <c r="H26" s="1"/>
      <c r="I26" s="1"/>
      <c r="J26" s="1"/>
      <c r="K26" s="1"/>
    </row>
    <row r="27" spans="1:11">
      <c r="A27" s="114" t="s">
        <v>714</v>
      </c>
      <c r="B27" s="171">
        <v>86</v>
      </c>
      <c r="C27" s="171">
        <v>72</v>
      </c>
      <c r="D27" s="171">
        <v>82</v>
      </c>
      <c r="E27" s="171">
        <v>78</v>
      </c>
      <c r="F27" s="1"/>
      <c r="G27" s="1"/>
      <c r="H27" s="1"/>
      <c r="I27" s="1"/>
      <c r="J27" s="1"/>
      <c r="K27" s="1"/>
    </row>
    <row r="28" spans="1:11">
      <c r="A28" s="114" t="s">
        <v>715</v>
      </c>
      <c r="B28" s="171">
        <v>79</v>
      </c>
      <c r="C28" s="171">
        <v>81</v>
      </c>
      <c r="D28" s="171">
        <v>76</v>
      </c>
      <c r="E28" s="171">
        <v>82</v>
      </c>
      <c r="F28" s="1"/>
      <c r="G28" s="1"/>
      <c r="H28" s="1"/>
      <c r="I28" s="1"/>
      <c r="J28" s="1"/>
      <c r="K28" s="1"/>
    </row>
    <row r="29" spans="1:11">
      <c r="A29" s="114" t="s">
        <v>716</v>
      </c>
      <c r="B29" s="171">
        <v>77</v>
      </c>
      <c r="C29" s="171">
        <v>83</v>
      </c>
      <c r="D29" s="171">
        <v>78</v>
      </c>
      <c r="E29" s="171">
        <v>83</v>
      </c>
      <c r="F29" s="1"/>
      <c r="G29" s="1"/>
      <c r="H29" s="1"/>
      <c r="I29" s="1"/>
      <c r="J29" s="1"/>
      <c r="K29" s="1"/>
    </row>
    <row r="30" spans="1:11">
      <c r="A30" s="117" t="s">
        <v>717</v>
      </c>
      <c r="B30" s="171">
        <f>INT(AVERAGE(B25:B29))</f>
        <v>81</v>
      </c>
      <c r="C30" s="171">
        <f>INT(AVERAGE(C25:C29))</f>
        <v>79</v>
      </c>
      <c r="D30" s="171">
        <f>INT(AVERAGE(D25:D29))</f>
        <v>79</v>
      </c>
      <c r="E30" s="171">
        <f>INT(AVERAGE(E25:E29))</f>
        <v>80</v>
      </c>
      <c r="F30" s="1"/>
      <c r="G30" s="1"/>
      <c r="H30" s="1"/>
      <c r="I30" s="1"/>
      <c r="J30" s="1"/>
      <c r="K30" s="1"/>
    </row>
  </sheetData>
  <mergeCells count="16">
    <mergeCell ref="B19:C19"/>
    <mergeCell ref="D19:E19"/>
    <mergeCell ref="B20:C20"/>
    <mergeCell ref="D20:E20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</mergeCells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6.5"/>
  <cols>
    <col min="3" max="3" width="12.375" bestFit="1" customWidth="1"/>
    <col min="7" max="7" width="12.625" customWidth="1"/>
  </cols>
  <sheetData>
    <row r="1" spans="1:11">
      <c r="A1" s="160" t="s">
        <v>652</v>
      </c>
      <c r="B1" s="160"/>
      <c r="C1" s="21"/>
      <c r="D1" s="127"/>
      <c r="E1" s="127"/>
      <c r="F1" s="1"/>
      <c r="G1" s="1" t="s">
        <v>549</v>
      </c>
      <c r="H1" s="1"/>
      <c r="I1" s="1"/>
      <c r="J1" s="1"/>
      <c r="K1" s="1"/>
    </row>
    <row r="2" spans="1:11">
      <c r="A2" s="115" t="s">
        <v>550</v>
      </c>
      <c r="B2" s="128" t="s">
        <v>551</v>
      </c>
      <c r="C2" s="128" t="s">
        <v>552</v>
      </c>
      <c r="D2" s="128" t="s">
        <v>553</v>
      </c>
      <c r="E2" s="1"/>
      <c r="F2" s="1"/>
      <c r="G2" s="1"/>
      <c r="H2" s="1"/>
      <c r="I2" s="1"/>
      <c r="J2" s="1"/>
      <c r="K2" s="158" t="s">
        <v>554</v>
      </c>
    </row>
    <row r="3" spans="1:11">
      <c r="A3" s="115">
        <v>2014001</v>
      </c>
      <c r="B3" s="115" t="s">
        <v>555</v>
      </c>
      <c r="C3" s="115" t="s">
        <v>556</v>
      </c>
      <c r="D3" s="115">
        <v>83</v>
      </c>
      <c r="E3" s="1"/>
      <c r="F3" s="1"/>
      <c r="G3" s="5" t="s">
        <v>557</v>
      </c>
      <c r="H3" s="5" t="s">
        <v>558</v>
      </c>
      <c r="I3" s="5" t="s">
        <v>559</v>
      </c>
      <c r="J3" s="5" t="s">
        <v>560</v>
      </c>
      <c r="K3" s="6" t="s">
        <v>561</v>
      </c>
    </row>
    <row r="4" spans="1:11">
      <c r="A4" s="115">
        <v>2014002</v>
      </c>
      <c r="B4" s="115" t="s">
        <v>562</v>
      </c>
      <c r="C4" s="115" t="s">
        <v>563</v>
      </c>
      <c r="D4" s="115">
        <v>67</v>
      </c>
      <c r="E4" s="127"/>
      <c r="F4" s="1"/>
      <c r="G4" s="5" t="s">
        <v>564</v>
      </c>
      <c r="H4" s="5" t="s">
        <v>565</v>
      </c>
      <c r="I4" s="5" t="s">
        <v>566</v>
      </c>
      <c r="J4" s="159">
        <v>6500</v>
      </c>
      <c r="K4" s="9"/>
    </row>
    <row r="5" spans="1:11">
      <c r="A5" s="115">
        <v>2014003</v>
      </c>
      <c r="B5" s="115" t="s">
        <v>567</v>
      </c>
      <c r="C5" s="115" t="s">
        <v>563</v>
      </c>
      <c r="D5" s="115">
        <v>90</v>
      </c>
      <c r="E5" s="127"/>
      <c r="F5" s="1"/>
      <c r="G5" s="5" t="s">
        <v>564</v>
      </c>
      <c r="H5" s="5" t="s">
        <v>568</v>
      </c>
      <c r="I5" s="5" t="s">
        <v>569</v>
      </c>
      <c r="J5" s="159">
        <v>6000</v>
      </c>
      <c r="K5" s="9"/>
    </row>
    <row r="6" spans="1:11">
      <c r="A6" s="115">
        <v>2014004</v>
      </c>
      <c r="B6" s="115" t="s">
        <v>570</v>
      </c>
      <c r="C6" s="115" t="s">
        <v>571</v>
      </c>
      <c r="D6" s="115">
        <v>71</v>
      </c>
      <c r="E6" s="127"/>
      <c r="F6" s="1"/>
      <c r="G6" s="5" t="s">
        <v>572</v>
      </c>
      <c r="H6" s="5" t="s">
        <v>573</v>
      </c>
      <c r="I6" s="5" t="s">
        <v>574</v>
      </c>
      <c r="J6" s="159">
        <v>5000</v>
      </c>
      <c r="K6" s="9"/>
    </row>
    <row r="7" spans="1:11">
      <c r="A7" s="115">
        <v>2014005</v>
      </c>
      <c r="B7" s="115" t="s">
        <v>575</v>
      </c>
      <c r="C7" s="115" t="s">
        <v>576</v>
      </c>
      <c r="D7" s="115">
        <v>96</v>
      </c>
      <c r="E7" s="127"/>
      <c r="F7" s="1"/>
      <c r="G7" s="5" t="s">
        <v>572</v>
      </c>
      <c r="H7" s="5" t="s">
        <v>577</v>
      </c>
      <c r="I7" s="5" t="s">
        <v>578</v>
      </c>
      <c r="J7" s="159">
        <v>6200</v>
      </c>
      <c r="K7" s="9"/>
    </row>
    <row r="8" spans="1:11">
      <c r="A8" s="115">
        <v>2014006</v>
      </c>
      <c r="B8" s="115" t="s">
        <v>579</v>
      </c>
      <c r="C8" s="115" t="s">
        <v>576</v>
      </c>
      <c r="D8" s="115">
        <v>98</v>
      </c>
      <c r="E8" s="127"/>
      <c r="F8" s="1"/>
      <c r="G8" s="5" t="s">
        <v>580</v>
      </c>
      <c r="H8" s="5" t="s">
        <v>581</v>
      </c>
      <c r="I8" s="5" t="s">
        <v>582</v>
      </c>
      <c r="J8" s="159">
        <v>5500</v>
      </c>
      <c r="K8" s="9"/>
    </row>
    <row r="9" spans="1:11">
      <c r="A9" s="115">
        <v>2014007</v>
      </c>
      <c r="B9" s="115" t="s">
        <v>583</v>
      </c>
      <c r="C9" s="115" t="s">
        <v>571</v>
      </c>
      <c r="D9" s="115">
        <v>100</v>
      </c>
      <c r="E9" s="127"/>
      <c r="F9" s="1"/>
      <c r="G9" s="5" t="s">
        <v>580</v>
      </c>
      <c r="H9" s="5" t="s">
        <v>584</v>
      </c>
      <c r="I9" s="5" t="s">
        <v>585</v>
      </c>
      <c r="J9" s="159">
        <v>7000</v>
      </c>
      <c r="K9" s="9"/>
    </row>
    <row r="10" spans="1:11">
      <c r="A10" s="115">
        <v>2014008</v>
      </c>
      <c r="B10" s="115" t="s">
        <v>586</v>
      </c>
      <c r="C10" s="115" t="s">
        <v>556</v>
      </c>
      <c r="D10" s="115">
        <v>53</v>
      </c>
      <c r="E10" s="127"/>
      <c r="F10" s="1"/>
      <c r="G10" s="5" t="s">
        <v>587</v>
      </c>
      <c r="H10" s="5" t="s">
        <v>588</v>
      </c>
      <c r="I10" s="5" t="s">
        <v>589</v>
      </c>
      <c r="J10" s="159">
        <v>5300</v>
      </c>
      <c r="K10" s="9"/>
    </row>
    <row r="11" spans="1:11">
      <c r="A11" s="115">
        <v>2014009</v>
      </c>
      <c r="B11" s="115" t="s">
        <v>590</v>
      </c>
      <c r="C11" s="115" t="s">
        <v>576</v>
      </c>
      <c r="D11" s="115">
        <v>45</v>
      </c>
      <c r="E11" s="127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 t="s">
        <v>591</v>
      </c>
      <c r="H12" s="1"/>
      <c r="I12" s="1"/>
      <c r="J12" s="1"/>
      <c r="K12" s="1"/>
    </row>
    <row r="13" spans="1:11">
      <c r="A13" s="1"/>
      <c r="B13" s="1"/>
      <c r="C13" s="134" t="s">
        <v>592</v>
      </c>
      <c r="D13" s="161"/>
      <c r="E13" s="1"/>
      <c r="F13" s="1"/>
      <c r="G13" s="5" t="s">
        <v>593</v>
      </c>
      <c r="H13" s="5" t="s">
        <v>594</v>
      </c>
      <c r="I13" s="5" t="s">
        <v>595</v>
      </c>
      <c r="J13" s="5" t="s">
        <v>596</v>
      </c>
      <c r="K13" s="5" t="s">
        <v>597</v>
      </c>
    </row>
    <row r="14" spans="1:11">
      <c r="A14" s="1"/>
      <c r="B14" s="1"/>
      <c r="C14" s="162"/>
      <c r="D14" s="163"/>
      <c r="E14" s="1"/>
      <c r="F14" s="1"/>
      <c r="G14" s="5" t="s">
        <v>598</v>
      </c>
      <c r="H14" s="164">
        <v>0.27</v>
      </c>
      <c r="I14" s="164">
        <v>0.35</v>
      </c>
      <c r="J14" s="164">
        <v>0.23</v>
      </c>
      <c r="K14" s="164">
        <v>0.15</v>
      </c>
    </row>
    <row r="15" spans="1:11">
      <c r="A15" s="1" t="s">
        <v>599</v>
      </c>
      <c r="B15" s="1"/>
      <c r="C15" s="1"/>
      <c r="D15" s="1"/>
      <c r="E15" s="1"/>
      <c r="F15" s="1"/>
      <c r="G15" s="5" t="s">
        <v>561</v>
      </c>
      <c r="H15" s="12">
        <v>2000</v>
      </c>
      <c r="I15" s="12">
        <v>1800</v>
      </c>
      <c r="J15" s="12">
        <v>1500</v>
      </c>
      <c r="K15" s="12">
        <v>1300</v>
      </c>
    </row>
    <row r="16" spans="1:11">
      <c r="A16" s="5" t="s">
        <v>558</v>
      </c>
      <c r="B16" s="5" t="s">
        <v>600</v>
      </c>
      <c r="C16" s="5" t="s">
        <v>601</v>
      </c>
      <c r="D16" s="5" t="s">
        <v>602</v>
      </c>
      <c r="E16" s="6" t="s">
        <v>603</v>
      </c>
      <c r="F16" s="1"/>
      <c r="G16" s="1"/>
      <c r="H16" s="1"/>
      <c r="I16" s="1"/>
      <c r="J16" s="1"/>
      <c r="K16" s="1"/>
    </row>
    <row r="17" spans="1:11">
      <c r="A17" s="5" t="s">
        <v>604</v>
      </c>
      <c r="B17" s="5">
        <v>75</v>
      </c>
      <c r="C17" s="5">
        <v>86</v>
      </c>
      <c r="D17" s="5">
        <v>85</v>
      </c>
      <c r="E17" s="5"/>
      <c r="F17" s="1"/>
      <c r="G17" s="1"/>
      <c r="H17" s="1"/>
      <c r="I17" s="1"/>
      <c r="J17" s="1"/>
      <c r="K17" s="1"/>
    </row>
    <row r="18" spans="1:11">
      <c r="A18" s="5" t="s">
        <v>605</v>
      </c>
      <c r="B18" s="5">
        <v>92</v>
      </c>
      <c r="C18" s="5">
        <v>89</v>
      </c>
      <c r="D18" s="5">
        <v>94</v>
      </c>
      <c r="E18" s="5"/>
      <c r="F18" s="1"/>
      <c r="G18" s="1" t="s">
        <v>606</v>
      </c>
      <c r="H18" s="1"/>
      <c r="I18" s="1"/>
      <c r="J18" s="1"/>
      <c r="K18" s="1"/>
    </row>
    <row r="19" spans="1:11">
      <c r="A19" s="5" t="s">
        <v>607</v>
      </c>
      <c r="B19" s="5">
        <v>50</v>
      </c>
      <c r="C19" s="5">
        <v>98</v>
      </c>
      <c r="D19" s="5">
        <v>90</v>
      </c>
      <c r="E19" s="5"/>
      <c r="F19" s="1"/>
      <c r="G19" s="5" t="s">
        <v>608</v>
      </c>
      <c r="H19" s="5" t="s">
        <v>609</v>
      </c>
      <c r="I19" s="5" t="s">
        <v>610</v>
      </c>
      <c r="J19" s="5" t="s">
        <v>611</v>
      </c>
      <c r="K19" s="6" t="s">
        <v>612</v>
      </c>
    </row>
    <row r="20" spans="1:11">
      <c r="A20" s="5" t="s">
        <v>613</v>
      </c>
      <c r="B20" s="5">
        <v>55</v>
      </c>
      <c r="C20" s="5">
        <v>90</v>
      </c>
      <c r="D20" s="5">
        <v>95</v>
      </c>
      <c r="E20" s="5"/>
      <c r="F20" s="1"/>
      <c r="G20" s="5" t="s">
        <v>614</v>
      </c>
      <c r="H20" s="5" t="s">
        <v>615</v>
      </c>
      <c r="I20" s="5" t="s">
        <v>616</v>
      </c>
      <c r="J20" s="5">
        <v>24</v>
      </c>
      <c r="K20" s="5"/>
    </row>
    <row r="21" spans="1:11">
      <c r="A21" s="5" t="s">
        <v>617</v>
      </c>
      <c r="B21" s="5">
        <v>65</v>
      </c>
      <c r="C21" s="5">
        <v>85</v>
      </c>
      <c r="D21" s="5">
        <v>70</v>
      </c>
      <c r="E21" s="5"/>
      <c r="F21" s="1"/>
      <c r="G21" s="5" t="s">
        <v>618</v>
      </c>
      <c r="H21" s="5" t="s">
        <v>619</v>
      </c>
      <c r="I21" s="5" t="s">
        <v>620</v>
      </c>
      <c r="J21" s="5">
        <v>32</v>
      </c>
      <c r="K21" s="5"/>
    </row>
    <row r="22" spans="1:11">
      <c r="A22" s="5" t="s">
        <v>621</v>
      </c>
      <c r="B22" s="5">
        <v>75</v>
      </c>
      <c r="C22" s="5">
        <v>65</v>
      </c>
      <c r="D22" s="5">
        <v>40</v>
      </c>
      <c r="E22" s="5"/>
      <c r="F22" s="1"/>
      <c r="G22" s="5" t="s">
        <v>622</v>
      </c>
      <c r="H22" s="5" t="s">
        <v>623</v>
      </c>
      <c r="I22" s="5" t="s">
        <v>620</v>
      </c>
      <c r="J22" s="5">
        <v>45</v>
      </c>
      <c r="K22" s="5"/>
    </row>
    <row r="23" spans="1:11">
      <c r="A23" s="5" t="s">
        <v>624</v>
      </c>
      <c r="B23" s="5">
        <v>86</v>
      </c>
      <c r="C23" s="5">
        <v>100</v>
      </c>
      <c r="D23" s="5">
        <v>95</v>
      </c>
      <c r="E23" s="5"/>
      <c r="F23" s="1"/>
      <c r="G23" s="5" t="s">
        <v>625</v>
      </c>
      <c r="H23" s="5" t="s">
        <v>626</v>
      </c>
      <c r="I23" s="5" t="s">
        <v>627</v>
      </c>
      <c r="J23" s="5">
        <v>68</v>
      </c>
      <c r="K23" s="5"/>
    </row>
    <row r="24" spans="1:11">
      <c r="A24" s="5" t="s">
        <v>628</v>
      </c>
      <c r="B24" s="5">
        <v>85</v>
      </c>
      <c r="C24" s="5">
        <v>68</v>
      </c>
      <c r="D24" s="5">
        <v>98</v>
      </c>
      <c r="E24" s="5"/>
      <c r="F24" s="1"/>
      <c r="G24" s="5" t="s">
        <v>629</v>
      </c>
      <c r="H24" s="5" t="s">
        <v>630</v>
      </c>
      <c r="I24" s="5" t="s">
        <v>627</v>
      </c>
      <c r="J24" s="5">
        <v>55</v>
      </c>
      <c r="K24" s="5"/>
    </row>
    <row r="25" spans="1:11">
      <c r="A25" s="1"/>
      <c r="B25" s="1"/>
      <c r="C25" s="1"/>
      <c r="D25" s="1"/>
      <c r="E25" s="1"/>
      <c r="F25" s="1"/>
      <c r="G25" s="5" t="s">
        <v>631</v>
      </c>
      <c r="H25" s="5" t="s">
        <v>632</v>
      </c>
      <c r="I25" s="5" t="s">
        <v>633</v>
      </c>
      <c r="J25" s="5">
        <v>24</v>
      </c>
      <c r="K25" s="5"/>
    </row>
    <row r="26" spans="1:11">
      <c r="A26" s="1"/>
      <c r="B26" s="1"/>
      <c r="C26" s="1"/>
      <c r="D26" s="1"/>
      <c r="E26" s="1"/>
      <c r="F26" s="1"/>
      <c r="G26" s="5" t="s">
        <v>634</v>
      </c>
      <c r="H26" s="5" t="s">
        <v>635</v>
      </c>
      <c r="I26" s="5" t="s">
        <v>636</v>
      </c>
      <c r="J26" s="5">
        <v>58</v>
      </c>
      <c r="K26" s="5"/>
    </row>
    <row r="27" spans="1:11">
      <c r="A27" s="1" t="s">
        <v>637</v>
      </c>
      <c r="B27" s="1"/>
      <c r="C27" s="1"/>
      <c r="D27" s="1"/>
      <c r="E27" s="1" t="s">
        <v>638</v>
      </c>
      <c r="F27" s="1"/>
      <c r="G27" s="5" t="s">
        <v>639</v>
      </c>
      <c r="H27" s="5" t="s">
        <v>640</v>
      </c>
      <c r="I27" s="5" t="s">
        <v>636</v>
      </c>
      <c r="J27" s="5">
        <v>30</v>
      </c>
      <c r="K27" s="5"/>
    </row>
    <row r="28" spans="1:11">
      <c r="A28" s="5" t="s">
        <v>641</v>
      </c>
      <c r="B28" s="5" t="s">
        <v>642</v>
      </c>
      <c r="C28" s="5" t="s">
        <v>643</v>
      </c>
      <c r="D28" s="5" t="s">
        <v>644</v>
      </c>
      <c r="E28" s="5" t="s">
        <v>645</v>
      </c>
      <c r="F28" s="1"/>
      <c r="G28" s="1"/>
      <c r="H28" s="1"/>
      <c r="I28" s="1"/>
      <c r="J28" s="1"/>
      <c r="K28" s="1"/>
    </row>
    <row r="29" spans="1:11">
      <c r="A29" s="5" t="s">
        <v>646</v>
      </c>
      <c r="B29" s="5">
        <v>78</v>
      </c>
      <c r="C29" s="5">
        <v>86</v>
      </c>
      <c r="D29" s="5">
        <v>75</v>
      </c>
      <c r="E29" s="5">
        <f t="shared" ref="E29:E35" si="0">SUM(C29:D29)</f>
        <v>161</v>
      </c>
      <c r="F29" s="1"/>
      <c r="G29" s="1"/>
      <c r="H29" s="1"/>
      <c r="I29" s="1"/>
      <c r="J29" s="1"/>
      <c r="K29" s="1"/>
    </row>
    <row r="30" spans="1:11">
      <c r="A30" s="5" t="s">
        <v>647</v>
      </c>
      <c r="B30" s="5">
        <v>85</v>
      </c>
      <c r="C30" s="5">
        <v>86</v>
      </c>
      <c r="D30" s="5">
        <v>95</v>
      </c>
      <c r="E30" s="5">
        <f t="shared" si="0"/>
        <v>181</v>
      </c>
      <c r="F30" s="251" t="s">
        <v>648</v>
      </c>
      <c r="G30" s="251"/>
      <c r="H30" s="251"/>
      <c r="I30" s="251"/>
      <c r="J30" s="251"/>
      <c r="K30" s="251"/>
    </row>
    <row r="31" spans="1:11">
      <c r="A31" s="5" t="s">
        <v>646</v>
      </c>
      <c r="B31" s="5">
        <v>98</v>
      </c>
      <c r="C31" s="5">
        <v>78</v>
      </c>
      <c r="D31" s="5">
        <v>98</v>
      </c>
      <c r="E31" s="5">
        <f t="shared" si="0"/>
        <v>176</v>
      </c>
      <c r="F31" s="252"/>
      <c r="G31" s="252"/>
      <c r="H31" s="252"/>
      <c r="I31" s="252"/>
      <c r="J31" s="252"/>
      <c r="K31" s="252"/>
    </row>
    <row r="32" spans="1:11">
      <c r="A32" s="5" t="s">
        <v>649</v>
      </c>
      <c r="B32" s="5">
        <v>100</v>
      </c>
      <c r="C32" s="5">
        <v>95</v>
      </c>
      <c r="D32" s="5">
        <v>98</v>
      </c>
      <c r="E32" s="5">
        <f t="shared" si="0"/>
        <v>193</v>
      </c>
      <c r="F32" s="1"/>
      <c r="G32" s="1"/>
      <c r="H32" s="1"/>
      <c r="I32" s="1"/>
      <c r="J32" s="1"/>
      <c r="K32" s="1"/>
    </row>
    <row r="33" spans="1:11">
      <c r="A33" s="5" t="s">
        <v>647</v>
      </c>
      <c r="B33" s="5">
        <v>85</v>
      </c>
      <c r="C33" s="5">
        <v>75</v>
      </c>
      <c r="D33" s="5">
        <v>75</v>
      </c>
      <c r="E33" s="5">
        <f t="shared" si="0"/>
        <v>150</v>
      </c>
      <c r="F33" s="1"/>
      <c r="G33" s="1"/>
      <c r="H33" s="1"/>
      <c r="I33" s="1"/>
      <c r="J33" s="1"/>
      <c r="K33" s="1"/>
    </row>
    <row r="34" spans="1:11">
      <c r="A34" s="5" t="s">
        <v>646</v>
      </c>
      <c r="B34" s="5">
        <v>100</v>
      </c>
      <c r="C34" s="5">
        <v>95</v>
      </c>
      <c r="D34" s="5">
        <v>98</v>
      </c>
      <c r="E34" s="5">
        <f t="shared" si="0"/>
        <v>193</v>
      </c>
      <c r="F34" s="1"/>
      <c r="G34" s="1"/>
      <c r="H34" s="1"/>
      <c r="I34" s="1"/>
      <c r="J34" s="1"/>
      <c r="K34" s="1"/>
    </row>
    <row r="35" spans="1:11">
      <c r="A35" s="5" t="s">
        <v>649</v>
      </c>
      <c r="B35" s="5">
        <v>85</v>
      </c>
      <c r="C35" s="5">
        <v>75</v>
      </c>
      <c r="D35" s="5">
        <v>75</v>
      </c>
      <c r="E35" s="5">
        <f t="shared" si="0"/>
        <v>150</v>
      </c>
      <c r="F35" s="1"/>
      <c r="G35" s="1"/>
      <c r="H35" s="1"/>
      <c r="I35" s="1"/>
      <c r="J35" s="1"/>
      <c r="K35" s="1"/>
    </row>
  </sheetData>
  <mergeCells count="2">
    <mergeCell ref="F30:K30"/>
    <mergeCell ref="F31:K31"/>
  </mergeCells>
  <phoneticPr fontId="2" type="noConversion"/>
  <pageMargins left="0.7" right="0.7" top="0.75" bottom="0.75" header="0.3" footer="0.3"/>
  <pageSetup paperSize="9" orientation="portrait" horizontalDpi="4294967293" verticalDpi="4294967293" r:id="rId1"/>
  <ignoredErrors>
    <ignoredError sqref="H13:K13" numberStoredAsText="1"/>
    <ignoredError sqref="E29:E35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2" workbookViewId="0"/>
  </sheetViews>
  <sheetFormatPr defaultRowHeight="16.5"/>
  <cols>
    <col min="3" max="3" width="12.375" bestFit="1" customWidth="1"/>
    <col min="7" max="7" width="12.625" customWidth="1"/>
  </cols>
  <sheetData>
    <row r="1" spans="1:11">
      <c r="A1" s="160" t="s">
        <v>652</v>
      </c>
      <c r="B1" s="160"/>
      <c r="C1" s="21"/>
      <c r="D1" s="127"/>
      <c r="E1" s="127"/>
      <c r="F1" s="1"/>
      <c r="G1" s="1" t="s">
        <v>549</v>
      </c>
      <c r="H1" s="1"/>
      <c r="I1" s="1"/>
      <c r="J1" s="1"/>
      <c r="K1" s="1"/>
    </row>
    <row r="2" spans="1:11">
      <c r="A2" s="115" t="s">
        <v>550</v>
      </c>
      <c r="B2" s="128" t="s">
        <v>551</v>
      </c>
      <c r="C2" s="128" t="s">
        <v>552</v>
      </c>
      <c r="D2" s="128" t="s">
        <v>553</v>
      </c>
      <c r="E2" s="1"/>
      <c r="F2" s="1"/>
      <c r="G2" s="1"/>
      <c r="H2" s="1"/>
      <c r="I2" s="1"/>
      <c r="J2" s="1"/>
      <c r="K2" s="158" t="s">
        <v>554</v>
      </c>
    </row>
    <row r="3" spans="1:11">
      <c r="A3" s="115">
        <v>2014001</v>
      </c>
      <c r="B3" s="115" t="s">
        <v>555</v>
      </c>
      <c r="C3" s="115" t="s">
        <v>556</v>
      </c>
      <c r="D3" s="115">
        <v>83</v>
      </c>
      <c r="E3" s="1"/>
      <c r="F3" s="1"/>
      <c r="G3" s="5" t="s">
        <v>557</v>
      </c>
      <c r="H3" s="5" t="s">
        <v>558</v>
      </c>
      <c r="I3" s="5" t="s">
        <v>559</v>
      </c>
      <c r="J3" s="5" t="s">
        <v>560</v>
      </c>
      <c r="K3" s="6" t="s">
        <v>561</v>
      </c>
    </row>
    <row r="4" spans="1:11">
      <c r="A4" s="115">
        <v>2014002</v>
      </c>
      <c r="B4" s="115" t="s">
        <v>562</v>
      </c>
      <c r="C4" s="115" t="s">
        <v>563</v>
      </c>
      <c r="D4" s="115">
        <v>67</v>
      </c>
      <c r="E4" s="127"/>
      <c r="F4" s="1"/>
      <c r="G4" s="5" t="s">
        <v>564</v>
      </c>
      <c r="H4" s="5" t="s">
        <v>565</v>
      </c>
      <c r="I4" s="5" t="s">
        <v>566</v>
      </c>
      <c r="J4" s="159">
        <v>6500</v>
      </c>
      <c r="K4" s="9">
        <f>HLOOKUP(LEFT(I4,2),$H$13:$K$15,3,0)</f>
        <v>1800</v>
      </c>
    </row>
    <row r="5" spans="1:11">
      <c r="A5" s="115">
        <v>2014003</v>
      </c>
      <c r="B5" s="115" t="s">
        <v>567</v>
      </c>
      <c r="C5" s="115" t="s">
        <v>563</v>
      </c>
      <c r="D5" s="115">
        <v>90</v>
      </c>
      <c r="E5" s="127"/>
      <c r="F5" s="1"/>
      <c r="G5" s="5" t="s">
        <v>564</v>
      </c>
      <c r="H5" s="5" t="s">
        <v>568</v>
      </c>
      <c r="I5" s="5" t="s">
        <v>569</v>
      </c>
      <c r="J5" s="159">
        <v>6000</v>
      </c>
      <c r="K5" s="9">
        <f t="shared" ref="K5:K10" si="0">HLOOKUP(LEFT(I5,2),$H$13:$K$15,3,0)</f>
        <v>1500</v>
      </c>
    </row>
    <row r="6" spans="1:11">
      <c r="A6" s="115">
        <v>2014004</v>
      </c>
      <c r="B6" s="115" t="s">
        <v>570</v>
      </c>
      <c r="C6" s="115" t="s">
        <v>571</v>
      </c>
      <c r="D6" s="115">
        <v>71</v>
      </c>
      <c r="E6" s="127"/>
      <c r="F6" s="1"/>
      <c r="G6" s="5" t="s">
        <v>572</v>
      </c>
      <c r="H6" s="5" t="s">
        <v>573</v>
      </c>
      <c r="I6" s="5" t="s">
        <v>574</v>
      </c>
      <c r="J6" s="159">
        <v>5000</v>
      </c>
      <c r="K6" s="9">
        <f t="shared" si="0"/>
        <v>1300</v>
      </c>
    </row>
    <row r="7" spans="1:11">
      <c r="A7" s="115">
        <v>2014005</v>
      </c>
      <c r="B7" s="115" t="s">
        <v>575</v>
      </c>
      <c r="C7" s="115" t="s">
        <v>576</v>
      </c>
      <c r="D7" s="115">
        <v>96</v>
      </c>
      <c r="E7" s="127"/>
      <c r="F7" s="1"/>
      <c r="G7" s="5" t="s">
        <v>572</v>
      </c>
      <c r="H7" s="5" t="s">
        <v>577</v>
      </c>
      <c r="I7" s="5" t="s">
        <v>578</v>
      </c>
      <c r="J7" s="159">
        <v>6200</v>
      </c>
      <c r="K7" s="9">
        <f t="shared" si="0"/>
        <v>1500</v>
      </c>
    </row>
    <row r="8" spans="1:11">
      <c r="A8" s="115">
        <v>2014006</v>
      </c>
      <c r="B8" s="115" t="s">
        <v>579</v>
      </c>
      <c r="C8" s="115" t="s">
        <v>576</v>
      </c>
      <c r="D8" s="115">
        <v>98</v>
      </c>
      <c r="E8" s="127"/>
      <c r="F8" s="1"/>
      <c r="G8" s="5" t="s">
        <v>580</v>
      </c>
      <c r="H8" s="5" t="s">
        <v>581</v>
      </c>
      <c r="I8" s="5" t="s">
        <v>582</v>
      </c>
      <c r="J8" s="159">
        <v>5500</v>
      </c>
      <c r="K8" s="9">
        <f t="shared" si="0"/>
        <v>1300</v>
      </c>
    </row>
    <row r="9" spans="1:11">
      <c r="A9" s="115">
        <v>2014007</v>
      </c>
      <c r="B9" s="115" t="s">
        <v>583</v>
      </c>
      <c r="C9" s="115" t="s">
        <v>571</v>
      </c>
      <c r="D9" s="115">
        <v>100</v>
      </c>
      <c r="E9" s="127"/>
      <c r="F9" s="1"/>
      <c r="G9" s="5" t="s">
        <v>580</v>
      </c>
      <c r="H9" s="5" t="s">
        <v>584</v>
      </c>
      <c r="I9" s="5" t="s">
        <v>585</v>
      </c>
      <c r="J9" s="159">
        <v>7000</v>
      </c>
      <c r="K9" s="9">
        <f t="shared" si="0"/>
        <v>2000</v>
      </c>
    </row>
    <row r="10" spans="1:11">
      <c r="A10" s="115">
        <v>2014008</v>
      </c>
      <c r="B10" s="115" t="s">
        <v>586</v>
      </c>
      <c r="C10" s="115" t="s">
        <v>556</v>
      </c>
      <c r="D10" s="115">
        <v>53</v>
      </c>
      <c r="E10" s="127"/>
      <c r="F10" s="1"/>
      <c r="G10" s="5" t="s">
        <v>587</v>
      </c>
      <c r="H10" s="5" t="s">
        <v>588</v>
      </c>
      <c r="I10" s="5" t="s">
        <v>589</v>
      </c>
      <c r="J10" s="159">
        <v>5300</v>
      </c>
      <c r="K10" s="9">
        <f t="shared" si="0"/>
        <v>1300</v>
      </c>
    </row>
    <row r="11" spans="1:11">
      <c r="A11" s="115">
        <v>2014009</v>
      </c>
      <c r="B11" s="115" t="s">
        <v>590</v>
      </c>
      <c r="C11" s="115" t="s">
        <v>576</v>
      </c>
      <c r="D11" s="115">
        <v>45</v>
      </c>
      <c r="E11" s="127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 t="s">
        <v>591</v>
      </c>
      <c r="H12" s="1"/>
      <c r="I12" s="1"/>
      <c r="J12" s="1"/>
      <c r="K12" s="1"/>
    </row>
    <row r="13" spans="1:11">
      <c r="A13" s="1"/>
      <c r="B13" s="1"/>
      <c r="C13" s="134" t="s">
        <v>592</v>
      </c>
      <c r="D13" s="161">
        <f>ROUNDUP(DSTDEV(A2:D11,D2,C2:C3),1)</f>
        <v>19.900000000000002</v>
      </c>
      <c r="E13" s="1"/>
      <c r="F13" s="1"/>
      <c r="G13" s="5" t="s">
        <v>593</v>
      </c>
      <c r="H13" s="5" t="s">
        <v>594</v>
      </c>
      <c r="I13" s="5" t="s">
        <v>595</v>
      </c>
      <c r="J13" s="5" t="s">
        <v>596</v>
      </c>
      <c r="K13" s="5" t="s">
        <v>597</v>
      </c>
    </row>
    <row r="14" spans="1:11">
      <c r="A14" s="1"/>
      <c r="B14" s="1"/>
      <c r="C14" s="162"/>
      <c r="D14" s="163"/>
      <c r="E14" s="1"/>
      <c r="F14" s="1"/>
      <c r="G14" s="5" t="s">
        <v>598</v>
      </c>
      <c r="H14" s="164">
        <v>0.27</v>
      </c>
      <c r="I14" s="164">
        <v>0.35</v>
      </c>
      <c r="J14" s="164">
        <v>0.23</v>
      </c>
      <c r="K14" s="164">
        <v>0.15</v>
      </c>
    </row>
    <row r="15" spans="1:11">
      <c r="A15" s="1" t="s">
        <v>599</v>
      </c>
      <c r="B15" s="1"/>
      <c r="C15" s="1"/>
      <c r="D15" s="1"/>
      <c r="E15" s="1"/>
      <c r="F15" s="1"/>
      <c r="G15" s="5" t="s">
        <v>561</v>
      </c>
      <c r="H15" s="12">
        <v>2000</v>
      </c>
      <c r="I15" s="12">
        <v>1800</v>
      </c>
      <c r="J15" s="12">
        <v>1500</v>
      </c>
      <c r="K15" s="12">
        <v>1300</v>
      </c>
    </row>
    <row r="16" spans="1:11">
      <c r="A16" s="5" t="s">
        <v>558</v>
      </c>
      <c r="B16" s="5" t="s">
        <v>600</v>
      </c>
      <c r="C16" s="5" t="s">
        <v>601</v>
      </c>
      <c r="D16" s="5" t="s">
        <v>602</v>
      </c>
      <c r="E16" s="6" t="s">
        <v>603</v>
      </c>
      <c r="F16" s="1"/>
      <c r="G16" s="1"/>
      <c r="H16" s="1"/>
      <c r="I16" s="1"/>
      <c r="J16" s="1"/>
      <c r="K16" s="1"/>
    </row>
    <row r="17" spans="1:11">
      <c r="A17" s="5" t="s">
        <v>604</v>
      </c>
      <c r="B17" s="5">
        <v>75</v>
      </c>
      <c r="C17" s="5">
        <v>86</v>
      </c>
      <c r="D17" s="5">
        <v>85</v>
      </c>
      <c r="E17" s="5" t="str">
        <f>IF(SUM(B17:D17)&gt;=270,"우수상","")</f>
        <v/>
      </c>
      <c r="F17" s="1"/>
      <c r="G17" s="1"/>
      <c r="H17" s="1"/>
      <c r="I17" s="1"/>
      <c r="J17" s="1"/>
      <c r="K17" s="1"/>
    </row>
    <row r="18" spans="1:11">
      <c r="A18" s="5" t="s">
        <v>605</v>
      </c>
      <c r="B18" s="5">
        <v>92</v>
      </c>
      <c r="C18" s="5">
        <v>89</v>
      </c>
      <c r="D18" s="5">
        <v>94</v>
      </c>
      <c r="E18" s="5" t="str">
        <f t="shared" ref="E18:E24" si="1">IF(SUM(B18:D18)&gt;=270,"우수상","")</f>
        <v>우수상</v>
      </c>
      <c r="F18" s="1"/>
      <c r="G18" s="1" t="s">
        <v>606</v>
      </c>
      <c r="H18" s="1"/>
      <c r="I18" s="1"/>
      <c r="J18" s="1"/>
      <c r="K18" s="1"/>
    </row>
    <row r="19" spans="1:11">
      <c r="A19" s="5" t="s">
        <v>607</v>
      </c>
      <c r="B19" s="5">
        <v>50</v>
      </c>
      <c r="C19" s="5">
        <v>98</v>
      </c>
      <c r="D19" s="5">
        <v>90</v>
      </c>
      <c r="E19" s="5" t="str">
        <f t="shared" si="1"/>
        <v/>
      </c>
      <c r="F19" s="1"/>
      <c r="G19" s="5" t="s">
        <v>608</v>
      </c>
      <c r="H19" s="5" t="s">
        <v>609</v>
      </c>
      <c r="I19" s="5" t="s">
        <v>610</v>
      </c>
      <c r="J19" s="5" t="s">
        <v>611</v>
      </c>
      <c r="K19" s="6" t="s">
        <v>612</v>
      </c>
    </row>
    <row r="20" spans="1:11">
      <c r="A20" s="5" t="s">
        <v>613</v>
      </c>
      <c r="B20" s="5">
        <v>55</v>
      </c>
      <c r="C20" s="5">
        <v>90</v>
      </c>
      <c r="D20" s="5">
        <v>95</v>
      </c>
      <c r="E20" s="5" t="str">
        <f t="shared" si="1"/>
        <v/>
      </c>
      <c r="F20" s="1"/>
      <c r="G20" s="5" t="s">
        <v>614</v>
      </c>
      <c r="H20" s="5" t="s">
        <v>615</v>
      </c>
      <c r="I20" s="5" t="s">
        <v>616</v>
      </c>
      <c r="J20" s="5">
        <v>24</v>
      </c>
      <c r="K20" s="5" t="str">
        <f>CHOOSE(RIGHT(G20,1),"청평","대성리","대천","파주")</f>
        <v>청평</v>
      </c>
    </row>
    <row r="21" spans="1:11">
      <c r="A21" s="5" t="s">
        <v>617</v>
      </c>
      <c r="B21" s="5">
        <v>65</v>
      </c>
      <c r="C21" s="5">
        <v>85</v>
      </c>
      <c r="D21" s="5">
        <v>70</v>
      </c>
      <c r="E21" s="5" t="str">
        <f t="shared" si="1"/>
        <v/>
      </c>
      <c r="F21" s="1"/>
      <c r="G21" s="5" t="s">
        <v>618</v>
      </c>
      <c r="H21" s="5" t="s">
        <v>619</v>
      </c>
      <c r="I21" s="5" t="s">
        <v>620</v>
      </c>
      <c r="J21" s="5">
        <v>32</v>
      </c>
      <c r="K21" s="5" t="str">
        <f t="shared" ref="K21:K27" si="2">CHOOSE(RIGHT(G21,1),"청평","대성리","대천","파주")</f>
        <v>대성리</v>
      </c>
    </row>
    <row r="22" spans="1:11">
      <c r="A22" s="5" t="s">
        <v>621</v>
      </c>
      <c r="B22" s="5">
        <v>75</v>
      </c>
      <c r="C22" s="5">
        <v>65</v>
      </c>
      <c r="D22" s="5">
        <v>40</v>
      </c>
      <c r="E22" s="5" t="str">
        <f t="shared" si="1"/>
        <v/>
      </c>
      <c r="F22" s="1"/>
      <c r="G22" s="5" t="s">
        <v>622</v>
      </c>
      <c r="H22" s="5" t="s">
        <v>623</v>
      </c>
      <c r="I22" s="5" t="s">
        <v>620</v>
      </c>
      <c r="J22" s="5">
        <v>45</v>
      </c>
      <c r="K22" s="5" t="str">
        <f t="shared" si="2"/>
        <v>대천</v>
      </c>
    </row>
    <row r="23" spans="1:11">
      <c r="A23" s="5" t="s">
        <v>624</v>
      </c>
      <c r="B23" s="5">
        <v>86</v>
      </c>
      <c r="C23" s="5">
        <v>100</v>
      </c>
      <c r="D23" s="5">
        <v>95</v>
      </c>
      <c r="E23" s="5" t="str">
        <f t="shared" si="1"/>
        <v>우수상</v>
      </c>
      <c r="F23" s="1"/>
      <c r="G23" s="5" t="s">
        <v>625</v>
      </c>
      <c r="H23" s="5" t="s">
        <v>626</v>
      </c>
      <c r="I23" s="5" t="s">
        <v>627</v>
      </c>
      <c r="J23" s="5">
        <v>68</v>
      </c>
      <c r="K23" s="5" t="str">
        <f t="shared" si="2"/>
        <v>파주</v>
      </c>
    </row>
    <row r="24" spans="1:11">
      <c r="A24" s="5" t="s">
        <v>628</v>
      </c>
      <c r="B24" s="5">
        <v>85</v>
      </c>
      <c r="C24" s="5">
        <v>68</v>
      </c>
      <c r="D24" s="5">
        <v>98</v>
      </c>
      <c r="E24" s="5" t="str">
        <f t="shared" si="1"/>
        <v/>
      </c>
      <c r="F24" s="1"/>
      <c r="G24" s="5" t="s">
        <v>629</v>
      </c>
      <c r="H24" s="5" t="s">
        <v>630</v>
      </c>
      <c r="I24" s="5" t="s">
        <v>627</v>
      </c>
      <c r="J24" s="5">
        <v>55</v>
      </c>
      <c r="K24" s="5" t="str">
        <f t="shared" si="2"/>
        <v>대성리</v>
      </c>
    </row>
    <row r="25" spans="1:11">
      <c r="A25" s="1"/>
      <c r="B25" s="1"/>
      <c r="C25" s="1"/>
      <c r="D25" s="1"/>
      <c r="E25" s="1"/>
      <c r="F25" s="1"/>
      <c r="G25" s="5" t="s">
        <v>631</v>
      </c>
      <c r="H25" s="5" t="s">
        <v>632</v>
      </c>
      <c r="I25" s="5" t="s">
        <v>633</v>
      </c>
      <c r="J25" s="5">
        <v>24</v>
      </c>
      <c r="K25" s="5" t="str">
        <f t="shared" si="2"/>
        <v>대성리</v>
      </c>
    </row>
    <row r="26" spans="1:11">
      <c r="A26" s="1"/>
      <c r="B26" s="1"/>
      <c r="C26" s="1"/>
      <c r="D26" s="1"/>
      <c r="E26" s="1"/>
      <c r="F26" s="1"/>
      <c r="G26" s="5" t="s">
        <v>634</v>
      </c>
      <c r="H26" s="5" t="s">
        <v>635</v>
      </c>
      <c r="I26" s="5" t="s">
        <v>636</v>
      </c>
      <c r="J26" s="5">
        <v>58</v>
      </c>
      <c r="K26" s="5" t="str">
        <f t="shared" si="2"/>
        <v>대천</v>
      </c>
    </row>
    <row r="27" spans="1:11">
      <c r="A27" s="1" t="s">
        <v>637</v>
      </c>
      <c r="B27" s="1"/>
      <c r="C27" s="1"/>
      <c r="D27" s="1"/>
      <c r="E27" s="1" t="s">
        <v>638</v>
      </c>
      <c r="F27" s="1"/>
      <c r="G27" s="5" t="s">
        <v>639</v>
      </c>
      <c r="H27" s="5" t="s">
        <v>640</v>
      </c>
      <c r="I27" s="5" t="s">
        <v>636</v>
      </c>
      <c r="J27" s="5">
        <v>30</v>
      </c>
      <c r="K27" s="5" t="str">
        <f t="shared" si="2"/>
        <v>청평</v>
      </c>
    </row>
    <row r="28" spans="1:11">
      <c r="A28" s="5" t="s">
        <v>641</v>
      </c>
      <c r="B28" s="5" t="s">
        <v>642</v>
      </c>
      <c r="C28" s="5" t="s">
        <v>643</v>
      </c>
      <c r="D28" s="5" t="s">
        <v>644</v>
      </c>
      <c r="E28" s="5" t="s">
        <v>645</v>
      </c>
      <c r="F28" s="1"/>
      <c r="G28" s="1"/>
      <c r="H28" s="1"/>
      <c r="I28" s="1"/>
      <c r="J28" s="1"/>
      <c r="K28" s="1"/>
    </row>
    <row r="29" spans="1:11">
      <c r="A29" s="5" t="s">
        <v>646</v>
      </c>
      <c r="B29" s="5">
        <v>78</v>
      </c>
      <c r="C29" s="5">
        <v>86</v>
      </c>
      <c r="D29" s="5">
        <v>75</v>
      </c>
      <c r="E29" s="5">
        <f t="shared" ref="E29:E35" si="3">SUM(C29:D29)</f>
        <v>161</v>
      </c>
      <c r="F29" s="1"/>
      <c r="G29" s="1"/>
      <c r="H29" s="1"/>
      <c r="I29" s="1"/>
      <c r="J29" s="1"/>
      <c r="K29" s="1"/>
    </row>
    <row r="30" spans="1:11">
      <c r="A30" s="5" t="s">
        <v>647</v>
      </c>
      <c r="B30" s="5">
        <v>85</v>
      </c>
      <c r="C30" s="5">
        <v>86</v>
      </c>
      <c r="D30" s="5">
        <v>95</v>
      </c>
      <c r="E30" s="5">
        <f t="shared" si="3"/>
        <v>181</v>
      </c>
      <c r="F30" s="251" t="s">
        <v>648</v>
      </c>
      <c r="G30" s="251"/>
      <c r="H30" s="251"/>
      <c r="I30" s="251"/>
      <c r="J30" s="251"/>
      <c r="K30" s="251"/>
    </row>
    <row r="31" spans="1:11">
      <c r="A31" s="5" t="s">
        <v>646</v>
      </c>
      <c r="B31" s="5">
        <v>98</v>
      </c>
      <c r="C31" s="5">
        <v>78</v>
      </c>
      <c r="D31" s="5">
        <v>98</v>
      </c>
      <c r="E31" s="5">
        <f t="shared" si="3"/>
        <v>176</v>
      </c>
      <c r="F31" s="252">
        <f>ABS(DMAX(A28:E35,B28,A28:A29)-DMIN(A28:E35,D28,A28:A29))</f>
        <v>25</v>
      </c>
      <c r="G31" s="252"/>
      <c r="H31" s="252"/>
      <c r="I31" s="252"/>
      <c r="J31" s="252"/>
      <c r="K31" s="252"/>
    </row>
    <row r="32" spans="1:11">
      <c r="A32" s="5" t="s">
        <v>649</v>
      </c>
      <c r="B32" s="5">
        <v>100</v>
      </c>
      <c r="C32" s="5">
        <v>95</v>
      </c>
      <c r="D32" s="5">
        <v>98</v>
      </c>
      <c r="E32" s="5">
        <f t="shared" si="3"/>
        <v>193</v>
      </c>
      <c r="F32" s="1"/>
      <c r="G32" s="1"/>
      <c r="H32" s="1"/>
      <c r="I32" s="1"/>
      <c r="J32" s="1"/>
      <c r="K32" s="1"/>
    </row>
    <row r="33" spans="1:11">
      <c r="A33" s="5" t="s">
        <v>647</v>
      </c>
      <c r="B33" s="5">
        <v>85</v>
      </c>
      <c r="C33" s="5">
        <v>75</v>
      </c>
      <c r="D33" s="5">
        <v>75</v>
      </c>
      <c r="E33" s="5">
        <f t="shared" si="3"/>
        <v>150</v>
      </c>
      <c r="F33" s="1"/>
      <c r="G33" s="1"/>
      <c r="H33" s="1"/>
      <c r="I33" s="1"/>
      <c r="J33" s="1"/>
      <c r="K33" s="1"/>
    </row>
    <row r="34" spans="1:11">
      <c r="A34" s="5" t="s">
        <v>646</v>
      </c>
      <c r="B34" s="5">
        <v>100</v>
      </c>
      <c r="C34" s="5">
        <v>95</v>
      </c>
      <c r="D34" s="5">
        <v>98</v>
      </c>
      <c r="E34" s="5">
        <f t="shared" si="3"/>
        <v>193</v>
      </c>
      <c r="F34" s="1"/>
      <c r="G34" s="1"/>
      <c r="H34" s="1"/>
      <c r="I34" s="1"/>
      <c r="J34" s="1"/>
      <c r="K34" s="1"/>
    </row>
    <row r="35" spans="1:11">
      <c r="A35" s="5" t="s">
        <v>649</v>
      </c>
      <c r="B35" s="5">
        <v>85</v>
      </c>
      <c r="C35" s="5">
        <v>75</v>
      </c>
      <c r="D35" s="5">
        <v>75</v>
      </c>
      <c r="E35" s="5">
        <f t="shared" si="3"/>
        <v>150</v>
      </c>
      <c r="F35" s="1"/>
      <c r="G35" s="1"/>
      <c r="H35" s="1"/>
      <c r="I35" s="1"/>
      <c r="J35" s="1"/>
      <c r="K35" s="1"/>
    </row>
  </sheetData>
  <mergeCells count="2">
    <mergeCell ref="F30:K30"/>
    <mergeCell ref="F31:K31"/>
  </mergeCells>
  <phoneticPr fontId="2" type="noConversion"/>
  <pageMargins left="0.7" right="0.7" top="0.75" bottom="0.75" header="0.3" footer="0.3"/>
  <pageSetup paperSize="9" orientation="portrait" horizontalDpi="4294967293" verticalDpi="4294967293" r:id="rId1"/>
  <ignoredErrors>
    <ignoredError sqref="H13:K13" numberStoredAsText="1"/>
    <ignoredError sqref="E29:E3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6.5"/>
  <cols>
    <col min="1" max="1" width="18.625" customWidth="1"/>
    <col min="2" max="2" width="17" customWidth="1"/>
  </cols>
  <sheetData>
    <row r="1" spans="1:2">
      <c r="A1" s="36" t="s">
        <v>65</v>
      </c>
      <c r="B1" s="37">
        <f ca="1">TODAY()</f>
        <v>42634</v>
      </c>
    </row>
    <row r="2" spans="1:2">
      <c r="A2" s="36" t="s">
        <v>66</v>
      </c>
      <c r="B2" s="38">
        <f ca="1">NOW()</f>
        <v>42634.516931828701</v>
      </c>
    </row>
    <row r="4" spans="1:2">
      <c r="A4" s="39" t="s">
        <v>67</v>
      </c>
      <c r="B4" s="39" t="s">
        <v>68</v>
      </c>
    </row>
    <row r="5" spans="1:2">
      <c r="A5" s="36" t="s">
        <v>69</v>
      </c>
      <c r="B5" s="42">
        <f ca="1">YEAR(B2)</f>
        <v>2016</v>
      </c>
    </row>
    <row r="6" spans="1:2">
      <c r="A6" s="36" t="s">
        <v>70</v>
      </c>
      <c r="B6" s="40">
        <f ca="1">MONTH(B2)</f>
        <v>9</v>
      </c>
    </row>
    <row r="7" spans="1:2">
      <c r="A7" s="36" t="s">
        <v>71</v>
      </c>
      <c r="B7" s="40">
        <f ca="1">DAY(B2)</f>
        <v>21</v>
      </c>
    </row>
    <row r="8" spans="1:2">
      <c r="A8" s="36" t="s">
        <v>72</v>
      </c>
      <c r="B8" s="40">
        <f ca="1">HOUR(B2)</f>
        <v>12</v>
      </c>
    </row>
    <row r="9" spans="1:2">
      <c r="A9" s="36" t="s">
        <v>73</v>
      </c>
      <c r="B9" s="40">
        <f ca="1">MINUTE(B2)</f>
        <v>24</v>
      </c>
    </row>
    <row r="10" spans="1:2">
      <c r="A10" s="36" t="s">
        <v>74</v>
      </c>
      <c r="B10" s="40">
        <f ca="1">SECOND(B2)</f>
        <v>23</v>
      </c>
    </row>
    <row r="11" spans="1:2">
      <c r="A11" s="36" t="s">
        <v>75</v>
      </c>
      <c r="B11" s="37">
        <f ca="1">DATE(B5,B6,B7)</f>
        <v>42634</v>
      </c>
    </row>
    <row r="12" spans="1:2">
      <c r="A12" s="36" t="s">
        <v>76</v>
      </c>
      <c r="B12" s="41">
        <f ca="1">TIME(B8,B9,B10)</f>
        <v>0.51693287037037039</v>
      </c>
    </row>
    <row r="13" spans="1:2">
      <c r="A13" s="36" t="s">
        <v>77</v>
      </c>
      <c r="B13" s="40">
        <f ca="1">WEEKDAY(B2)</f>
        <v>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workbookViewId="0">
      <selection activeCell="H10" sqref="H10"/>
    </sheetView>
  </sheetViews>
  <sheetFormatPr defaultRowHeight="16.5"/>
  <cols>
    <col min="1" max="1" width="9.875" style="46" bestFit="1" customWidth="1"/>
    <col min="2" max="2" width="11" style="46" bestFit="1" customWidth="1"/>
    <col min="3" max="3" width="13.5" style="46" customWidth="1"/>
    <col min="4" max="4" width="15.5" style="46" bestFit="1" customWidth="1"/>
    <col min="5" max="5" width="19.875" style="46" bestFit="1" customWidth="1"/>
    <col min="6" max="16384" width="9" style="46"/>
  </cols>
  <sheetData>
    <row r="2" spans="1:5">
      <c r="A2" s="46" t="s">
        <v>78</v>
      </c>
    </row>
    <row r="3" spans="1:5">
      <c r="A3" s="47" t="s">
        <v>79</v>
      </c>
      <c r="B3" s="47" t="s">
        <v>80</v>
      </c>
      <c r="C3" s="47" t="s">
        <v>81</v>
      </c>
      <c r="D3" s="48" t="s">
        <v>82</v>
      </c>
      <c r="E3" s="48" t="s">
        <v>83</v>
      </c>
    </row>
    <row r="4" spans="1:5">
      <c r="A4" s="49">
        <v>42491</v>
      </c>
      <c r="B4" s="47" t="s">
        <v>84</v>
      </c>
      <c r="C4" s="44">
        <v>170000</v>
      </c>
      <c r="D4" s="49">
        <f>EDATE(A4, 3)</f>
        <v>42583</v>
      </c>
      <c r="E4" s="49">
        <f>EOMONTH(A4, 3)</f>
        <v>42613</v>
      </c>
    </row>
    <row r="5" spans="1:5">
      <c r="A5" s="49">
        <v>42505</v>
      </c>
      <c r="B5" s="47" t="s">
        <v>85</v>
      </c>
      <c r="C5" s="44">
        <v>1200000</v>
      </c>
      <c r="D5" s="49">
        <f t="shared" ref="D5:D9" si="0">EDATE(A5, 3)</f>
        <v>42597</v>
      </c>
      <c r="E5" s="49">
        <f t="shared" ref="E5:E9" si="1">EOMONTH(A5, 3)</f>
        <v>42613</v>
      </c>
    </row>
    <row r="6" spans="1:5">
      <c r="A6" s="49">
        <v>42523</v>
      </c>
      <c r="B6" s="47" t="s">
        <v>86</v>
      </c>
      <c r="C6" s="44">
        <v>500000</v>
      </c>
      <c r="D6" s="49">
        <f t="shared" si="0"/>
        <v>42615</v>
      </c>
      <c r="E6" s="49">
        <f t="shared" si="1"/>
        <v>42643</v>
      </c>
    </row>
    <row r="7" spans="1:5">
      <c r="A7" s="49">
        <v>42541</v>
      </c>
      <c r="B7" s="47" t="s">
        <v>87</v>
      </c>
      <c r="C7" s="44">
        <v>380000</v>
      </c>
      <c r="D7" s="49">
        <f t="shared" si="0"/>
        <v>42633</v>
      </c>
      <c r="E7" s="49">
        <f t="shared" si="1"/>
        <v>42643</v>
      </c>
    </row>
    <row r="8" spans="1:5">
      <c r="A8" s="49">
        <v>42556</v>
      </c>
      <c r="B8" s="47" t="s">
        <v>88</v>
      </c>
      <c r="C8" s="44">
        <v>1500000</v>
      </c>
      <c r="D8" s="49">
        <f t="shared" si="0"/>
        <v>42648</v>
      </c>
      <c r="E8" s="49">
        <f t="shared" si="1"/>
        <v>42674</v>
      </c>
    </row>
    <row r="9" spans="1:5">
      <c r="A9" s="49">
        <v>42569</v>
      </c>
      <c r="B9" s="47" t="s">
        <v>89</v>
      </c>
      <c r="C9" s="44">
        <v>120000</v>
      </c>
      <c r="D9" s="49">
        <f t="shared" si="0"/>
        <v>42661</v>
      </c>
      <c r="E9" s="49">
        <f t="shared" si="1"/>
        <v>42674</v>
      </c>
    </row>
    <row r="11" spans="1:5">
      <c r="A11" s="46" t="s">
        <v>90</v>
      </c>
    </row>
    <row r="12" spans="1:5">
      <c r="A12" s="47" t="s">
        <v>91</v>
      </c>
      <c r="B12" s="50" t="s">
        <v>92</v>
      </c>
      <c r="C12" s="48" t="s">
        <v>93</v>
      </c>
    </row>
    <row r="13" spans="1:5">
      <c r="A13" s="49">
        <v>42652</v>
      </c>
      <c r="B13" s="47">
        <v>3</v>
      </c>
      <c r="C13" s="49">
        <f>WORKDAY(A13, 3)</f>
        <v>42655</v>
      </c>
    </row>
    <row r="14" spans="1:5">
      <c r="A14" s="49">
        <v>42663</v>
      </c>
      <c r="B14" s="47">
        <v>2</v>
      </c>
      <c r="C14" s="49">
        <f t="shared" ref="C14:C17" si="2">WORKDAY(A14, 3)</f>
        <v>42668</v>
      </c>
    </row>
    <row r="15" spans="1:5">
      <c r="A15" s="49">
        <v>42674</v>
      </c>
      <c r="B15" s="47">
        <v>5</v>
      </c>
      <c r="C15" s="49">
        <f t="shared" si="2"/>
        <v>42677</v>
      </c>
    </row>
    <row r="16" spans="1:5">
      <c r="A16" s="49">
        <v>42679</v>
      </c>
      <c r="B16" s="47">
        <v>3</v>
      </c>
      <c r="C16" s="49">
        <f t="shared" si="2"/>
        <v>42683</v>
      </c>
    </row>
    <row r="17" spans="1:3">
      <c r="A17" s="49">
        <v>42694</v>
      </c>
      <c r="B17" s="47">
        <v>4</v>
      </c>
      <c r="C17" s="49">
        <f t="shared" si="2"/>
        <v>42697</v>
      </c>
    </row>
    <row r="19" spans="1:3">
      <c r="A19" s="46" t="s">
        <v>94</v>
      </c>
    </row>
    <row r="20" spans="1:3">
      <c r="A20" s="47" t="s">
        <v>95</v>
      </c>
      <c r="B20" s="47" t="s">
        <v>96</v>
      </c>
      <c r="C20" s="48" t="s">
        <v>97</v>
      </c>
    </row>
    <row r="21" spans="1:3">
      <c r="A21" s="51">
        <v>42374</v>
      </c>
      <c r="B21" s="51">
        <v>42493</v>
      </c>
      <c r="C21" s="45">
        <f>YEARFRAC(A21,B21)</f>
        <v>0.32777777777777778</v>
      </c>
    </row>
    <row r="22" spans="1:3">
      <c r="A22" s="51">
        <v>42389</v>
      </c>
      <c r="B22" s="51">
        <v>42541</v>
      </c>
      <c r="C22" s="45">
        <f t="shared" ref="C22:C26" si="3">YEARFRAC(A22,B22)</f>
        <v>0.41666666666666669</v>
      </c>
    </row>
    <row r="23" spans="1:3">
      <c r="A23" s="51">
        <v>42412</v>
      </c>
      <c r="B23" s="51">
        <v>42596</v>
      </c>
      <c r="C23" s="45">
        <f t="shared" si="3"/>
        <v>0.50555555555555554</v>
      </c>
    </row>
    <row r="24" spans="1:3">
      <c r="A24" s="51">
        <v>42425</v>
      </c>
      <c r="B24" s="51">
        <v>42633</v>
      </c>
      <c r="C24" s="45">
        <f t="shared" si="3"/>
        <v>0.56944444444444442</v>
      </c>
    </row>
    <row r="25" spans="1:3">
      <c r="A25" s="51">
        <v>42434</v>
      </c>
      <c r="B25" s="51">
        <v>42673</v>
      </c>
      <c r="C25" s="45">
        <f t="shared" si="3"/>
        <v>0.65277777777777779</v>
      </c>
    </row>
    <row r="26" spans="1:3">
      <c r="A26" s="51">
        <v>42447</v>
      </c>
      <c r="B26" s="51">
        <v>42734</v>
      </c>
      <c r="C26" s="45">
        <f t="shared" si="3"/>
        <v>0.78333333333333333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workbookViewId="0"/>
  </sheetViews>
  <sheetFormatPr defaultRowHeight="16.5"/>
  <cols>
    <col min="1" max="1" width="9.875" style="46" bestFit="1" customWidth="1"/>
    <col min="2" max="2" width="11" style="46" bestFit="1" customWidth="1"/>
    <col min="3" max="3" width="13.5" style="46" customWidth="1"/>
    <col min="4" max="4" width="15.5" style="46" bestFit="1" customWidth="1"/>
    <col min="5" max="5" width="19.875" style="46" bestFit="1" customWidth="1"/>
    <col min="6" max="16384" width="9" style="46"/>
  </cols>
  <sheetData>
    <row r="2" spans="1:5">
      <c r="A2" s="46" t="s">
        <v>78</v>
      </c>
    </row>
    <row r="3" spans="1:5">
      <c r="A3" s="47" t="s">
        <v>79</v>
      </c>
      <c r="B3" s="47" t="s">
        <v>80</v>
      </c>
      <c r="C3" s="47" t="s">
        <v>81</v>
      </c>
      <c r="D3" s="48" t="s">
        <v>82</v>
      </c>
      <c r="E3" s="48" t="s">
        <v>83</v>
      </c>
    </row>
    <row r="4" spans="1:5">
      <c r="A4" s="49">
        <v>42491</v>
      </c>
      <c r="B4" s="47" t="s">
        <v>84</v>
      </c>
      <c r="C4" s="44">
        <v>170000</v>
      </c>
      <c r="D4" s="43">
        <f>EDATE(A4,3)</f>
        <v>42583</v>
      </c>
      <c r="E4" s="43">
        <f>EOMONTH(A4,3)</f>
        <v>42613</v>
      </c>
    </row>
    <row r="5" spans="1:5">
      <c r="A5" s="49">
        <v>42505</v>
      </c>
      <c r="B5" s="47" t="s">
        <v>85</v>
      </c>
      <c r="C5" s="44">
        <v>1200000</v>
      </c>
      <c r="D5" s="43">
        <f t="shared" ref="D5:D9" si="0">EDATE(A5,3)</f>
        <v>42597</v>
      </c>
      <c r="E5" s="43">
        <f t="shared" ref="E5:E9" si="1">EOMONTH(A5,3)</f>
        <v>42613</v>
      </c>
    </row>
    <row r="6" spans="1:5">
      <c r="A6" s="49">
        <v>42523</v>
      </c>
      <c r="B6" s="47" t="s">
        <v>86</v>
      </c>
      <c r="C6" s="44">
        <v>500000</v>
      </c>
      <c r="D6" s="43">
        <f t="shared" si="0"/>
        <v>42615</v>
      </c>
      <c r="E6" s="43">
        <f t="shared" si="1"/>
        <v>42643</v>
      </c>
    </row>
    <row r="7" spans="1:5">
      <c r="A7" s="49">
        <v>42541</v>
      </c>
      <c r="B7" s="47" t="s">
        <v>87</v>
      </c>
      <c r="C7" s="44">
        <v>380000</v>
      </c>
      <c r="D7" s="43">
        <f t="shared" si="0"/>
        <v>42633</v>
      </c>
      <c r="E7" s="43">
        <f t="shared" si="1"/>
        <v>42643</v>
      </c>
    </row>
    <row r="8" spans="1:5">
      <c r="A8" s="49">
        <v>42556</v>
      </c>
      <c r="B8" s="47" t="s">
        <v>88</v>
      </c>
      <c r="C8" s="44">
        <v>1500000</v>
      </c>
      <c r="D8" s="43">
        <f t="shared" si="0"/>
        <v>42648</v>
      </c>
      <c r="E8" s="43">
        <f t="shared" si="1"/>
        <v>42674</v>
      </c>
    </row>
    <row r="9" spans="1:5">
      <c r="A9" s="49">
        <v>42569</v>
      </c>
      <c r="B9" s="47" t="s">
        <v>89</v>
      </c>
      <c r="C9" s="44">
        <v>120000</v>
      </c>
      <c r="D9" s="43">
        <f t="shared" si="0"/>
        <v>42661</v>
      </c>
      <c r="E9" s="43">
        <f t="shared" si="1"/>
        <v>42674</v>
      </c>
    </row>
    <row r="11" spans="1:5">
      <c r="A11" s="46" t="s">
        <v>90</v>
      </c>
    </row>
    <row r="12" spans="1:5">
      <c r="A12" s="47" t="s">
        <v>91</v>
      </c>
      <c r="B12" s="50" t="s">
        <v>92</v>
      </c>
      <c r="C12" s="48" t="s">
        <v>93</v>
      </c>
    </row>
    <row r="13" spans="1:5">
      <c r="A13" s="49">
        <v>42652</v>
      </c>
      <c r="B13" s="47">
        <v>3</v>
      </c>
      <c r="C13" s="43">
        <f>WORKDAY(A13,B13)</f>
        <v>42655</v>
      </c>
    </row>
    <row r="14" spans="1:5">
      <c r="A14" s="49">
        <v>42663</v>
      </c>
      <c r="B14" s="47">
        <v>2</v>
      </c>
      <c r="C14" s="43">
        <f t="shared" ref="C14:C17" si="2">WORKDAY(A14,B14)</f>
        <v>42667</v>
      </c>
    </row>
    <row r="15" spans="1:5">
      <c r="A15" s="49">
        <v>42674</v>
      </c>
      <c r="B15" s="47">
        <v>5</v>
      </c>
      <c r="C15" s="43">
        <f t="shared" si="2"/>
        <v>42681</v>
      </c>
    </row>
    <row r="16" spans="1:5">
      <c r="A16" s="49">
        <v>42679</v>
      </c>
      <c r="B16" s="47">
        <v>3</v>
      </c>
      <c r="C16" s="43">
        <f t="shared" si="2"/>
        <v>42683</v>
      </c>
    </row>
    <row r="17" spans="1:3">
      <c r="A17" s="49">
        <v>42694</v>
      </c>
      <c r="B17" s="47">
        <v>4</v>
      </c>
      <c r="C17" s="43">
        <f t="shared" si="2"/>
        <v>42698</v>
      </c>
    </row>
    <row r="19" spans="1:3">
      <c r="A19" s="46" t="s">
        <v>94</v>
      </c>
    </row>
    <row r="20" spans="1:3">
      <c r="A20" s="47" t="s">
        <v>95</v>
      </c>
      <c r="B20" s="47" t="s">
        <v>96</v>
      </c>
      <c r="C20" s="48" t="s">
        <v>97</v>
      </c>
    </row>
    <row r="21" spans="1:3">
      <c r="A21" s="51">
        <v>42374</v>
      </c>
      <c r="B21" s="51">
        <v>42493</v>
      </c>
      <c r="C21" s="45">
        <f>YEARFRAC(A21,B21,3)</f>
        <v>0.32602739726027397</v>
      </c>
    </row>
    <row r="22" spans="1:3">
      <c r="A22" s="51">
        <v>42389</v>
      </c>
      <c r="B22" s="51">
        <v>42541</v>
      </c>
      <c r="C22" s="45">
        <f t="shared" ref="C22:C26" si="3">YEARFRAC(A22,B22,3)</f>
        <v>0.41643835616438357</v>
      </c>
    </row>
    <row r="23" spans="1:3">
      <c r="A23" s="51">
        <v>42412</v>
      </c>
      <c r="B23" s="51">
        <v>42596</v>
      </c>
      <c r="C23" s="45">
        <f t="shared" si="3"/>
        <v>0.50410958904109593</v>
      </c>
    </row>
    <row r="24" spans="1:3">
      <c r="A24" s="51">
        <v>42425</v>
      </c>
      <c r="B24" s="51">
        <v>42633</v>
      </c>
      <c r="C24" s="45">
        <f t="shared" si="3"/>
        <v>0.56986301369863013</v>
      </c>
    </row>
    <row r="25" spans="1:3">
      <c r="A25" s="51">
        <v>42434</v>
      </c>
      <c r="B25" s="51">
        <v>42673</v>
      </c>
      <c r="C25" s="45">
        <f t="shared" si="3"/>
        <v>0.65479452054794518</v>
      </c>
    </row>
    <row r="26" spans="1:3">
      <c r="A26" s="51">
        <v>42447</v>
      </c>
      <c r="B26" s="51">
        <v>42734</v>
      </c>
      <c r="C26" s="45">
        <f t="shared" si="3"/>
        <v>0.78630136986301369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Formulas="1" workbookViewId="0">
      <selection activeCell="F32" sqref="F32"/>
    </sheetView>
  </sheetViews>
  <sheetFormatPr defaultRowHeight="16.5"/>
  <cols>
    <col min="1" max="1" width="9" style="59"/>
    <col min="2" max="2" width="11.5" style="59" bestFit="1" customWidth="1"/>
    <col min="3" max="3" width="11.125" style="59" bestFit="1" customWidth="1"/>
    <col min="4" max="4" width="16.625" style="59" bestFit="1" customWidth="1"/>
    <col min="5" max="5" width="3.125" style="59" customWidth="1"/>
    <col min="6" max="9" width="9" style="59"/>
    <col min="10" max="10" width="18.625" style="59" bestFit="1" customWidth="1"/>
    <col min="11" max="12" width="9" style="59"/>
    <col min="13" max="13" width="11.125" style="59" bestFit="1" customWidth="1"/>
    <col min="14" max="16384" width="9" style="59"/>
  </cols>
  <sheetData>
    <row r="1" spans="1:10">
      <c r="A1" s="59" t="s">
        <v>115</v>
      </c>
      <c r="F1" s="59" t="s">
        <v>116</v>
      </c>
    </row>
    <row r="2" spans="1:10">
      <c r="A2" s="31" t="s">
        <v>117</v>
      </c>
      <c r="B2" s="31" t="s">
        <v>118</v>
      </c>
      <c r="C2" s="31" t="s">
        <v>119</v>
      </c>
      <c r="D2" s="29" t="s">
        <v>120</v>
      </c>
      <c r="F2" s="34" t="s">
        <v>117</v>
      </c>
      <c r="G2" s="53" t="s">
        <v>98</v>
      </c>
      <c r="H2" s="34" t="s">
        <v>121</v>
      </c>
      <c r="I2" s="29" t="s">
        <v>122</v>
      </c>
    </row>
    <row r="3" spans="1:10">
      <c r="A3" s="34">
        <v>1001</v>
      </c>
      <c r="B3" s="34" t="s">
        <v>123</v>
      </c>
      <c r="C3" s="7">
        <v>78</v>
      </c>
      <c r="D3" s="34" t="str">
        <f>IF(C3&gt;=70, "합격", "불합격")</f>
        <v>합격</v>
      </c>
      <c r="F3" s="34">
        <v>1001</v>
      </c>
      <c r="G3" s="53" t="s">
        <v>124</v>
      </c>
      <c r="H3" s="34">
        <v>95</v>
      </c>
      <c r="I3" s="34" t="str">
        <f>IF(H3&gt;90, "기획부", IF(H3&gt;80, "총무부", "영업부"))</f>
        <v>기획부</v>
      </c>
    </row>
    <row r="4" spans="1:10">
      <c r="A4" s="34">
        <v>1002</v>
      </c>
      <c r="B4" s="34" t="s">
        <v>125</v>
      </c>
      <c r="C4" s="7">
        <v>65</v>
      </c>
      <c r="D4" s="198" t="str">
        <f t="shared" ref="D4:D11" si="0">IF(C4&gt;=70, "합격", "불합격")</f>
        <v>불합격</v>
      </c>
      <c r="F4" s="34">
        <v>1002</v>
      </c>
      <c r="G4" s="53" t="s">
        <v>126</v>
      </c>
      <c r="H4" s="34">
        <v>74</v>
      </c>
      <c r="I4" s="198" t="str">
        <f t="shared" ref="I4:I9" si="1">IF(H4&gt;90, "기획부", IF(H4&gt;80, "총무부", "영업부"))</f>
        <v>영업부</v>
      </c>
    </row>
    <row r="5" spans="1:10">
      <c r="A5" s="34">
        <v>1003</v>
      </c>
      <c r="B5" s="34" t="s">
        <v>127</v>
      </c>
      <c r="C5" s="7">
        <v>80</v>
      </c>
      <c r="D5" s="198" t="str">
        <f t="shared" si="0"/>
        <v>합격</v>
      </c>
      <c r="F5" s="34">
        <v>1003</v>
      </c>
      <c r="G5" s="53" t="s">
        <v>128</v>
      </c>
      <c r="H5" s="34">
        <v>85</v>
      </c>
      <c r="I5" s="198" t="str">
        <f t="shared" si="1"/>
        <v>총무부</v>
      </c>
    </row>
    <row r="6" spans="1:10">
      <c r="A6" s="34">
        <v>1004</v>
      </c>
      <c r="B6" s="34" t="s">
        <v>129</v>
      </c>
      <c r="C6" s="7">
        <v>90</v>
      </c>
      <c r="D6" s="198" t="str">
        <f t="shared" si="0"/>
        <v>합격</v>
      </c>
      <c r="F6" s="34">
        <v>1004</v>
      </c>
      <c r="G6" s="53" t="s">
        <v>130</v>
      </c>
      <c r="H6" s="34">
        <v>88</v>
      </c>
      <c r="I6" s="198" t="str">
        <f t="shared" si="1"/>
        <v>총무부</v>
      </c>
    </row>
    <row r="7" spans="1:10">
      <c r="A7" s="34">
        <v>1005</v>
      </c>
      <c r="B7" s="34" t="s">
        <v>131</v>
      </c>
      <c r="C7" s="7">
        <v>52</v>
      </c>
      <c r="D7" s="198" t="str">
        <f t="shared" si="0"/>
        <v>불합격</v>
      </c>
      <c r="F7" s="34">
        <v>1005</v>
      </c>
      <c r="G7" s="53" t="s">
        <v>132</v>
      </c>
      <c r="H7" s="34">
        <v>60</v>
      </c>
      <c r="I7" s="198" t="str">
        <f t="shared" si="1"/>
        <v>영업부</v>
      </c>
    </row>
    <row r="8" spans="1:10">
      <c r="A8" s="34">
        <v>1006</v>
      </c>
      <c r="B8" s="34" t="s">
        <v>133</v>
      </c>
      <c r="C8" s="7">
        <v>42</v>
      </c>
      <c r="D8" s="198" t="str">
        <f t="shared" si="0"/>
        <v>불합격</v>
      </c>
      <c r="F8" s="34">
        <v>1006</v>
      </c>
      <c r="G8" s="53" t="s">
        <v>134</v>
      </c>
      <c r="H8" s="34">
        <v>92</v>
      </c>
      <c r="I8" s="198" t="str">
        <f t="shared" si="1"/>
        <v>기획부</v>
      </c>
    </row>
    <row r="9" spans="1:10">
      <c r="A9" s="34">
        <v>1007</v>
      </c>
      <c r="B9" s="34" t="s">
        <v>135</v>
      </c>
      <c r="C9" s="7">
        <v>80</v>
      </c>
      <c r="D9" s="198" t="str">
        <f t="shared" si="0"/>
        <v>합격</v>
      </c>
      <c r="F9" s="34">
        <v>1007</v>
      </c>
      <c r="G9" s="53" t="s">
        <v>136</v>
      </c>
      <c r="H9" s="34">
        <v>72</v>
      </c>
      <c r="I9" s="198" t="str">
        <f t="shared" si="1"/>
        <v>영업부</v>
      </c>
    </row>
    <row r="10" spans="1:10">
      <c r="A10" s="34">
        <v>1008</v>
      </c>
      <c r="B10" s="34" t="s">
        <v>137</v>
      </c>
      <c r="C10" s="7">
        <v>69</v>
      </c>
      <c r="D10" s="198" t="str">
        <f t="shared" si="0"/>
        <v>불합격</v>
      </c>
    </row>
    <row r="11" spans="1:10">
      <c r="A11" s="34">
        <v>1009</v>
      </c>
      <c r="B11" s="34" t="s">
        <v>138</v>
      </c>
      <c r="C11" s="7">
        <v>75</v>
      </c>
      <c r="D11" s="198" t="str">
        <f t="shared" si="0"/>
        <v>합격</v>
      </c>
    </row>
    <row r="13" spans="1:10">
      <c r="A13" s="59" t="s">
        <v>139</v>
      </c>
      <c r="F13" s="59" t="s">
        <v>140</v>
      </c>
      <c r="G13" s="60"/>
      <c r="H13" s="60"/>
      <c r="I13" s="60"/>
      <c r="J13" s="60"/>
    </row>
    <row r="14" spans="1:10">
      <c r="A14" s="34" t="s">
        <v>141</v>
      </c>
      <c r="B14" s="53" t="s">
        <v>142</v>
      </c>
      <c r="C14" s="53" t="s">
        <v>143</v>
      </c>
      <c r="D14" s="29" t="s">
        <v>144</v>
      </c>
      <c r="F14" s="61" t="s">
        <v>145</v>
      </c>
      <c r="G14" s="53" t="s">
        <v>146</v>
      </c>
      <c r="H14" s="53" t="s">
        <v>147</v>
      </c>
      <c r="I14" s="53" t="s">
        <v>148</v>
      </c>
      <c r="J14" s="62" t="s">
        <v>120</v>
      </c>
    </row>
    <row r="15" spans="1:10">
      <c r="A15" s="34" t="s">
        <v>99</v>
      </c>
      <c r="B15" s="54">
        <v>10</v>
      </c>
      <c r="C15" s="54">
        <v>100000</v>
      </c>
      <c r="D15" s="54" t="str">
        <f>IF(AND(B15&gt;=15, C15&gt;=100000), "승진", "")</f>
        <v/>
      </c>
      <c r="F15" s="61">
        <v>2002001</v>
      </c>
      <c r="G15" s="61" t="s">
        <v>149</v>
      </c>
      <c r="H15" s="61">
        <v>77</v>
      </c>
      <c r="I15" s="61">
        <v>86</v>
      </c>
      <c r="J15" s="53" t="str">
        <f>IF(OR(H15&gt;=85, I15&gt;=85), "이수", "")</f>
        <v>이수</v>
      </c>
    </row>
    <row r="16" spans="1:10">
      <c r="A16" s="34" t="s">
        <v>100</v>
      </c>
      <c r="B16" s="54">
        <v>17</v>
      </c>
      <c r="C16" s="54">
        <v>150000</v>
      </c>
      <c r="D16" s="54" t="str">
        <f t="shared" ref="D16:D21" si="2">IF(AND(B16&gt;=15, C16&gt;=100000), "승진", "")</f>
        <v>승진</v>
      </c>
      <c r="F16" s="61">
        <v>2002002</v>
      </c>
      <c r="G16" s="61" t="s">
        <v>150</v>
      </c>
      <c r="H16" s="61">
        <v>56</v>
      </c>
      <c r="I16" s="61">
        <v>100</v>
      </c>
      <c r="J16" s="53" t="str">
        <f t="shared" ref="J16:J23" si="3">IF(OR(H16&gt;=85, I16&gt;=85), "이수", "")</f>
        <v>이수</v>
      </c>
    </row>
    <row r="17" spans="1:10">
      <c r="A17" s="34" t="s">
        <v>101</v>
      </c>
      <c r="B17" s="54">
        <v>15</v>
      </c>
      <c r="C17" s="54">
        <v>50000</v>
      </c>
      <c r="D17" s="54" t="str">
        <f t="shared" si="2"/>
        <v/>
      </c>
      <c r="F17" s="61">
        <v>2002003</v>
      </c>
      <c r="G17" s="61" t="s">
        <v>151</v>
      </c>
      <c r="H17" s="61">
        <v>76</v>
      </c>
      <c r="I17" s="61">
        <v>84</v>
      </c>
      <c r="J17" s="53" t="str">
        <f t="shared" si="3"/>
        <v/>
      </c>
    </row>
    <row r="18" spans="1:10">
      <c r="A18" s="34" t="s">
        <v>102</v>
      </c>
      <c r="B18" s="54">
        <v>25</v>
      </c>
      <c r="C18" s="54">
        <v>65000</v>
      </c>
      <c r="D18" s="54" t="str">
        <f t="shared" si="2"/>
        <v/>
      </c>
      <c r="F18" s="61">
        <v>2002004</v>
      </c>
      <c r="G18" s="61" t="s">
        <v>152</v>
      </c>
      <c r="H18" s="61">
        <v>56</v>
      </c>
      <c r="I18" s="61">
        <v>78</v>
      </c>
      <c r="J18" s="53" t="str">
        <f t="shared" si="3"/>
        <v/>
      </c>
    </row>
    <row r="19" spans="1:10">
      <c r="A19" s="34" t="s">
        <v>103</v>
      </c>
      <c r="B19" s="54">
        <v>15</v>
      </c>
      <c r="C19" s="54">
        <v>134000</v>
      </c>
      <c r="D19" s="54" t="str">
        <f t="shared" si="2"/>
        <v>승진</v>
      </c>
      <c r="F19" s="61">
        <v>2002005</v>
      </c>
      <c r="G19" s="61" t="s">
        <v>153</v>
      </c>
      <c r="H19" s="61">
        <v>88</v>
      </c>
      <c r="I19" s="61">
        <v>96</v>
      </c>
      <c r="J19" s="53" t="str">
        <f t="shared" si="3"/>
        <v>이수</v>
      </c>
    </row>
    <row r="20" spans="1:10">
      <c r="A20" s="34" t="s">
        <v>104</v>
      </c>
      <c r="B20" s="54">
        <v>9</v>
      </c>
      <c r="C20" s="54">
        <v>74000</v>
      </c>
      <c r="D20" s="54" t="str">
        <f t="shared" si="2"/>
        <v/>
      </c>
      <c r="F20" s="61">
        <v>2002006</v>
      </c>
      <c r="G20" s="61" t="s">
        <v>154</v>
      </c>
      <c r="H20" s="61">
        <v>78</v>
      </c>
      <c r="I20" s="61">
        <v>56</v>
      </c>
      <c r="J20" s="53" t="str">
        <f t="shared" si="3"/>
        <v/>
      </c>
    </row>
    <row r="21" spans="1:10">
      <c r="A21" s="34" t="s">
        <v>105</v>
      </c>
      <c r="B21" s="54">
        <v>12</v>
      </c>
      <c r="C21" s="54">
        <v>95000</v>
      </c>
      <c r="D21" s="54" t="str">
        <f t="shared" si="2"/>
        <v/>
      </c>
      <c r="F21" s="61">
        <v>2002007</v>
      </c>
      <c r="G21" s="61" t="s">
        <v>155</v>
      </c>
      <c r="H21" s="61">
        <v>67</v>
      </c>
      <c r="I21" s="61">
        <v>78</v>
      </c>
      <c r="J21" s="53" t="str">
        <f t="shared" si="3"/>
        <v/>
      </c>
    </row>
    <row r="22" spans="1:10">
      <c r="F22" s="61">
        <v>2002008</v>
      </c>
      <c r="G22" s="61" t="s">
        <v>156</v>
      </c>
      <c r="H22" s="61">
        <v>100</v>
      </c>
      <c r="I22" s="61">
        <v>86</v>
      </c>
      <c r="J22" s="53" t="str">
        <f t="shared" si="3"/>
        <v>이수</v>
      </c>
    </row>
    <row r="23" spans="1:10">
      <c r="A23" s="55" t="s">
        <v>157</v>
      </c>
      <c r="F23" s="61">
        <v>2002009</v>
      </c>
      <c r="G23" s="61" t="s">
        <v>158</v>
      </c>
      <c r="H23" s="61">
        <v>42</v>
      </c>
      <c r="I23" s="61">
        <v>56</v>
      </c>
      <c r="J23" s="53" t="str">
        <f t="shared" si="3"/>
        <v/>
      </c>
    </row>
    <row r="24" spans="1:10">
      <c r="A24" s="200" t="s">
        <v>146</v>
      </c>
      <c r="B24" s="200" t="s">
        <v>159</v>
      </c>
      <c r="C24" s="200" t="s">
        <v>160</v>
      </c>
      <c r="D24" s="200"/>
    </row>
    <row r="25" spans="1:10">
      <c r="A25" s="200"/>
      <c r="B25" s="200"/>
      <c r="C25" s="34" t="s">
        <v>161</v>
      </c>
      <c r="D25" s="56" t="s">
        <v>162</v>
      </c>
    </row>
    <row r="26" spans="1:10">
      <c r="A26" s="34" t="s">
        <v>106</v>
      </c>
      <c r="B26" s="63">
        <v>1850000</v>
      </c>
      <c r="C26" s="57">
        <v>2</v>
      </c>
      <c r="D26" s="58">
        <f>IFERROR(C26*100000,"입력오류")</f>
        <v>200000</v>
      </c>
    </row>
    <row r="27" spans="1:10">
      <c r="A27" s="34" t="s">
        <v>107</v>
      </c>
      <c r="B27" s="63">
        <v>1570000</v>
      </c>
      <c r="C27" s="57">
        <v>1</v>
      </c>
      <c r="D27" s="199">
        <f t="shared" ref="D27:D34" si="4">IFERROR(C27*100000,"입력오류")</f>
        <v>100000</v>
      </c>
    </row>
    <row r="28" spans="1:10">
      <c r="A28" s="34" t="s">
        <v>108</v>
      </c>
      <c r="B28" s="63">
        <v>1330000</v>
      </c>
      <c r="C28" s="57">
        <v>2</v>
      </c>
      <c r="D28" s="199">
        <f t="shared" si="4"/>
        <v>200000</v>
      </c>
    </row>
    <row r="29" spans="1:10">
      <c r="A29" s="34" t="s">
        <v>109</v>
      </c>
      <c r="B29" s="63">
        <v>1420000</v>
      </c>
      <c r="C29" s="57">
        <v>2</v>
      </c>
      <c r="D29" s="199">
        <f t="shared" si="4"/>
        <v>200000</v>
      </c>
    </row>
    <row r="30" spans="1:10">
      <c r="A30" s="34" t="s">
        <v>110</v>
      </c>
      <c r="B30" s="63">
        <v>1100000</v>
      </c>
      <c r="C30" s="57" t="s">
        <v>163</v>
      </c>
      <c r="D30" s="199" t="str">
        <f t="shared" si="4"/>
        <v>입력오류</v>
      </c>
    </row>
    <row r="31" spans="1:10">
      <c r="A31" s="34" t="s">
        <v>111</v>
      </c>
      <c r="B31" s="63">
        <v>1390000</v>
      </c>
      <c r="C31" s="57">
        <v>1</v>
      </c>
      <c r="D31" s="199">
        <f t="shared" si="4"/>
        <v>100000</v>
      </c>
    </row>
    <row r="32" spans="1:10">
      <c r="A32" s="34" t="s">
        <v>112</v>
      </c>
      <c r="B32" s="63">
        <v>1240000</v>
      </c>
      <c r="C32" s="57" t="s">
        <v>164</v>
      </c>
      <c r="D32" s="199" t="str">
        <f t="shared" si="4"/>
        <v>입력오류</v>
      </c>
    </row>
    <row r="33" spans="1:4">
      <c r="A33" s="34" t="s">
        <v>113</v>
      </c>
      <c r="B33" s="63">
        <v>1480000</v>
      </c>
      <c r="C33" s="57">
        <v>2</v>
      </c>
      <c r="D33" s="199">
        <f t="shared" si="4"/>
        <v>200000</v>
      </c>
    </row>
    <row r="34" spans="1:4">
      <c r="A34" s="34" t="s">
        <v>114</v>
      </c>
      <c r="B34" s="63">
        <v>1350000</v>
      </c>
      <c r="C34" s="57">
        <v>0</v>
      </c>
      <c r="D34" s="199">
        <f t="shared" si="4"/>
        <v>0</v>
      </c>
    </row>
  </sheetData>
  <mergeCells count="3">
    <mergeCell ref="A24:A25"/>
    <mergeCell ref="B24:B25"/>
    <mergeCell ref="C24:D24"/>
  </mergeCells>
  <phoneticPr fontId="2" type="noConversion"/>
  <conditionalFormatting sqref="G3:G9">
    <cfRule type="expression" dxfId="1" priority="1" stopIfTrue="1">
      <formula>#REF!&gt;=95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6.5"/>
  <cols>
    <col min="1" max="1" width="9" style="59"/>
    <col min="2" max="2" width="11.5" style="59" bestFit="1" customWidth="1"/>
    <col min="3" max="3" width="11.125" style="59" bestFit="1" customWidth="1"/>
    <col min="4" max="4" width="11.25" style="59" bestFit="1" customWidth="1"/>
    <col min="5" max="5" width="3.125" style="59" customWidth="1"/>
    <col min="6" max="12" width="9" style="59"/>
    <col min="13" max="13" width="11.125" style="59" bestFit="1" customWidth="1"/>
    <col min="14" max="16384" width="9" style="59"/>
  </cols>
  <sheetData>
    <row r="1" spans="1:10">
      <c r="A1" s="59" t="s">
        <v>115</v>
      </c>
      <c r="F1" s="59" t="s">
        <v>116</v>
      </c>
    </row>
    <row r="2" spans="1:10">
      <c r="A2" s="31" t="s">
        <v>117</v>
      </c>
      <c r="B2" s="31" t="s">
        <v>118</v>
      </c>
      <c r="C2" s="31" t="s">
        <v>119</v>
      </c>
      <c r="D2" s="29" t="s">
        <v>120</v>
      </c>
      <c r="F2" s="34" t="s">
        <v>117</v>
      </c>
      <c r="G2" s="53" t="s">
        <v>98</v>
      </c>
      <c r="H2" s="34" t="s">
        <v>121</v>
      </c>
      <c r="I2" s="29" t="s">
        <v>122</v>
      </c>
    </row>
    <row r="3" spans="1:10">
      <c r="A3" s="34">
        <v>1001</v>
      </c>
      <c r="B3" s="34" t="s">
        <v>123</v>
      </c>
      <c r="C3" s="7">
        <v>78</v>
      </c>
      <c r="D3" s="34" t="str">
        <f>IF(C3&gt;=70,"합격","불합격")</f>
        <v>합격</v>
      </c>
      <c r="F3" s="34">
        <v>1001</v>
      </c>
      <c r="G3" s="53" t="s">
        <v>124</v>
      </c>
      <c r="H3" s="34">
        <v>95</v>
      </c>
      <c r="I3" s="34" t="str">
        <f>IF(H3&gt;=90,"기획부",IF(H3&gt;=80,"총무부","영업부"))</f>
        <v>기획부</v>
      </c>
    </row>
    <row r="4" spans="1:10">
      <c r="A4" s="34">
        <v>1002</v>
      </c>
      <c r="B4" s="34" t="s">
        <v>125</v>
      </c>
      <c r="C4" s="7">
        <v>65</v>
      </c>
      <c r="D4" s="34" t="str">
        <f t="shared" ref="D4:D11" si="0">IF(C4&gt;=70,"합격","불합격")</f>
        <v>불합격</v>
      </c>
      <c r="F4" s="34">
        <v>1002</v>
      </c>
      <c r="G4" s="53" t="s">
        <v>126</v>
      </c>
      <c r="H4" s="34">
        <v>74</v>
      </c>
      <c r="I4" s="34" t="str">
        <f t="shared" ref="I4:I9" si="1">IF(H4&gt;=90,"기획부",IF(H4&gt;=80,"총무부","영업부"))</f>
        <v>영업부</v>
      </c>
    </row>
    <row r="5" spans="1:10">
      <c r="A5" s="34">
        <v>1003</v>
      </c>
      <c r="B5" s="34" t="s">
        <v>127</v>
      </c>
      <c r="C5" s="7">
        <v>80</v>
      </c>
      <c r="D5" s="34" t="str">
        <f t="shared" si="0"/>
        <v>합격</v>
      </c>
      <c r="F5" s="34">
        <v>1003</v>
      </c>
      <c r="G5" s="53" t="s">
        <v>128</v>
      </c>
      <c r="H5" s="34">
        <v>85</v>
      </c>
      <c r="I5" s="34" t="str">
        <f t="shared" si="1"/>
        <v>총무부</v>
      </c>
    </row>
    <row r="6" spans="1:10">
      <c r="A6" s="34">
        <v>1004</v>
      </c>
      <c r="B6" s="34" t="s">
        <v>129</v>
      </c>
      <c r="C6" s="7">
        <v>90</v>
      </c>
      <c r="D6" s="34" t="str">
        <f t="shared" si="0"/>
        <v>합격</v>
      </c>
      <c r="F6" s="34">
        <v>1004</v>
      </c>
      <c r="G6" s="53" t="s">
        <v>130</v>
      </c>
      <c r="H6" s="34">
        <v>88</v>
      </c>
      <c r="I6" s="34" t="str">
        <f t="shared" si="1"/>
        <v>총무부</v>
      </c>
    </row>
    <row r="7" spans="1:10">
      <c r="A7" s="34">
        <v>1005</v>
      </c>
      <c r="B7" s="34" t="s">
        <v>131</v>
      </c>
      <c r="C7" s="7">
        <v>52</v>
      </c>
      <c r="D7" s="34" t="str">
        <f t="shared" si="0"/>
        <v>불합격</v>
      </c>
      <c r="F7" s="34">
        <v>1005</v>
      </c>
      <c r="G7" s="53" t="s">
        <v>132</v>
      </c>
      <c r="H7" s="34">
        <v>60</v>
      </c>
      <c r="I7" s="34" t="str">
        <f t="shared" si="1"/>
        <v>영업부</v>
      </c>
    </row>
    <row r="8" spans="1:10">
      <c r="A8" s="34">
        <v>1006</v>
      </c>
      <c r="B8" s="34" t="s">
        <v>133</v>
      </c>
      <c r="C8" s="7">
        <v>42</v>
      </c>
      <c r="D8" s="34" t="str">
        <f t="shared" si="0"/>
        <v>불합격</v>
      </c>
      <c r="F8" s="34">
        <v>1006</v>
      </c>
      <c r="G8" s="53" t="s">
        <v>134</v>
      </c>
      <c r="H8" s="34">
        <v>92</v>
      </c>
      <c r="I8" s="34" t="str">
        <f t="shared" si="1"/>
        <v>기획부</v>
      </c>
    </row>
    <row r="9" spans="1:10">
      <c r="A9" s="34">
        <v>1007</v>
      </c>
      <c r="B9" s="34" t="s">
        <v>135</v>
      </c>
      <c r="C9" s="7">
        <v>80</v>
      </c>
      <c r="D9" s="34" t="str">
        <f t="shared" si="0"/>
        <v>합격</v>
      </c>
      <c r="F9" s="34">
        <v>1007</v>
      </c>
      <c r="G9" s="53" t="s">
        <v>136</v>
      </c>
      <c r="H9" s="34">
        <v>72</v>
      </c>
      <c r="I9" s="34" t="str">
        <f t="shared" si="1"/>
        <v>영업부</v>
      </c>
    </row>
    <row r="10" spans="1:10">
      <c r="A10" s="34">
        <v>1008</v>
      </c>
      <c r="B10" s="34" t="s">
        <v>137</v>
      </c>
      <c r="C10" s="7">
        <v>69</v>
      </c>
      <c r="D10" s="34" t="str">
        <f t="shared" si="0"/>
        <v>불합격</v>
      </c>
    </row>
    <row r="11" spans="1:10">
      <c r="A11" s="34">
        <v>1009</v>
      </c>
      <c r="B11" s="34" t="s">
        <v>138</v>
      </c>
      <c r="C11" s="7">
        <v>75</v>
      </c>
      <c r="D11" s="34" t="str">
        <f t="shared" si="0"/>
        <v>합격</v>
      </c>
    </row>
    <row r="13" spans="1:10">
      <c r="A13" s="59" t="s">
        <v>139</v>
      </c>
      <c r="F13" s="59" t="s">
        <v>140</v>
      </c>
      <c r="G13" s="60"/>
      <c r="H13" s="60"/>
      <c r="I13" s="60"/>
      <c r="J13" s="60"/>
    </row>
    <row r="14" spans="1:10">
      <c r="A14" s="34" t="s">
        <v>141</v>
      </c>
      <c r="B14" s="53" t="s">
        <v>142</v>
      </c>
      <c r="C14" s="53" t="s">
        <v>143</v>
      </c>
      <c r="D14" s="29" t="s">
        <v>144</v>
      </c>
      <c r="F14" s="61" t="s">
        <v>145</v>
      </c>
      <c r="G14" s="53" t="s">
        <v>146</v>
      </c>
      <c r="H14" s="53" t="s">
        <v>147</v>
      </c>
      <c r="I14" s="53" t="s">
        <v>148</v>
      </c>
      <c r="J14" s="62" t="s">
        <v>120</v>
      </c>
    </row>
    <row r="15" spans="1:10">
      <c r="A15" s="34" t="s">
        <v>99</v>
      </c>
      <c r="B15" s="54">
        <v>10</v>
      </c>
      <c r="C15" s="54">
        <v>100000</v>
      </c>
      <c r="D15" s="54" t="str">
        <f>IF(AND(B15&gt;=15,C15&gt;=100000),"승진","")</f>
        <v/>
      </c>
      <c r="F15" s="61">
        <v>2002001</v>
      </c>
      <c r="G15" s="61" t="s">
        <v>149</v>
      </c>
      <c r="H15" s="61">
        <v>77</v>
      </c>
      <c r="I15" s="61">
        <v>86</v>
      </c>
      <c r="J15" s="53" t="str">
        <f>IF(OR(H15&gt;=85,I15&gt;=85),"이수","")</f>
        <v>이수</v>
      </c>
    </row>
    <row r="16" spans="1:10">
      <c r="A16" s="34" t="s">
        <v>100</v>
      </c>
      <c r="B16" s="54">
        <v>17</v>
      </c>
      <c r="C16" s="54">
        <v>150000</v>
      </c>
      <c r="D16" s="54" t="str">
        <f t="shared" ref="D16:D21" si="2">IF(AND(B16&gt;=15,C16&gt;=100000),"승진","")</f>
        <v>승진</v>
      </c>
      <c r="F16" s="61">
        <v>2002002</v>
      </c>
      <c r="G16" s="61" t="s">
        <v>150</v>
      </c>
      <c r="H16" s="61">
        <v>56</v>
      </c>
      <c r="I16" s="61">
        <v>100</v>
      </c>
      <c r="J16" s="53" t="str">
        <f t="shared" ref="J16:J23" si="3">IF(OR(H16&gt;=85,I16&gt;=85),"이수","")</f>
        <v>이수</v>
      </c>
    </row>
    <row r="17" spans="1:10">
      <c r="A17" s="34" t="s">
        <v>101</v>
      </c>
      <c r="B17" s="54">
        <v>15</v>
      </c>
      <c r="C17" s="54">
        <v>50000</v>
      </c>
      <c r="D17" s="54" t="str">
        <f t="shared" si="2"/>
        <v/>
      </c>
      <c r="F17" s="61">
        <v>2002003</v>
      </c>
      <c r="G17" s="61" t="s">
        <v>151</v>
      </c>
      <c r="H17" s="61">
        <v>76</v>
      </c>
      <c r="I17" s="61">
        <v>84</v>
      </c>
      <c r="J17" s="53" t="str">
        <f t="shared" si="3"/>
        <v/>
      </c>
    </row>
    <row r="18" spans="1:10">
      <c r="A18" s="34" t="s">
        <v>102</v>
      </c>
      <c r="B18" s="54">
        <v>25</v>
      </c>
      <c r="C18" s="54">
        <v>65000</v>
      </c>
      <c r="D18" s="54" t="str">
        <f t="shared" si="2"/>
        <v/>
      </c>
      <c r="F18" s="61">
        <v>2002004</v>
      </c>
      <c r="G18" s="61" t="s">
        <v>152</v>
      </c>
      <c r="H18" s="61">
        <v>56</v>
      </c>
      <c r="I18" s="61">
        <v>78</v>
      </c>
      <c r="J18" s="53" t="str">
        <f t="shared" si="3"/>
        <v/>
      </c>
    </row>
    <row r="19" spans="1:10">
      <c r="A19" s="34" t="s">
        <v>103</v>
      </c>
      <c r="B19" s="54">
        <v>15</v>
      </c>
      <c r="C19" s="54">
        <v>134000</v>
      </c>
      <c r="D19" s="54" t="str">
        <f t="shared" si="2"/>
        <v>승진</v>
      </c>
      <c r="F19" s="61">
        <v>2002005</v>
      </c>
      <c r="G19" s="61" t="s">
        <v>153</v>
      </c>
      <c r="H19" s="61">
        <v>88</v>
      </c>
      <c r="I19" s="61">
        <v>96</v>
      </c>
      <c r="J19" s="53" t="str">
        <f t="shared" si="3"/>
        <v>이수</v>
      </c>
    </row>
    <row r="20" spans="1:10">
      <c r="A20" s="34" t="s">
        <v>104</v>
      </c>
      <c r="B20" s="54">
        <v>9</v>
      </c>
      <c r="C20" s="54">
        <v>74000</v>
      </c>
      <c r="D20" s="54" t="str">
        <f t="shared" si="2"/>
        <v/>
      </c>
      <c r="F20" s="61">
        <v>2002006</v>
      </c>
      <c r="G20" s="61" t="s">
        <v>154</v>
      </c>
      <c r="H20" s="61">
        <v>78</v>
      </c>
      <c r="I20" s="61">
        <v>56</v>
      </c>
      <c r="J20" s="53" t="str">
        <f t="shared" si="3"/>
        <v/>
      </c>
    </row>
    <row r="21" spans="1:10">
      <c r="A21" s="34" t="s">
        <v>105</v>
      </c>
      <c r="B21" s="54">
        <v>12</v>
      </c>
      <c r="C21" s="54">
        <v>95000</v>
      </c>
      <c r="D21" s="54" t="str">
        <f t="shared" si="2"/>
        <v/>
      </c>
      <c r="F21" s="61">
        <v>2002007</v>
      </c>
      <c r="G21" s="61" t="s">
        <v>155</v>
      </c>
      <c r="H21" s="61">
        <v>67</v>
      </c>
      <c r="I21" s="61">
        <v>78</v>
      </c>
      <c r="J21" s="53" t="str">
        <f t="shared" si="3"/>
        <v/>
      </c>
    </row>
    <row r="22" spans="1:10">
      <c r="F22" s="61">
        <v>2002008</v>
      </c>
      <c r="G22" s="61" t="s">
        <v>156</v>
      </c>
      <c r="H22" s="61">
        <v>100</v>
      </c>
      <c r="I22" s="61">
        <v>86</v>
      </c>
      <c r="J22" s="53" t="str">
        <f t="shared" si="3"/>
        <v>이수</v>
      </c>
    </row>
    <row r="23" spans="1:10">
      <c r="A23" s="55" t="s">
        <v>157</v>
      </c>
      <c r="F23" s="61">
        <v>2002009</v>
      </c>
      <c r="G23" s="61" t="s">
        <v>158</v>
      </c>
      <c r="H23" s="61">
        <v>42</v>
      </c>
      <c r="I23" s="61">
        <v>56</v>
      </c>
      <c r="J23" s="53" t="str">
        <f t="shared" si="3"/>
        <v/>
      </c>
    </row>
    <row r="24" spans="1:10">
      <c r="A24" s="200" t="s">
        <v>146</v>
      </c>
      <c r="B24" s="200" t="s">
        <v>159</v>
      </c>
      <c r="C24" s="200" t="s">
        <v>160</v>
      </c>
      <c r="D24" s="200"/>
    </row>
    <row r="25" spans="1:10">
      <c r="A25" s="200"/>
      <c r="B25" s="200"/>
      <c r="C25" s="34" t="s">
        <v>161</v>
      </c>
      <c r="D25" s="56" t="s">
        <v>162</v>
      </c>
    </row>
    <row r="26" spans="1:10">
      <c r="A26" s="34" t="s">
        <v>106</v>
      </c>
      <c r="B26" s="63">
        <v>1850000</v>
      </c>
      <c r="C26" s="57">
        <v>2</v>
      </c>
      <c r="D26" s="58">
        <f>IFERROR(C26*100000,"입력오류")</f>
        <v>200000</v>
      </c>
    </row>
    <row r="27" spans="1:10">
      <c r="A27" s="34" t="s">
        <v>107</v>
      </c>
      <c r="B27" s="63">
        <v>1570000</v>
      </c>
      <c r="C27" s="57">
        <v>1</v>
      </c>
      <c r="D27" s="58">
        <f t="shared" ref="D27:D34" si="4">IFERROR(C27*100000,"입력오류")</f>
        <v>100000</v>
      </c>
    </row>
    <row r="28" spans="1:10">
      <c r="A28" s="34" t="s">
        <v>108</v>
      </c>
      <c r="B28" s="63">
        <v>1330000</v>
      </c>
      <c r="C28" s="57">
        <v>2</v>
      </c>
      <c r="D28" s="58">
        <f t="shared" si="4"/>
        <v>200000</v>
      </c>
    </row>
    <row r="29" spans="1:10">
      <c r="A29" s="34" t="s">
        <v>109</v>
      </c>
      <c r="B29" s="63">
        <v>1420000</v>
      </c>
      <c r="C29" s="57">
        <v>2</v>
      </c>
      <c r="D29" s="58">
        <f t="shared" si="4"/>
        <v>200000</v>
      </c>
    </row>
    <row r="30" spans="1:10">
      <c r="A30" s="34" t="s">
        <v>110</v>
      </c>
      <c r="B30" s="63">
        <v>1100000</v>
      </c>
      <c r="C30" s="57" t="s">
        <v>163</v>
      </c>
      <c r="D30" s="58" t="str">
        <f t="shared" si="4"/>
        <v>입력오류</v>
      </c>
    </row>
    <row r="31" spans="1:10">
      <c r="A31" s="34" t="s">
        <v>111</v>
      </c>
      <c r="B31" s="63">
        <v>1390000</v>
      </c>
      <c r="C31" s="57">
        <v>1</v>
      </c>
      <c r="D31" s="58">
        <f t="shared" si="4"/>
        <v>100000</v>
      </c>
    </row>
    <row r="32" spans="1:10">
      <c r="A32" s="34" t="s">
        <v>112</v>
      </c>
      <c r="B32" s="63">
        <v>1240000</v>
      </c>
      <c r="C32" s="57" t="s">
        <v>164</v>
      </c>
      <c r="D32" s="58" t="str">
        <f t="shared" si="4"/>
        <v>입력오류</v>
      </c>
    </row>
    <row r="33" spans="1:4">
      <c r="A33" s="34" t="s">
        <v>113</v>
      </c>
      <c r="B33" s="63">
        <v>1480000</v>
      </c>
      <c r="C33" s="57">
        <v>2</v>
      </c>
      <c r="D33" s="58">
        <f t="shared" si="4"/>
        <v>200000</v>
      </c>
    </row>
    <row r="34" spans="1:4">
      <c r="A34" s="34" t="s">
        <v>114</v>
      </c>
      <c r="B34" s="63">
        <v>1350000</v>
      </c>
      <c r="C34" s="57">
        <v>0</v>
      </c>
      <c r="D34" s="58">
        <f t="shared" si="4"/>
        <v>0</v>
      </c>
    </row>
  </sheetData>
  <mergeCells count="3">
    <mergeCell ref="A24:A25"/>
    <mergeCell ref="B24:B25"/>
    <mergeCell ref="C24:D24"/>
  </mergeCells>
  <phoneticPr fontId="2" type="noConversion"/>
  <conditionalFormatting sqref="G3:G9">
    <cfRule type="expression" dxfId="0" priority="1" stopIfTrue="1">
      <formula>#REF!&gt;=95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6" workbookViewId="0">
      <selection activeCell="H38" sqref="H38"/>
    </sheetView>
  </sheetViews>
  <sheetFormatPr defaultRowHeight="16.5"/>
  <cols>
    <col min="2" max="2" width="14.25" bestFit="1" customWidth="1"/>
    <col min="3" max="4" width="12.25" customWidth="1"/>
    <col min="6" max="7" width="11" customWidth="1"/>
    <col min="9" max="9" width="11" bestFit="1" customWidth="1"/>
  </cols>
  <sheetData>
    <row r="1" spans="1:9">
      <c r="A1" s="1" t="s">
        <v>243</v>
      </c>
      <c r="B1" s="1"/>
      <c r="C1" s="1"/>
      <c r="D1" s="1"/>
      <c r="E1" s="64"/>
      <c r="F1" s="1" t="s">
        <v>244</v>
      </c>
      <c r="G1" s="1"/>
      <c r="H1" s="1"/>
      <c r="I1" s="1"/>
    </row>
    <row r="2" spans="1:9">
      <c r="A2" s="65" t="s">
        <v>245</v>
      </c>
      <c r="B2" s="66" t="s">
        <v>246</v>
      </c>
      <c r="C2" s="67" t="s">
        <v>247</v>
      </c>
      <c r="D2" s="67" t="s">
        <v>248</v>
      </c>
      <c r="E2" s="64"/>
      <c r="F2" s="5" t="s">
        <v>249</v>
      </c>
      <c r="G2" s="5" t="s">
        <v>250</v>
      </c>
      <c r="H2" s="5" t="s">
        <v>251</v>
      </c>
      <c r="I2" s="5" t="s">
        <v>252</v>
      </c>
    </row>
    <row r="3" spans="1:9">
      <c r="A3" s="67" t="s">
        <v>253</v>
      </c>
      <c r="B3" s="67" t="s">
        <v>254</v>
      </c>
      <c r="C3" s="68">
        <v>79</v>
      </c>
      <c r="D3" s="68">
        <v>97</v>
      </c>
      <c r="E3" s="64"/>
      <c r="F3" s="5" t="s">
        <v>255</v>
      </c>
      <c r="G3" s="69">
        <v>1673</v>
      </c>
      <c r="H3" s="5">
        <v>40</v>
      </c>
      <c r="I3" s="70">
        <f t="shared" ref="I3:I10" si="0">G3*H3</f>
        <v>66920</v>
      </c>
    </row>
    <row r="4" spans="1:9">
      <c r="A4" s="67" t="s">
        <v>256</v>
      </c>
      <c r="B4" s="67" t="s">
        <v>257</v>
      </c>
      <c r="C4" s="68">
        <v>77</v>
      </c>
      <c r="D4" s="68">
        <v>89</v>
      </c>
      <c r="E4" s="64"/>
      <c r="F4" s="5" t="s">
        <v>258</v>
      </c>
      <c r="G4" s="69">
        <v>1506</v>
      </c>
      <c r="H4" s="5">
        <v>58</v>
      </c>
      <c r="I4" s="70">
        <f t="shared" si="0"/>
        <v>87348</v>
      </c>
    </row>
    <row r="5" spans="1:9">
      <c r="A5" s="67" t="s">
        <v>259</v>
      </c>
      <c r="B5" s="67" t="s">
        <v>254</v>
      </c>
      <c r="C5" s="68">
        <v>56</v>
      </c>
      <c r="D5" s="68">
        <v>76</v>
      </c>
      <c r="E5" s="64"/>
      <c r="F5" s="5" t="s">
        <v>260</v>
      </c>
      <c r="G5" s="69">
        <v>1126</v>
      </c>
      <c r="H5" s="5">
        <v>91</v>
      </c>
      <c r="I5" s="70">
        <f t="shared" si="0"/>
        <v>102466</v>
      </c>
    </row>
    <row r="6" spans="1:9">
      <c r="A6" s="67" t="s">
        <v>261</v>
      </c>
      <c r="B6" s="67" t="s">
        <v>257</v>
      </c>
      <c r="C6" s="68">
        <v>88</v>
      </c>
      <c r="D6" s="68">
        <v>80</v>
      </c>
      <c r="E6" s="64"/>
      <c r="F6" s="5" t="s">
        <v>262</v>
      </c>
      <c r="G6" s="69">
        <v>2953</v>
      </c>
      <c r="H6" s="5">
        <v>99</v>
      </c>
      <c r="I6" s="70">
        <f t="shared" si="0"/>
        <v>292347</v>
      </c>
    </row>
    <row r="7" spans="1:9">
      <c r="A7" s="67" t="s">
        <v>263</v>
      </c>
      <c r="B7" s="67" t="s">
        <v>254</v>
      </c>
      <c r="C7" s="68">
        <v>88</v>
      </c>
      <c r="D7" s="68">
        <v>93</v>
      </c>
      <c r="E7" s="64"/>
      <c r="F7" s="5" t="s">
        <v>255</v>
      </c>
      <c r="G7" s="69">
        <v>1423</v>
      </c>
      <c r="H7" s="5">
        <v>54</v>
      </c>
      <c r="I7" s="70">
        <f t="shared" si="0"/>
        <v>76842</v>
      </c>
    </row>
    <row r="8" spans="1:9">
      <c r="A8" s="67" t="s">
        <v>264</v>
      </c>
      <c r="B8" s="67" t="s">
        <v>257</v>
      </c>
      <c r="C8" s="68">
        <v>91</v>
      </c>
      <c r="D8" s="68">
        <v>67</v>
      </c>
      <c r="E8" s="64"/>
      <c r="F8" s="5" t="s">
        <v>260</v>
      </c>
      <c r="G8" s="69">
        <v>1338</v>
      </c>
      <c r="H8" s="5">
        <v>40</v>
      </c>
      <c r="I8" s="70">
        <f t="shared" si="0"/>
        <v>53520</v>
      </c>
    </row>
    <row r="9" spans="1:9">
      <c r="A9" s="67" t="s">
        <v>265</v>
      </c>
      <c r="B9" s="67" t="s">
        <v>254</v>
      </c>
      <c r="C9" s="68">
        <v>85</v>
      </c>
      <c r="D9" s="68">
        <v>56</v>
      </c>
      <c r="E9" s="64"/>
      <c r="F9" s="5" t="s">
        <v>255</v>
      </c>
      <c r="G9" s="69">
        <v>2310</v>
      </c>
      <c r="H9" s="5">
        <v>73</v>
      </c>
      <c r="I9" s="70">
        <f t="shared" si="0"/>
        <v>168630</v>
      </c>
    </row>
    <row r="10" spans="1:9">
      <c r="A10" s="67" t="s">
        <v>266</v>
      </c>
      <c r="B10" s="67" t="s">
        <v>254</v>
      </c>
      <c r="C10" s="68">
        <v>76</v>
      </c>
      <c r="D10" s="68">
        <v>89</v>
      </c>
      <c r="E10" s="64"/>
      <c r="F10" s="5" t="s">
        <v>267</v>
      </c>
      <c r="G10" s="69">
        <v>1937</v>
      </c>
      <c r="H10" s="5">
        <v>90</v>
      </c>
      <c r="I10" s="70">
        <f t="shared" si="0"/>
        <v>174330</v>
      </c>
    </row>
    <row r="11" spans="1:9">
      <c r="A11" s="1"/>
      <c r="B11" s="71"/>
      <c r="C11" s="1"/>
      <c r="D11" s="1"/>
      <c r="E11" s="64"/>
      <c r="F11" s="1"/>
      <c r="G11" s="1"/>
      <c r="H11" s="1"/>
      <c r="I11" s="1"/>
    </row>
    <row r="12" spans="1:9">
      <c r="A12" s="204" t="s">
        <v>268</v>
      </c>
      <c r="B12" s="204"/>
      <c r="C12" s="204"/>
      <c r="D12" s="52">
        <f>DAVERAGE(A2:D10, 3, B2:B3)</f>
        <v>76.8</v>
      </c>
      <c r="E12" s="64"/>
      <c r="F12" s="205" t="s">
        <v>269</v>
      </c>
      <c r="G12" s="205"/>
      <c r="H12" s="205"/>
      <c r="I12" s="72">
        <f>DSUM(F2:I10,4,F2:F3)</f>
        <v>312392</v>
      </c>
    </row>
    <row r="13" spans="1:9">
      <c r="A13" s="64"/>
      <c r="B13" s="64"/>
      <c r="C13" s="64"/>
      <c r="D13" s="64"/>
      <c r="E13" s="64"/>
      <c r="F13" s="64"/>
      <c r="G13" s="64"/>
      <c r="H13" s="64"/>
      <c r="I13" s="64"/>
    </row>
    <row r="14" spans="1:9">
      <c r="A14" s="1" t="s">
        <v>270</v>
      </c>
      <c r="B14" s="1"/>
      <c r="C14" s="1"/>
      <c r="D14" s="1"/>
      <c r="E14" s="1"/>
      <c r="F14" s="1" t="s">
        <v>271</v>
      </c>
      <c r="G14" s="73"/>
      <c r="H14" s="1"/>
      <c r="I14" s="1"/>
    </row>
    <row r="15" spans="1:9">
      <c r="A15" s="53" t="s">
        <v>245</v>
      </c>
      <c r="B15" s="53" t="s">
        <v>272</v>
      </c>
      <c r="C15" s="53" t="s">
        <v>273</v>
      </c>
      <c r="D15" s="53" t="s">
        <v>274</v>
      </c>
      <c r="E15" s="1"/>
      <c r="F15" s="52" t="s">
        <v>275</v>
      </c>
      <c r="G15" s="52" t="s">
        <v>276</v>
      </c>
      <c r="H15" s="52" t="s">
        <v>277</v>
      </c>
      <c r="I15" s="74" t="s">
        <v>278</v>
      </c>
    </row>
    <row r="16" spans="1:9">
      <c r="A16" s="31" t="s">
        <v>279</v>
      </c>
      <c r="B16" s="31" t="s">
        <v>280</v>
      </c>
      <c r="C16" s="31">
        <v>557</v>
      </c>
      <c r="D16" s="31">
        <v>345</v>
      </c>
      <c r="E16" s="1"/>
      <c r="F16" s="5" t="s">
        <v>281</v>
      </c>
      <c r="G16" s="5" t="s">
        <v>282</v>
      </c>
      <c r="H16" s="5">
        <v>14</v>
      </c>
      <c r="I16" s="5">
        <v>20</v>
      </c>
    </row>
    <row r="17" spans="1:9">
      <c r="A17" s="31" t="s">
        <v>283</v>
      </c>
      <c r="B17" s="31" t="s">
        <v>284</v>
      </c>
      <c r="C17" s="31">
        <v>476</v>
      </c>
      <c r="D17" s="31">
        <v>513</v>
      </c>
      <c r="E17" s="1"/>
      <c r="F17" s="5" t="s">
        <v>285</v>
      </c>
      <c r="G17" s="5" t="s">
        <v>286</v>
      </c>
      <c r="H17" s="5">
        <v>2</v>
      </c>
      <c r="I17" s="5">
        <v>13</v>
      </c>
    </row>
    <row r="18" spans="1:9">
      <c r="A18" s="31" t="s">
        <v>287</v>
      </c>
      <c r="B18" s="31" t="s">
        <v>280</v>
      </c>
      <c r="C18" s="31">
        <v>231</v>
      </c>
      <c r="D18" s="31">
        <v>474</v>
      </c>
      <c r="E18" s="1"/>
      <c r="F18" s="5" t="s">
        <v>285</v>
      </c>
      <c r="G18" s="5" t="s">
        <v>288</v>
      </c>
      <c r="H18" s="5">
        <v>3</v>
      </c>
      <c r="I18" s="5">
        <v>3</v>
      </c>
    </row>
    <row r="19" spans="1:9">
      <c r="A19" s="31" t="s">
        <v>289</v>
      </c>
      <c r="B19" s="31" t="s">
        <v>284</v>
      </c>
      <c r="C19" s="31">
        <v>175</v>
      </c>
      <c r="D19" s="31">
        <v>453</v>
      </c>
      <c r="E19" s="1"/>
      <c r="F19" s="5" t="s">
        <v>290</v>
      </c>
      <c r="G19" s="5" t="s">
        <v>291</v>
      </c>
      <c r="H19" s="5">
        <v>8</v>
      </c>
      <c r="I19" s="5">
        <v>5</v>
      </c>
    </row>
    <row r="20" spans="1:9">
      <c r="A20" s="31" t="s">
        <v>292</v>
      </c>
      <c r="B20" s="31" t="s">
        <v>284</v>
      </c>
      <c r="C20" s="31">
        <v>834</v>
      </c>
      <c r="D20" s="31">
        <v>401</v>
      </c>
      <c r="E20" s="1"/>
      <c r="F20" s="5" t="s">
        <v>281</v>
      </c>
      <c r="G20" s="5" t="s">
        <v>293</v>
      </c>
      <c r="H20" s="5">
        <v>5</v>
      </c>
      <c r="I20" s="5">
        <v>3</v>
      </c>
    </row>
    <row r="21" spans="1:9">
      <c r="A21" s="31" t="s">
        <v>294</v>
      </c>
      <c r="B21" s="31" t="s">
        <v>280</v>
      </c>
      <c r="C21" s="31">
        <v>597</v>
      </c>
      <c r="D21" s="31">
        <v>347</v>
      </c>
      <c r="E21" s="1"/>
      <c r="F21" s="5" t="s">
        <v>285</v>
      </c>
      <c r="G21" s="5" t="s">
        <v>295</v>
      </c>
      <c r="H21" s="5">
        <v>15</v>
      </c>
      <c r="I21" s="5">
        <v>5</v>
      </c>
    </row>
    <row r="22" spans="1:9">
      <c r="A22" s="64"/>
      <c r="B22" s="64"/>
      <c r="C22" s="64"/>
      <c r="D22" s="64"/>
      <c r="E22" s="64"/>
      <c r="F22" s="1"/>
      <c r="G22" s="1"/>
      <c r="H22" s="1"/>
      <c r="I22" s="1"/>
    </row>
    <row r="23" spans="1:9">
      <c r="A23" s="75" t="s">
        <v>951</v>
      </c>
      <c r="B23" s="76" t="s">
        <v>273</v>
      </c>
      <c r="C23" s="76" t="s">
        <v>274</v>
      </c>
      <c r="D23" s="1"/>
      <c r="E23" s="77"/>
      <c r="F23" s="205" t="s">
        <v>296</v>
      </c>
      <c r="G23" s="205"/>
      <c r="H23" s="78" t="s">
        <v>953</v>
      </c>
      <c r="I23" s="79" t="s">
        <v>954</v>
      </c>
    </row>
    <row r="24" spans="1:9">
      <c r="A24" s="78" t="s">
        <v>952</v>
      </c>
      <c r="B24" s="80">
        <f>DMAX(A15:D21, 3, A23:A24)</f>
        <v>834</v>
      </c>
      <c r="C24" s="80">
        <f>DMAX(A15:D21,4,A23:A24)</f>
        <v>513</v>
      </c>
      <c r="D24" s="1"/>
      <c r="E24" s="77"/>
      <c r="F24" s="206">
        <f>DCOUNT(F15:I21,3,H23:I24)</f>
        <v>2</v>
      </c>
      <c r="G24" s="206"/>
      <c r="H24" s="82" t="s">
        <v>955</v>
      </c>
      <c r="I24" s="82" t="s">
        <v>956</v>
      </c>
    </row>
    <row r="25" spans="1:9">
      <c r="A25" s="64"/>
      <c r="B25" s="64"/>
      <c r="C25" s="64"/>
      <c r="D25" s="64"/>
      <c r="E25" s="64"/>
      <c r="F25" s="64"/>
      <c r="G25" s="1"/>
      <c r="H25" s="1"/>
      <c r="I25" s="1"/>
    </row>
    <row r="26" spans="1:9">
      <c r="A26" s="1" t="s">
        <v>297</v>
      </c>
      <c r="B26" s="1"/>
      <c r="C26" s="1"/>
      <c r="D26" s="1"/>
      <c r="E26" s="64"/>
      <c r="F26" s="1" t="s">
        <v>298</v>
      </c>
      <c r="G26" s="1"/>
      <c r="H26" s="1"/>
      <c r="I26" s="1"/>
    </row>
    <row r="27" spans="1:9">
      <c r="A27" s="52" t="s">
        <v>299</v>
      </c>
      <c r="B27" s="52" t="s">
        <v>300</v>
      </c>
      <c r="C27" s="52" t="s">
        <v>245</v>
      </c>
      <c r="D27" s="52" t="s">
        <v>301</v>
      </c>
      <c r="E27" s="64"/>
      <c r="F27" s="52" t="s">
        <v>302</v>
      </c>
      <c r="G27" s="52" t="s">
        <v>303</v>
      </c>
      <c r="H27" s="52" t="s">
        <v>304</v>
      </c>
      <c r="I27" s="52" t="s">
        <v>305</v>
      </c>
    </row>
    <row r="28" spans="1:9">
      <c r="A28" s="7" t="s">
        <v>306</v>
      </c>
      <c r="B28" s="30">
        <v>1</v>
      </c>
      <c r="C28" s="30" t="s">
        <v>307</v>
      </c>
      <c r="D28" s="30">
        <v>465</v>
      </c>
      <c r="E28" s="64"/>
      <c r="F28" s="52" t="s">
        <v>308</v>
      </c>
      <c r="G28" s="83">
        <v>92733</v>
      </c>
      <c r="H28" s="83">
        <v>46573</v>
      </c>
      <c r="I28" s="83">
        <f t="shared" ref="I28:I34" si="1">G28+H28</f>
        <v>139306</v>
      </c>
    </row>
    <row r="29" spans="1:9">
      <c r="A29" s="7" t="s">
        <v>309</v>
      </c>
      <c r="B29" s="30">
        <v>2</v>
      </c>
      <c r="C29" s="30" t="s">
        <v>310</v>
      </c>
      <c r="D29" s="30">
        <v>604</v>
      </c>
      <c r="E29" s="64"/>
      <c r="F29" s="52" t="s">
        <v>231</v>
      </c>
      <c r="G29" s="83">
        <v>66191</v>
      </c>
      <c r="H29" s="83">
        <v>60400</v>
      </c>
      <c r="I29" s="83">
        <f t="shared" si="1"/>
        <v>126591</v>
      </c>
    </row>
    <row r="30" spans="1:9">
      <c r="A30" s="7" t="s">
        <v>309</v>
      </c>
      <c r="B30" s="30">
        <v>3</v>
      </c>
      <c r="C30" s="30" t="s">
        <v>311</v>
      </c>
      <c r="D30" s="30">
        <v>383</v>
      </c>
      <c r="E30" s="64"/>
      <c r="F30" s="52" t="s">
        <v>233</v>
      </c>
      <c r="G30" s="83">
        <v>14809</v>
      </c>
      <c r="H30" s="83">
        <v>13827</v>
      </c>
      <c r="I30" s="83">
        <f t="shared" si="1"/>
        <v>28636</v>
      </c>
    </row>
    <row r="31" spans="1:9">
      <c r="A31" s="7" t="s">
        <v>306</v>
      </c>
      <c r="B31" s="30">
        <v>2</v>
      </c>
      <c r="C31" s="30" t="s">
        <v>312</v>
      </c>
      <c r="D31" s="30">
        <v>465</v>
      </c>
      <c r="E31" s="64"/>
      <c r="F31" s="52" t="s">
        <v>235</v>
      </c>
      <c r="G31" s="83">
        <v>51382</v>
      </c>
      <c r="H31" s="83">
        <v>46573</v>
      </c>
      <c r="I31" s="83">
        <f t="shared" si="1"/>
        <v>97955</v>
      </c>
    </row>
    <row r="32" spans="1:9">
      <c r="A32" s="7" t="s">
        <v>309</v>
      </c>
      <c r="B32" s="30">
        <v>1</v>
      </c>
      <c r="C32" s="30" t="s">
        <v>313</v>
      </c>
      <c r="D32" s="30">
        <v>382</v>
      </c>
      <c r="E32" s="64"/>
      <c r="F32" s="52" t="s">
        <v>314</v>
      </c>
      <c r="G32" s="83">
        <v>19663</v>
      </c>
      <c r="H32" s="83">
        <v>17382</v>
      </c>
      <c r="I32" s="83">
        <f t="shared" si="1"/>
        <v>37045</v>
      </c>
    </row>
    <row r="33" spans="1:9">
      <c r="A33" s="7" t="s">
        <v>309</v>
      </c>
      <c r="B33" s="30">
        <v>2</v>
      </c>
      <c r="C33" s="30" t="s">
        <v>315</v>
      </c>
      <c r="D33" s="30">
        <v>391</v>
      </c>
      <c r="E33" s="64"/>
      <c r="F33" s="52" t="s">
        <v>239</v>
      </c>
      <c r="G33" s="83">
        <v>22053</v>
      </c>
      <c r="H33" s="83">
        <v>49102</v>
      </c>
      <c r="I33" s="83">
        <f t="shared" si="1"/>
        <v>71155</v>
      </c>
    </row>
    <row r="34" spans="1:9">
      <c r="A34" s="7" t="s">
        <v>306</v>
      </c>
      <c r="B34" s="30">
        <v>3</v>
      </c>
      <c r="C34" s="30" t="s">
        <v>316</v>
      </c>
      <c r="D34" s="30">
        <v>572</v>
      </c>
      <c r="E34" s="64"/>
      <c r="F34" s="52" t="s">
        <v>241</v>
      </c>
      <c r="G34" s="83">
        <v>23900</v>
      </c>
      <c r="H34" s="83">
        <v>17206</v>
      </c>
      <c r="I34" s="83">
        <f t="shared" si="1"/>
        <v>41106</v>
      </c>
    </row>
    <row r="35" spans="1:9">
      <c r="A35" s="1"/>
      <c r="B35" s="1"/>
      <c r="C35" s="1"/>
      <c r="D35" s="1"/>
      <c r="E35" s="64"/>
      <c r="F35" s="1"/>
      <c r="G35" s="1"/>
      <c r="H35" s="1"/>
      <c r="I35" s="1"/>
    </row>
    <row r="36" spans="1:9">
      <c r="A36" s="78" t="s">
        <v>957</v>
      </c>
      <c r="B36" s="78" t="s">
        <v>958</v>
      </c>
      <c r="C36" s="204" t="s">
        <v>949</v>
      </c>
      <c r="D36" s="204"/>
      <c r="E36" s="64"/>
      <c r="F36" s="78" t="s">
        <v>960</v>
      </c>
      <c r="G36" s="78" t="s">
        <v>960</v>
      </c>
      <c r="H36" s="204" t="s">
        <v>317</v>
      </c>
      <c r="I36" s="204"/>
    </row>
    <row r="37" spans="1:9">
      <c r="A37" s="78"/>
      <c r="B37" s="84" t="s">
        <v>959</v>
      </c>
      <c r="C37" s="203">
        <f>DCOUNTA(A27:D34,3,A36:B38)</f>
        <v>5</v>
      </c>
      <c r="D37" s="203"/>
      <c r="E37" s="64"/>
      <c r="F37" s="78" t="s">
        <v>962</v>
      </c>
      <c r="G37" s="78" t="s">
        <v>961</v>
      </c>
      <c r="H37" s="203">
        <f>DSUM(F27:I34,4,F36:G37)</f>
        <v>435007</v>
      </c>
      <c r="I37" s="203"/>
    </row>
    <row r="38" spans="1:9">
      <c r="A38">
        <v>2</v>
      </c>
    </row>
  </sheetData>
  <mergeCells count="8">
    <mergeCell ref="C37:D37"/>
    <mergeCell ref="H37:I37"/>
    <mergeCell ref="A12:C12"/>
    <mergeCell ref="F12:H12"/>
    <mergeCell ref="F23:G23"/>
    <mergeCell ref="F24:G24"/>
    <mergeCell ref="C36:D36"/>
    <mergeCell ref="H36:I36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계산(예제)</vt:lpstr>
      <vt:lpstr>계산(결과)</vt:lpstr>
      <vt:lpstr>날짜1(예제)</vt:lpstr>
      <vt:lpstr>날짜1(결과)</vt:lpstr>
      <vt:lpstr>날짜2(예제)</vt:lpstr>
      <vt:lpstr>날짜2(결과)</vt:lpstr>
      <vt:lpstr>논리(예제)</vt:lpstr>
      <vt:lpstr>논리(결과)</vt:lpstr>
      <vt:lpstr>데이터베이스(예제)</vt:lpstr>
      <vt:lpstr>데이터베이스(결과)</vt:lpstr>
      <vt:lpstr>문자열1(예제)</vt:lpstr>
      <vt:lpstr>문자열1(결과)</vt:lpstr>
      <vt:lpstr>문자열2(예제)</vt:lpstr>
      <vt:lpstr>문자열2(결과)</vt:lpstr>
      <vt:lpstr>문자열3(예제)</vt:lpstr>
      <vt:lpstr>문자열3(결과)</vt:lpstr>
      <vt:lpstr>수학1(예제)</vt:lpstr>
      <vt:lpstr>수학1(결과)</vt:lpstr>
      <vt:lpstr>수학2(예제)</vt:lpstr>
      <vt:lpstr>수학2(결과)</vt:lpstr>
      <vt:lpstr>통계1(예제)</vt:lpstr>
      <vt:lpstr>통계1(결과)</vt:lpstr>
      <vt:lpstr>통계2(예제)</vt:lpstr>
      <vt:lpstr>통계2(결과)</vt:lpstr>
      <vt:lpstr>통계3(예제)</vt:lpstr>
      <vt:lpstr>통계3(결과)</vt:lpstr>
      <vt:lpstr>찾기1(예제)</vt:lpstr>
      <vt:lpstr>찾기1(결과)</vt:lpstr>
      <vt:lpstr>찾기2(예제)</vt:lpstr>
      <vt:lpstr>찾기2(결과)</vt:lpstr>
      <vt:lpstr>실습1(예제)</vt:lpstr>
      <vt:lpstr>실습1(결과)</vt:lpstr>
      <vt:lpstr>실습2(예제)</vt:lpstr>
      <vt:lpstr>실습2(결과)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Sunrin</cp:lastModifiedBy>
  <dcterms:created xsi:type="dcterms:W3CDTF">2014-05-14T10:58:27Z</dcterms:created>
  <dcterms:modified xsi:type="dcterms:W3CDTF">2016-09-21T03:25:40Z</dcterms:modified>
</cp:coreProperties>
</file>