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31b74d497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та" sheetId="1" r:id="Raac121d8cc86428a"/>
    <x:sheet xmlns:r="http://schemas.openxmlformats.org/officeDocument/2006/relationships" name="Материалы" sheetId="2" r:id="R0073144ab9ae478f"/>
    <x:sheet xmlns:r="http://schemas.openxmlformats.org/officeDocument/2006/relationships" name="Стены" sheetId="3" r:id="R7e16bc498aa4465d"/>
    <x:sheet xmlns:r="http://schemas.openxmlformats.org/officeDocument/2006/relationships" name="Оболочка" sheetId="4" r:id="R3ed4aecaf04c467c"/>
    <x:sheet xmlns:r="http://schemas.openxmlformats.org/officeDocument/2006/relationships" name="Полы и потолки" sheetId="5" r:id="R6fd49181e1af491c"/>
    <x:sheet xmlns:r="http://schemas.openxmlformats.org/officeDocument/2006/relationships" name="Раскладки" sheetId="6" r:id="Ra7f33f779f1e4e08"/>
    <x:sheet xmlns:r="http://schemas.openxmlformats.org/officeDocument/2006/relationships" name="Параметры" sheetId="7" r:id="R5a97087d0991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dd.mm.yyyy"/>
    <x:numFmt numFmtId="202" formatCode="0%"/>
    <x:numFmt numFmtId="203" formatCode="#,##0"/>
    <x:numFmt numFmtId="204" formatCode="0.000"/>
  </x:numFmts>
  <x:fonts count="11">
    <x:font>
      <x:sz val="11"/>
      <x:name val="Carlito"/>
    </x:font>
    <x:font>
      <x:sz val="10"/>
      <x:color rgb="FF303C36"/>
      <x:name val="Arial"/>
    </x:font>
    <x:font>
      <x:b/>
      <x:sz val="16"/>
      <x:color rgb="FF303C36"/>
      <x:name val="Arial"/>
    </x:font>
    <x:font>
      <x:sz val="10"/>
      <x:color rgb="FF707B64"/>
      <x:name val="Arial"/>
    </x:font>
    <x:font>
      <x:sz val="10"/>
      <x:color rgb="FF235A91"/>
      <x:name val="Arial"/>
    </x:font>
    <x:font>
      <x:b/>
      <x:sz val="10"/>
      <x:color rgb="FFFFFFFF"/>
      <x:name val="Arial"/>
    </x:font>
    <x:font>
      <x:b/>
      <x:sz val="14"/>
      <x:color rgb="FF303C36"/>
      <x:name val="Arial"/>
    </x:font>
    <x:font>
      <x:b/>
      <x:sz val="12"/>
      <x:color rgb="FF303C36"/>
      <x:name val="Arial"/>
    </x:font>
    <x:font>
      <x:sz val="10"/>
      <x:color rgb="FF3F6549"/>
      <x:name val="Arial"/>
    </x:font>
    <x:font>
      <x:b/>
      <x:sz val="10"/>
      <x:color rgb="FF303C36"/>
      <x:name val="Arial"/>
    </x:font>
    <x:font>
      <x:sz val="10"/>
      <x:color rgb="FF707B6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475D50"/>
      </x:patternFill>
    </x:fill>
    <x:fill>
      <x:patternFill patternType="solid">
        <x:fgColor rgb="FFEEF2ED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1" fontId="4" fillId="3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</x:cellXfs>
  <x:cellStyles count="1">
    <x:cellStyle name="Normal" xfId="0"/>
  </x:cellStyles>
  <x:dxfs count="2">
    <x:dxf>
      <x:font>
        <x:color rgb="FF986921"/>
      </x:font>
      <x:fill>
        <x:patternFill patternType="solid">
          <x:bgColor rgb="FFFFF0D1"/>
        </x:patternFill>
      </x:fill>
    </x:dxf>
    <x:dxf>
      <x:font>
        <x:color rgb="FFA43423"/>
      </x:font>
      <x:fill>
        <x:patternFill patternType="solid">
          <x:bgColor rgb="FFFF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8e826b42748b9" /><Relationship Type="http://schemas.openxmlformats.org/officeDocument/2006/relationships/theme" Target="/xl/theme/theme1.xml" Id="Rca7aa6fefc9849a3" /><Relationship Type="http://schemas.openxmlformats.org/officeDocument/2006/relationships/sharedStrings" Target="/xl/sharedStrings.xml" Id="R594fcf19c8fc43a9" /><Relationship Type="http://schemas.openxmlformats.org/officeDocument/2006/relationships/worksheet" Target="/xl/worksheets/sheet1.xml" Id="Raac121d8cc86428a" /><Relationship Type="http://schemas.openxmlformats.org/officeDocument/2006/relationships/worksheet" Target="/xl/worksheets/sheet2.xml" Id="R0073144ab9ae478f" /><Relationship Type="http://schemas.openxmlformats.org/officeDocument/2006/relationships/worksheet" Target="/xl/worksheets/sheet3.xml" Id="R7e16bc498aa4465d" /><Relationship Type="http://schemas.openxmlformats.org/officeDocument/2006/relationships/worksheet" Target="/xl/worksheets/sheet4.xml" Id="R3ed4aecaf04c467c" /><Relationship Type="http://schemas.openxmlformats.org/officeDocument/2006/relationships/worksheet" Target="/xl/worksheets/sheet5.xml" Id="R6fd49181e1af491c" /><Relationship Type="http://schemas.openxmlformats.org/officeDocument/2006/relationships/worksheet" Target="/xl/worksheets/sheet6.xml" Id="Ra7f33f779f1e4e08" /><Relationship Type="http://schemas.openxmlformats.org/officeDocument/2006/relationships/worksheet" Target="/xl/worksheets/sheet7.xml" Id="R5a97087d099140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2e2807994244354" /><Relationship Type="http://schemas.openxmlformats.org/officeDocument/2006/relationships/image" Target="/xl/media/image2.png" Id="Rc847f828495e4e21" /><Relationship Type="http://schemas.openxmlformats.org/officeDocument/2006/relationships/image" Target="/xl/media/image3.png" Id="Rca1b392fdfe64ebd" /><Relationship Type="http://schemas.openxmlformats.org/officeDocument/2006/relationships/image" Target="/xl/media/image4.png" Id="R22e80cbefaaf46f2" /><Relationship Type="http://schemas.openxmlformats.org/officeDocument/2006/relationships/image" Target="/xl/media/image5.png" Id="R4e18b291f3084c73" /><Relationship Type="http://schemas.openxmlformats.org/officeDocument/2006/relationships/image" Target="/xl/media/image6.png" Id="R49202127cc0446e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6</xdr:row>
      <xdr:rowOff>0</xdr:rowOff>
    </xdr:from>
    <xdr:ext cx="10477500" cy="6960054"/>
    <xdr:pic>
      <xdr:nvPicPr>
        <xdr:cNvPr id="1" name="aed4acfb-d532-4ae4-9f54-fcfc46f2ef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28079942443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39</xdr:row>
      <xdr:rowOff>0</xdr:rowOff>
    </xdr:from>
    <xdr:ext cx="10477500" cy="6511018"/>
    <xdr:pic>
      <xdr:nvPicPr>
        <xdr:cNvPr id="2" name="4149bc8a-a7c8-49dd-bc68-65fcff5f31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7f828495e4e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72</xdr:row>
      <xdr:rowOff>0</xdr:rowOff>
    </xdr:from>
    <xdr:ext cx="10477500" cy="6061982"/>
    <xdr:pic>
      <xdr:nvPicPr>
        <xdr:cNvPr id="3" name="3034dfda-2ff7-4e64-b212-87de18e7c8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1b392fdfe6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105</xdr:row>
      <xdr:rowOff>0</xdr:rowOff>
    </xdr:from>
    <xdr:ext cx="10477500" cy="5837464"/>
    <xdr:pic>
      <xdr:nvPicPr>
        <xdr:cNvPr id="4" name="4546dd03-7f29-4386-858d-870b1f349c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e80cbefaaf46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138</xdr:row>
      <xdr:rowOff>0</xdr:rowOff>
    </xdr:from>
    <xdr:ext cx="10477500" cy="5987143"/>
    <xdr:pic>
      <xdr:nvPicPr>
        <xdr:cNvPr id="5" name="5f463842-40aa-42b5-813d-015dcf2d0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8b291f3084c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171</xdr:row>
      <xdr:rowOff>0</xdr:rowOff>
    </xdr:from>
    <xdr:ext cx="10477500" cy="6061982"/>
    <xdr:pic>
      <xdr:nvPicPr>
        <xdr:cNvPr id="6" name="11ac635a-a5c8-4239-8e6d-90507bb93d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202127cc0446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03ddf50f8854c94" /></Relationships>
</file>

<file path=xl/worksheets/sheet1.xml><?xml version="1.0" encoding="utf-8"?>
<x:worksheet xmlns:x="http://schemas.openxmlformats.org/spreadsheetml/2006/main">
  <x:sheetPr>
    <x:tabColor rgb="FF303C3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4" hidden="0" customWidth="1"/>
    <x:col min="2" max="2" width="20" hidden="0" customWidth="1"/>
    <x:col min="3" max="3" width="8" hidden="0" customWidth="1"/>
    <x:col min="4" max="4" width="20" hidden="0" customWidth="1"/>
    <x:col min="5" max="5" width="19" hidden="0" customWidth="1"/>
    <x:col min="6" max="6" width="27" hidden="0" customWidth="1"/>
    <x:col min="7" max="7" width="15" hidden="0" customWidth="1"/>
    <x:col min="8" max="8" width="21" hidden="0" customWidth="1"/>
    <x:col min="9" max="9" width="28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5" t="str">
        <x:v>Дом в Браславе — объёмы и смета материалов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6" t="str">
        <x:v>Версия 15.09.2026. Высоты графические; цены ещё не получены.</x:v>
      </x:c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2" t="str">
        <x:v>Материал</x:v>
      </x:c>
      <x:c r="B5" s="12" t="str">
        <x:v>Количество с запасом</x:v>
      </x:c>
      <x:c r="C5" s="12" t="str">
        <x:v>Ед.</x:v>
      </x:c>
      <x:c r="D5" s="12" t="str">
        <x:v>Цена за единицу</x:v>
      </x:c>
      <x:c r="E5" s="12" t="str">
        <x:v>Сумма</x:v>
      </x:c>
      <x:c r="F5" s="12" t="str">
        <x:v>Поставщик / КП</x:v>
      </x:c>
      <x:c r="G5" s="12" t="str">
        <x:v>Дата цены</x:v>
      </x:c>
      <x:c r="H5" s="12" t="str">
        <x:v>Налоговая база</x:v>
      </x:c>
      <x:c r="I5" s="12" t="str">
        <x:v>Статус</x:v>
      </x:c>
    </x:row>
    <x:row r="6" ht="23" customHeight="1">
      <x:c r="A6" s="4" t="str">
        <x:f>'Материалы'!B6</x:f>
        <x:v>БЕЛТЕРМО 80 мм — наружная сторона</x:v>
      </x:c>
      <x:c r="B6" s="4" t="n">
        <x:f>IF(ISNUMBER('Материалы'!I6),'Материалы'!I6,"")</x:f>
        <x:v>119.671875</x:v>
      </x:c>
      <x:c r="C6" s="4" t="str">
        <x:f>'Материалы'!C6</x:f>
        <x:v>м²</x:v>
      </x:c>
      <x:c r="D6" s="8"/>
      <x:c r="E6" s="4" t="str">
        <x:f>IF(AND(ISNUMBER(B6),ISNUMBER(D6)),ROUND(B6*D6,2),"")</x:f>
      </x:c>
      <x:c r="F6" s="15"/>
      <x:c r="G6" s="16"/>
      <x:c r="H6" s="15"/>
      <x:c r="I6" s="4" t="str">
        <x:f>IF(ISNUMBER(B6),IF(ISNUMBER(D6),IF(OR(F6="",G6="",H6=""),"Цена без полного КП","КП заполнено"),"Нет цены"),"Нет объёма")</x:f>
        <x:v>Нет цены</x:v>
      </x:c>
    </x:row>
    <x:row r="7" ht="23" customHeight="1">
      <x:c r="A7" s="4" t="str">
        <x:f>'Материалы'!B7</x:f>
        <x:v>БЕЛТЕРМО 80 мм — внутренняя сторона</x:v>
      </x:c>
      <x:c r="B7" s="4" t="n">
        <x:f>IF(ISNUMBER('Материалы'!I7),'Материалы'!I7,"")</x:f>
        <x:v>107.8125</x:v>
      </x:c>
      <x:c r="C7" s="4" t="str">
        <x:f>'Материалы'!C7</x:f>
        <x:v>м²</x:v>
      </x:c>
      <x:c r="D7" s="8"/>
      <x:c r="E7" s="4" t="str">
        <x:f>IF(AND(ISNUMBER(B7),ISNUMBER(D7)),ROUND(B7*D7,2),"")</x:f>
      </x:c>
      <x:c r="F7" s="15"/>
      <x:c r="G7" s="16"/>
      <x:c r="H7" s="15"/>
      <x:c r="I7" s="4" t="str">
        <x:f>IF(ISNUMBER(B7),IF(ISNUMBER(D7),IF(OR(F7="",G7="",H7=""),"Цена без полного КП","КП заполнено"),"Нет цены"),"Нет объёма")</x:f>
        <x:v>Нет цены</x:v>
      </x:c>
    </x:row>
    <x:row r="8" ht="23" customHeight="1">
      <x:c r="A8" s="4" t="str">
        <x:f>'Материалы'!B8</x:f>
        <x:v>Эковата — наружные стены и перегородки</x:v>
      </x:c>
      <x:c r="B8" s="4" t="n">
        <x:f>IF(ISNUMBER('Материалы'!I8),'Материалы'!I8,"")</x:f>
        <x:v>1452.093335</x:v>
      </x:c>
      <x:c r="C8" s="4" t="str">
        <x:f>'Материалы'!C8</x:f>
        <x:v>кг</x:v>
      </x:c>
      <x:c r="D8" s="8"/>
      <x:c r="E8" s="4" t="str">
        <x:f>IF(AND(ISNUMBER(B8),ISNUMBER(D8)),ROUND(B8*D8,2),"")</x:f>
      </x:c>
      <x:c r="F8" s="15"/>
      <x:c r="G8" s="16"/>
      <x:c r="H8" s="15"/>
      <x:c r="I8" s="4" t="str">
        <x:f>IF(ISNUMBER(B8),IF(ISNUMBER(D8),IF(OR(F8="",G8="",H8=""),"Цена без полного КП","КП заполнено"),"Нет цены"),"Нет объёма")</x:f>
        <x:v>Нет цены</x:v>
      </x:c>
    </x:row>
    <x:row r="9" ht="23" customHeight="1">
      <x:c r="A9" s="4" t="str">
        <x:f>'Материалы'!B9</x:f>
        <x:v>Имитация бруса — сухие стены и лаундж</x:v>
      </x:c>
      <x:c r="B9" s="4" t="n">
        <x:f>IF(ISNUMBER('Материалы'!I9),'Материалы'!I9,"")</x:f>
        <x:v>182.04</x:v>
      </x:c>
      <x:c r="C9" s="4" t="str">
        <x:f>'Материалы'!C9</x:f>
        <x:v>м²</x:v>
      </x:c>
      <x:c r="D9" s="8"/>
      <x:c r="E9" s="4" t="str">
        <x:f>IF(AND(ISNUMBER(B9),ISNUMBER(D9)),ROUND(B9*D9,2),"")</x:f>
      </x:c>
      <x:c r="F9" s="15"/>
      <x:c r="G9" s="16"/>
      <x:c r="H9" s="15"/>
      <x:c r="I9" s="4" t="str">
        <x:f>IF(ISNUMBER(B9),IF(ISNUMBER(D9),IF(OR(F9="",G9="",H9=""),"Цена без полного КП","КП заполнено"),"Нет цены"),"Нет объёма")</x:f>
        <x:v>Нет цены</x:v>
      </x:c>
    </x:row>
    <x:row r="10" ht="23" customHeight="1">
      <x:c r="A10" s="4" t="str">
        <x:f>'Материалы'!B10</x:f>
        <x:v>Вагонка — потолки дома и лаунджа</x:v>
      </x:c>
      <x:c r="B10" s="4" t="n">
        <x:f>IF(ISNUMBER('Материалы'!I10),'Материалы'!I10,"")</x:f>
        <x:v>118.665</x:v>
      </x:c>
      <x:c r="C10" s="4" t="str">
        <x:f>'Материалы'!C10</x:f>
        <x:v>м²</x:v>
      </x:c>
      <x:c r="D10" s="8"/>
      <x:c r="E10" s="4" t="str">
        <x:f>IF(AND(ISNUMBER(B10),ISNUMBER(D10)),ROUND(B10*D10,2),"")</x:f>
      </x:c>
      <x:c r="F10" s="15"/>
      <x:c r="G10" s="16"/>
      <x:c r="H10" s="15"/>
      <x:c r="I10" s="4" t="str">
        <x:f>IF(ISNUMBER(B10),IF(ISNUMBER(D10),IF(OR(F10="",G10="",H10=""),"Цена без полного КП","КП заполнено"),"Нет цены"),"Нет объёма")</x:f>
        <x:v>Нет цены</x:v>
      </x:c>
    </x:row>
    <x:row r="11" ht="23" customHeight="1">
      <x:c r="A11" s="4" t="str">
        <x:f>'Материалы'!B11</x:f>
        <x:v>Деревянная подшивка — наружные свесы</x:v>
      </x:c>
      <x:c r="B11" s="4" t="n">
        <x:f>IF(ISNUMBER('Материалы'!I11),'Материалы'!I11,"")</x:f>
        <x:v>58.32000000000001</x:v>
      </x:c>
      <x:c r="C11" s="4" t="str">
        <x:f>'Материалы'!C11</x:f>
        <x:v>м²</x:v>
      </x:c>
      <x:c r="D11" s="8"/>
      <x:c r="E11" s="4" t="str">
        <x:f>IF(AND(ISNUMBER(B11),ISNUMBER(D11)),ROUND(B11*D11,2),"")</x:f>
      </x:c>
      <x:c r="F11" s="15"/>
      <x:c r="G11" s="16"/>
      <x:c r="H11" s="15"/>
      <x:c r="I11" s="4" t="str">
        <x:f>IF(ISNUMBER(B11),IF(ISNUMBER(D11),IF(OR(F11="",G11="",H11=""),"Цена без полного КП","КП заполнено"),"Нет цены"),"Нет объёма")</x:f>
        <x:v>Нет цены</x:v>
      </x:c>
    </x:row>
    <x:row r="12" ht="23" customHeight="1">
      <x:c r="A12" s="4" t="str">
        <x:f>'Материалы'!B12</x:f>
        <x:v>Деревянный пол — две спальни</x:v>
      </x:c>
      <x:c r="B12" s="4" t="n">
        <x:f>IF(ISNUMBER('Материалы'!I12),'Материалы'!I12,"")</x:f>
        <x:v>28.6506</x:v>
      </x:c>
      <x:c r="C12" s="4" t="str">
        <x:f>'Материалы'!C12</x:f>
        <x:v>м²</x:v>
      </x:c>
      <x:c r="D12" s="8"/>
      <x:c r="E12" s="4" t="str">
        <x:f>IF(AND(ISNUMBER(B12),ISNUMBER(D12)),ROUND(B12*D12,2),"")</x:f>
      </x:c>
      <x:c r="F12" s="15"/>
      <x:c r="G12" s="16"/>
      <x:c r="H12" s="15"/>
      <x:c r="I12" s="4" t="str">
        <x:f>IF(ISNUMBER(B12),IF(ISNUMBER(D12),IF(OR(F12="",G12="",H12=""),"Цена без полного КП","КП заполнено"),"Нет цены"),"Нет объёма")</x:f>
        <x:v>Нет цены</x:v>
      </x:c>
    </x:row>
    <x:row r="13" ht="23" customHeight="1">
      <x:c r="A13" s="4" t="str">
        <x:f>'Материалы'!B13</x:f>
        <x:v>Плитка 600×600 — кухня, гостиная, прихожая</x:v>
      </x:c>
      <x:c r="B13" s="4" t="n">
        <x:f>IF(ISNUMBER('Материалы'!I13),'Материалы'!I13,"")</x:f>
        <x:v>43.199999999999996</x:v>
      </x:c>
      <x:c r="C13" s="4" t="str">
        <x:f>'Материалы'!C13</x:f>
        <x:v>м²</x:v>
      </x:c>
      <x:c r="D13" s="8"/>
      <x:c r="E13" s="4" t="str">
        <x:f>IF(AND(ISNUMBER(B13),ISNUMBER(D13)),ROUND(B13*D13,2),"")</x:f>
      </x:c>
      <x:c r="F13" s="15"/>
      <x:c r="G13" s="16"/>
      <x:c r="H13" s="15"/>
      <x:c r="I13" s="4" t="str">
        <x:f>IF(ISNUMBER(B13),IF(ISNUMBER(D13),IF(OR(F13="",G13="",H13=""),"Цена без полного КП","КП заполнено"),"Нет цены"),"Нет объёма")</x:f>
        <x:v>Нет цены</x:v>
      </x:c>
    </x:row>
    <x:row r="14" ht="23" customHeight="1">
      <x:c r="A14" s="4" t="str">
        <x:f>'Материалы'!B14</x:f>
        <x:v>Плитка 600×600 — остеклённый лаундж</x:v>
      </x:c>
      <x:c r="B14" s="4" t="n">
        <x:f>IF(ISNUMBER('Материалы'!I14),'Материалы'!I14,"")</x:f>
        <x:v>46.08</x:v>
      </x:c>
      <x:c r="C14" s="4" t="str">
        <x:f>'Материалы'!C14</x:f>
        <x:v>м²</x:v>
      </x:c>
      <x:c r="D14" s="8"/>
      <x:c r="E14" s="4" t="str">
        <x:f>IF(AND(ISNUMBER(B14),ISNUMBER(D14)),ROUND(B14*D14,2),"")</x:f>
      </x:c>
      <x:c r="F14" s="15"/>
      <x:c r="G14" s="16"/>
      <x:c r="H14" s="15"/>
      <x:c r="I14" s="4" t="str">
        <x:f>IF(ISNUMBER(B14),IF(ISNUMBER(D14),IF(OR(F14="",G14="",H14=""),"Цена без полного КП","КП заполнено"),"Нет цены"),"Нет объёма")</x:f>
        <x:v>Нет цены</x:v>
      </x:c>
    </x:row>
    <x:row r="15" ht="23" customHeight="1">
      <x:c r="A15" s="4" t="str">
        <x:f>'Материалы'!B15</x:f>
        <x:v>Плитка 600×600 — санузлы вне душевых</x:v>
      </x:c>
      <x:c r="B15" s="4" t="n">
        <x:f>IF(ISNUMBER('Материалы'!I15),'Материалы'!I15,"")</x:f>
        <x:v>10.08</x:v>
      </x:c>
      <x:c r="C15" s="4" t="str">
        <x:f>'Материалы'!C15</x:f>
        <x:v>м²</x:v>
      </x:c>
      <x:c r="D15" s="8"/>
      <x:c r="E15" s="4" t="str">
        <x:f>IF(AND(ISNUMBER(B15),ISNUMBER(D15)),ROUND(B15*D15,2),"")</x:f>
      </x:c>
      <x:c r="F15" s="15"/>
      <x:c r="G15" s="16"/>
      <x:c r="H15" s="15"/>
      <x:c r="I15" s="4" t="str">
        <x:f>IF(ISNUMBER(B15),IF(ISNUMBER(D15),IF(OR(F15="",G15="",H15=""),"Цена без полного КП","КП заполнено"),"Нет цены"),"Нет объёма")</x:f>
        <x:v>Нет цены</x:v>
      </x:c>
    </x:row>
    <x:row r="16" ht="23" customHeight="1">
      <x:c r="A16" s="4" t="str">
        <x:f>'Материалы'!B16</x:f>
        <x:v>Плитка малого формата — пол двух душевых</x:v>
      </x:c>
      <x:c r="B16" s="4" t="n">
        <x:f>IF(ISNUMBER('Материалы'!I16),'Материалы'!I16,"")</x:f>
        <x:v>2.2</x:v>
      </x:c>
      <x:c r="C16" s="4" t="str">
        <x:f>'Материалы'!C16</x:f>
        <x:v>м²</x:v>
      </x:c>
      <x:c r="D16" s="8"/>
      <x:c r="E16" s="4" t="str">
        <x:f>IF(AND(ISNUMBER(B16),ISNUMBER(D16)),ROUND(B16*D16,2),"")</x:f>
      </x:c>
      <x:c r="F16" s="15"/>
      <x:c r="G16" s="16"/>
      <x:c r="H16" s="15"/>
      <x:c r="I16" s="4" t="str">
        <x:f>IF(ISNUMBER(B16),IF(ISNUMBER(D16),IF(OR(F16="",G16="",H16=""),"Цена без полного КП","КП заполнено"),"Нет цены"),"Нет объёма")</x:f>
        <x:v>Нет цены</x:v>
      </x:c>
    </x:row>
    <x:row r="17" ht="23" customHeight="1">
      <x:c r="A17" s="4" t="str">
        <x:f>'Материалы'!B17</x:f>
        <x:v>Плитка стены кухни — пол–половина окна</x:v>
      </x:c>
      <x:c r="B17" s="4" t="n">
        <x:f>IF(ISNUMBER('Материалы'!I17),'Материалы'!I17,"")</x:f>
        <x:v>10.08</x:v>
      </x:c>
      <x:c r="C17" s="4" t="str">
        <x:f>'Материалы'!C17</x:f>
        <x:v>м²</x:v>
      </x:c>
      <x:c r="D17" s="8"/>
      <x:c r="E17" s="4" t="str">
        <x:f>IF(AND(ISNUMBER(B17),ISNUMBER(D17)),ROUND(B17*D17,2),"")</x:f>
      </x:c>
      <x:c r="F17" s="15"/>
      <x:c r="G17" s="16"/>
      <x:c r="H17" s="15"/>
      <x:c r="I17" s="4" t="str">
        <x:f>IF(ISNUMBER(B17),IF(ISNUMBER(D17),IF(OR(F17="",G17="",H17=""),"Цена без полного КП","КП заполнено"),"Нет цены"),"Нет объёма")</x:f>
        <x:v>Нет цены</x:v>
      </x:c>
    </x:row>
    <x:row r="18" ht="23" customHeight="1">
      <x:c r="A18" s="4" t="str">
        <x:f>'Материалы'!B18</x:f>
        <x:v>Плитка — все стены хозяйского санузла</x:v>
      </x:c>
      <x:c r="B18" s="4" t="n">
        <x:f>IF(ISNUMBER('Материалы'!I18),'Материалы'!I18,"")</x:f>
        <x:v>25.919999999999998</x:v>
      </x:c>
      <x:c r="C18" s="4" t="str">
        <x:f>'Материалы'!C18</x:f>
        <x:v>м²</x:v>
      </x:c>
      <x:c r="D18" s="8"/>
      <x:c r="E18" s="4" t="str">
        <x:f>IF(AND(ISNUMBER(B18),ISNUMBER(D18)),ROUND(B18*D18,2),"")</x:f>
      </x:c>
      <x:c r="F18" s="15"/>
      <x:c r="G18" s="16"/>
      <x:c r="H18" s="15"/>
      <x:c r="I18" s="4" t="str">
        <x:f>IF(ISNUMBER(B18),IF(ISNUMBER(D18),IF(OR(F18="",G18="",H18=""),"Цена без полного КП","КП заполнено"),"Нет цены"),"Нет объёма")</x:f>
        <x:v>Нет цены</x:v>
      </x:c>
    </x:row>
    <x:row r="19" ht="23" customHeight="1">
      <x:c r="A19" s="4" t="str">
        <x:f>'Материалы'!B19</x:f>
        <x:v>Плитка — две стены гостевого душа</x:v>
      </x:c>
      <x:c r="B19" s="4" t="n">
        <x:f>IF(ISNUMBER('Материалы'!I19),'Материалы'!I19,"")</x:f>
        <x:v>5.76</x:v>
      </x:c>
      <x:c r="C19" s="4" t="str">
        <x:f>'Материалы'!C19</x:f>
        <x:v>м²</x:v>
      </x:c>
      <x:c r="D19" s="8"/>
      <x:c r="E19" s="4" t="str">
        <x:f>IF(AND(ISNUMBER(B19),ISNUMBER(D19)),ROUND(B19*D19,2),"")</x:f>
      </x:c>
      <x:c r="F19" s="15"/>
      <x:c r="G19" s="16"/>
      <x:c r="H19" s="15"/>
      <x:c r="I19" s="4" t="str">
        <x:f>IF(ISNUMBER(B19),IF(ISNUMBER(D19),IF(OR(F19="",G19="",H19=""),"Цена без полного КП","КП заполнено"),"Нет цены"),"Нет объёма")</x:f>
        <x:v>Нет цены</x:v>
      </x:c>
    </x:row>
    <x:row r="20" ht="23" customHeight="1">
      <x:c r="A20" s="4" t="str">
        <x:f>'Материалы'!B20</x:f>
        <x:v>ГКЛВ — стены обоих санузлов, по слоям</x:v>
      </x:c>
      <x:c r="B20" s="4" t="n">
        <x:f>IF(ISNUMBER('Материалы'!I20),'Материалы'!I20,"")</x:f>
        <x:v>111.6</x:v>
      </x:c>
      <x:c r="C20" s="4" t="str">
        <x:f>'Материалы'!C20</x:f>
        <x:v>м²</x:v>
      </x:c>
      <x:c r="D20" s="8"/>
      <x:c r="E20" s="4" t="str">
        <x:f>IF(AND(ISNUMBER(B20),ISNUMBER(D20)),ROUND(B20*D20,2),"")</x:f>
      </x:c>
      <x:c r="F20" s="15"/>
      <x:c r="G20" s="16"/>
      <x:c r="H20" s="15"/>
      <x:c r="I20" s="4" t="str">
        <x:f>IF(ISNUMBER(B20),IF(ISNUMBER(D20),IF(OR(F20="",G20="",H20=""),"Цена без полного КП","КП заполнено"),"Нет цены"),"Нет объёма")</x:f>
        <x:v>Нет цены</x:v>
      </x:c>
    </x:row>
    <x:row r="21" ht="23" customHeight="1">
      <x:c r="A21" s="4" t="str">
        <x:f>'Материалы'!B21</x:f>
        <x:v>Жёсткое основание под плитку кухни</x:v>
      </x:c>
      <x:c r="B21" s="4" t="n">
        <x:f>IF(ISNUMBER('Материалы'!I21),'Материалы'!I21,"")</x:f>
        <x:v>9.310400000000001</x:v>
      </x:c>
      <x:c r="C21" s="4" t="str">
        <x:f>'Материалы'!C21</x:f>
        <x:v>м²</x:v>
      </x:c>
      <x:c r="D21" s="8"/>
      <x:c r="E21" s="4" t="str">
        <x:f>IF(AND(ISNUMBER(B21),ISNUMBER(D21)),ROUND(B21*D21,2),"")</x:f>
      </x:c>
      <x:c r="F21" s="15"/>
      <x:c r="G21" s="16"/>
      <x:c r="H21" s="15"/>
      <x:c r="I21" s="4" t="str">
        <x:f>IF(ISNUMBER(B21),IF(ISNUMBER(D21),IF(OR(F21="",G21="",H21=""),"Цена без полного КП","КП заполнено"),"Нет цены"),"Нет объёма")</x:f>
        <x:v>Нет цены</x:v>
      </x:c>
    </x:row>
    <x:row r="22" ht="23" customHeight="1">
      <x:c r="A22" s="4" t="str">
        <x:f>'Материалы'!B22</x:f>
        <x:v>ЦСП под деревянную отделку — локальная опция</x:v>
      </x:c>
      <x:c r="B22" s="4" t="str">
        <x:f>IF(ISNUMBER('Материалы'!I22),'Материалы'!I22,"")</x:f>
      </x:c>
      <x:c r="C22" s="4" t="str">
        <x:f>'Материалы'!C22</x:f>
        <x:v>м²</x:v>
      </x:c>
      <x:c r="D22" s="8"/>
      <x:c r="E22" s="4" t="str">
        <x:f>IF(AND(ISNUMBER(B22),ISNUMBER(D22)),ROUND(B22*D22,2),"")</x:f>
      </x:c>
      <x:c r="F22" s="15"/>
      <x:c r="G22" s="16"/>
      <x:c r="H22" s="15"/>
      <x:c r="I22" s="4" t="str">
        <x:f>IF(ISNUMBER(B22),IF(ISNUMBER(D22),IF(OR(F22="",G22="",H22=""),"Цена без полного КП","КП заполнено"),"Нет цены"),"Нет объёма")</x:f>
        <x:v>Нет объёма</x:v>
      </x:c>
    </x:row>
    <x:row r="23" ht="23" customHeight="1">
      <x:c r="A23" s="4" t="str">
        <x:f>'Материалы'!B23</x:f>
        <x:v>Наружное защитное полотно стены</x:v>
      </x:c>
      <x:c r="B23" s="4" t="n">
        <x:f>IF(ISNUMBER('Материалы'!I23),'Материалы'!I23,"")</x:f>
        <x:v>124.5726</x:v>
      </x:c>
      <x:c r="C23" s="4" t="str">
        <x:f>'Материалы'!C23</x:f>
        <x:v>м²</x:v>
      </x:c>
      <x:c r="D23" s="8"/>
      <x:c r="E23" s="4" t="str">
        <x:f>IF(AND(ISNUMBER(B23),ISNUMBER(D23)),ROUND(B23*D23,2),"")</x:f>
      </x:c>
      <x:c r="F23" s="15"/>
      <x:c r="G23" s="16"/>
      <x:c r="H23" s="15"/>
      <x:c r="I23" s="4" t="str">
        <x:f>IF(ISNUMBER(B23),IF(ISNUMBER(D23),IF(OR(F23="",G23="",H23=""),"Цена без полного КП","КП заполнено"),"Нет цены"),"Нет объёма")</x:f>
        <x:v>Нет цены</x:v>
      </x:c>
    </x:row>
    <x:row r="24" ht="23" customHeight="1">
      <x:c r="A24" s="4" t="str">
        <x:f>'Материалы'!B24</x:f>
        <x:v>Внутренний воздухоплотный слой стены</x:v>
      </x:c>
      <x:c r="B24" s="4" t="n">
        <x:f>IF(ISNUMBER('Материалы'!I24),'Материалы'!I24,"")</x:f>
        <x:v>112.27526666666664</x:v>
      </x:c>
      <x:c r="C24" s="4" t="str">
        <x:f>'Материалы'!C24</x:f>
        <x:v>м²</x:v>
      </x:c>
      <x:c r="D24" s="8"/>
      <x:c r="E24" s="4" t="str">
        <x:f>IF(AND(ISNUMBER(B24),ISNUMBER(D24)),ROUND(B24*D24,2),"")</x:f>
      </x:c>
      <x:c r="F24" s="15"/>
      <x:c r="G24" s="16"/>
      <x:c r="H24" s="15"/>
      <x:c r="I24" s="4" t="str">
        <x:f>IF(ISNUMBER(B24),IF(ISNUMBER(D24),IF(OR(F24="",G24="",H24=""),"Цена без полного КП","КП заполнено"),"Нет цены"),"Нет объёма")</x:f>
        <x:v>Нет цены</x:v>
      </x:c>
    </x:row>
    <x:row r="25" ht="23" customHeight="1">
      <x:c r="A25" s="4" t="str">
        <x:f>'Материалы'!B25</x:f>
        <x:v>Удерживающее полотно перегородок — 2 стороны</x:v>
      </x:c>
      <x:c r="B25" s="4" t="n">
        <x:f>IF(ISNUMBER('Материалы'!I25),'Материалы'!I25,"")</x:f>
        <x:v>147.522</x:v>
      </x:c>
      <x:c r="C25" s="4" t="str">
        <x:f>'Материалы'!C25</x:f>
        <x:v>м²</x:v>
      </x:c>
      <x:c r="D25" s="8"/>
      <x:c r="E25" s="4" t="str">
        <x:f>IF(AND(ISNUMBER(B25),ISNUMBER(D25)),ROUND(B25*D25,2),"")</x:f>
      </x:c>
      <x:c r="F25" s="15"/>
      <x:c r="G25" s="16"/>
      <x:c r="H25" s="15"/>
      <x:c r="I25" s="4" t="str">
        <x:f>IF(ISNUMBER(B25),IF(ISNUMBER(D25),IF(OR(F25="",G25="",H25=""),"Цена без полного КП","КП заполнено"),"Нет цены"),"Нет объёма")</x:f>
        <x:v>Нет цены</x:v>
      </x:c>
    </x:row>
    <x:row r="26" ht="23" customHeight="1">
      <x:c r="A26" s="4" t="str">
        <x:f>'Материалы'!B26</x:f>
        <x:v>Окраска стен гостевого санузла</x:v>
      </x:c>
      <x:c r="B26" s="4" t="n">
        <x:f>IF(ISNUMBER('Материалы'!I26),'Материалы'!I26,"")</x:f>
        <x:v>23.430000000000003</x:v>
      </x:c>
      <x:c r="C26" s="4" t="str">
        <x:f>'Материалы'!C26</x:f>
        <x:v>м²</x:v>
      </x:c>
      <x:c r="D26" s="8"/>
      <x:c r="E26" s="4" t="str">
        <x:f>IF(AND(ISNUMBER(B26),ISNUMBER(D26)),ROUND(B26*D26,2),"")</x:f>
      </x:c>
      <x:c r="F26" s="15"/>
      <x:c r="G26" s="16"/>
      <x:c r="H26" s="15"/>
      <x:c r="I26" s="4" t="str">
        <x:f>IF(ISNUMBER(B26),IF(ISNUMBER(D26),IF(OR(F26="",G26="",H26=""),"Цена без полного КП","КП заполнено"),"Нет цены"),"Нет объёма")</x:f>
        <x:v>Нет цены</x:v>
      </x:c>
    </x:row>
    <x:row r="27" ht="23" customHeight="1">
      <x:c r="A27" s="4" t="str">
        <x:f>'Материалы'!B28</x:f>
        <x:v>Натяжной потолок — два санузла</x:v>
      </x:c>
      <x:c r="B27" s="4" t="n">
        <x:f>IF(ISNUMBER('Материалы'!I28),'Материалы'!I28,"")</x:f>
        <x:v>9.992</x:v>
      </x:c>
      <x:c r="C27" s="4" t="str">
        <x:f>'Материалы'!C28</x:f>
        <x:v>м²</x:v>
      </x:c>
      <x:c r="D27" s="8"/>
      <x:c r="E27" s="4" t="str">
        <x:f>IF(AND(ISNUMBER(B27),ISNUMBER(D27)),ROUND(B27*D27,2),"")</x:f>
      </x:c>
      <x:c r="F27" s="15"/>
      <x:c r="G27" s="16"/>
      <x:c r="H27" s="15"/>
      <x:c r="I27" s="4" t="str">
        <x:f>IF(ISNUMBER(B27),IF(ISNUMBER(D27),IF(OR(F27="",G27="",H27=""),"Цена без полного КП","КП заполнено"),"Нет цены"),"Нет объёма")</x:f>
        <x:v>Нет цены</x:v>
      </x:c>
    </x:row>
    <x:row r="28" ht="23" customHeight="1">
      <x:c r="A28" s="4" t="str">
        <x:f>'Материалы'!B29</x:f>
        <x:v>Террасная доска — открытый настил</x:v>
      </x:c>
      <x:c r="B28" s="4" t="n">
        <x:f>IF(ISNUMBER('Материалы'!I29),'Материалы'!I29,"")</x:f>
        <x:v>65.7514</x:v>
      </x:c>
      <x:c r="C28" s="4" t="str">
        <x:f>'Материалы'!C29</x:f>
        <x:v>м²</x:v>
      </x:c>
      <x:c r="D28" s="8"/>
      <x:c r="E28" s="4" t="str">
        <x:f>IF(AND(ISNUMBER(B28),ISNUMBER(D28)),ROUND(B28*D28,2),"")</x:f>
      </x:c>
      <x:c r="F28" s="15"/>
      <x:c r="G28" s="16"/>
      <x:c r="H28" s="15"/>
      <x:c r="I28" s="4" t="str">
        <x:f>IF(ISNUMBER(B28),IF(ISNUMBER(D28),IF(OR(F28="",G28="",H28=""),"Цена без полного КП","КП заполнено"),"Нет цены"),"Нет объёма")</x:f>
        <x:v>Нет цены</x:v>
      </x:c>
    </x:row>
    <x:row r="29" ht="23" customHeight="1">
      <x:c r="A29" s="4" t="str">
        <x:f>'Материалы'!B33</x:f>
        <x:v>Лента примыканий кухни и двух санузлов</x:v>
      </x:c>
      <x:c r="B29" s="4" t="n">
        <x:f>IF(ISNUMBER('Материалы'!I33),'Материалы'!I33,"")</x:f>
        <x:v>32.498999999999995</x:v>
      </x:c>
      <x:c r="C29" s="4" t="str">
        <x:f>'Материалы'!C33</x:f>
        <x:v>м</x:v>
      </x:c>
      <x:c r="D29" s="8"/>
      <x:c r="E29" s="4" t="str">
        <x:f>IF(AND(ISNUMBER(B29),ISNUMBER(D29)),ROUND(B29*D29,2),"")</x:f>
      </x:c>
      <x:c r="F29" s="15"/>
      <x:c r="G29" s="16"/>
      <x:c r="H29" s="15"/>
      <x:c r="I29" s="4" t="str">
        <x:f>IF(ISNUMBER(B29),IF(ISNUMBER(D29),IF(OR(F29="",G29="",H29=""),"Цена без полного КП","КП заполнено"),"Нет цены"),"Нет объёма")</x:f>
        <x:v>Нет цены</x:v>
      </x:c>
    </x:row>
    <x:row r="30" ht="23" customHeight="1">
      <x:c r="A30" s="4" t="str">
        <x:f>'Материалы'!B34</x:f>
        <x:v>Эластичный стык столешницы со стеной</x:v>
      </x:c>
      <x:c r="B30" s="4" t="n">
        <x:f>IF(ISNUMBER('Материалы'!I34),'Материалы'!I34,"")</x:f>
        <x:v>6.601</x:v>
      </x:c>
      <x:c r="C30" s="4" t="str">
        <x:f>'Материалы'!C34</x:f>
        <x:v>м</x:v>
      </x:c>
      <x:c r="D30" s="8"/>
      <x:c r="E30" s="4" t="str">
        <x:f>IF(AND(ISNUMBER(B30),ISNUMBER(D30)),ROUND(B30*D30,2),"")</x:f>
      </x:c>
      <x:c r="F30" s="15"/>
      <x:c r="G30" s="16"/>
      <x:c r="H30" s="15"/>
      <x:c r="I30" s="4" t="str">
        <x:f>IF(ISNUMBER(B30),IF(ISNUMBER(D30),IF(OR(F30="",G30="",H30=""),"Цена без полного КП","КП заполнено"),"Нет цены"),"Нет объёма")</x:f>
        <x:v>Нет цены</x:v>
      </x:c>
    </x:row>
    <x:row r="31" ht="23" customHeight="1">
      <x:c r="A31" s="4" t="str">
        <x:f>'Материалы'!B35</x:f>
        <x:v>Наружная облицовка дома и глухой стены лаунджа</x:v>
      </x:c>
      <x:c r="B31" s="4" t="n">
        <x:f>IF(ISNUMBER('Материалы'!I35),'Материалы'!I35,"")</x:f>
        <x:v>135.00300000000001</x:v>
      </x:c>
      <x:c r="C31" s="4" t="str">
        <x:f>'Материалы'!C35</x:f>
        <x:v>м²</x:v>
      </x:c>
      <x:c r="D31" s="8"/>
      <x:c r="E31" s="4" t="str">
        <x:f>IF(AND(ISNUMBER(B31),ISNUMBER(D31)),ROUND(B31*D31,2),"")</x:f>
      </x:c>
      <x:c r="F31" s="15"/>
      <x:c r="G31" s="16"/>
      <x:c r="H31" s="15"/>
      <x:c r="I31" s="4" t="str">
        <x:f>IF(ISNUMBER(B31),IF(ISNUMBER(D31),IF(OR(F31="",G31="",H31=""),"Цена без полного КП","КП заполнено"),"Нет цены"),"Нет объёма")</x:f>
        <x:v>Нет цены</x:v>
      </x:c>
    </x:row>
    <x:row r="32" ht="23" customHeight="1">
      <x:c r="A32" s="4" t="str">
        <x:f>'Материалы'!B36</x:f>
        <x:v>Южная щековая стена западного свеса — 2 стороны</x:v>
      </x:c>
      <x:c r="B32" s="4" t="n">
        <x:f>IF(ISNUMBER('Материалы'!I36),'Материалы'!I36,"")</x:f>
        <x:v>18.150000000000002</x:v>
      </x:c>
      <x:c r="C32" s="4" t="str">
        <x:f>'Материалы'!C36</x:f>
        <x:v>м²</x:v>
      </x:c>
      <x:c r="D32" s="8"/>
      <x:c r="E32" s="4" t="str">
        <x:f>IF(AND(ISNUMBER(B32),ISNUMBER(D32)),ROUND(B32*D32,2),"")</x:f>
      </x:c>
      <x:c r="F32" s="15"/>
      <x:c r="G32" s="16"/>
      <x:c r="H32" s="15"/>
      <x:c r="I32" s="4" t="str">
        <x:f>IF(ISNUMBER(B32),IF(ISNUMBER(D32),IF(OR(F32="",G32="",H32=""),"Цена без полного КП","КП заполнено"),"Нет цены"),"Нет объёма")</x:f>
        <x:v>Нет цены</x:v>
      </x:c>
    </x:row>
    <x:row r="33" ht="23" customHeight="1">
      <x:c r="A33" s="4" t="str">
        <x:f>'Материалы'!B37</x:f>
        <x:v>Клей для всей плитки — после выбора продукта</x:v>
      </x:c>
      <x:c r="B33" s="4" t="str">
        <x:f>IF(ISNUMBER('Материалы'!I37),'Материалы'!I37,"")</x:f>
      </x:c>
      <x:c r="C33" s="4" t="str">
        <x:f>'Материалы'!C37</x:f>
        <x:v>кг</x:v>
      </x:c>
      <x:c r="D33" s="8"/>
      <x:c r="E33" s="4" t="str">
        <x:f>IF(AND(ISNUMBER(B33),ISNUMBER(D33)),ROUND(B33*D33,2),"")</x:f>
      </x:c>
      <x:c r="F33" s="15"/>
      <x:c r="G33" s="16"/>
      <x:c r="H33" s="15"/>
      <x:c r="I33" s="4" t="str">
        <x:f>IF(ISNUMBER(B33),IF(ISNUMBER(D33),IF(OR(F33="",G33="",H33=""),"Цена без полного КП","КП заполнено"),"Нет цены"),"Нет объёма")</x:f>
        <x:v>Нет объёма</x:v>
      </x:c>
    </x:row>
    <x:row r="34" ht="23" customHeight="1">
      <x:c r="A34" s="4" t="str">
        <x:f>'Материалы'!B38</x:f>
        <x:v>Затирка всей плитки — после выбора продукта</x:v>
      </x:c>
      <x:c r="B34" s="4" t="str">
        <x:f>IF(ISNUMBER('Материалы'!I38),'Материалы'!I38,"")</x:f>
      </x:c>
      <x:c r="C34" s="4" t="str">
        <x:f>'Материалы'!C38</x:f>
        <x:v>кг</x:v>
      </x:c>
      <x:c r="D34" s="8"/>
      <x:c r="E34" s="4" t="str">
        <x:f>IF(AND(ISNUMBER(B34),ISNUMBER(D34)),ROUND(B34*D34,2),"")</x:f>
      </x:c>
      <x:c r="F34" s="15"/>
      <x:c r="G34" s="16"/>
      <x:c r="H34" s="15"/>
      <x:c r="I34" s="4" t="str">
        <x:f>IF(ISNUMBER(B34),IF(ISNUMBER(D34),IF(OR(F34="",G34="",H34=""),"Цена без полного КП","КП заполнено"),"Нет цены"),"Нет объёма")</x:f>
        <x:v>Нет объёма</x:v>
      </x:c>
    </x:row>
    <x:row r="35" ht="23" customHeight="1">
      <x:c r="A35" s="4" t="str">
        <x:f>'Материалы'!B39</x:f>
        <x:v>Гидроизоляционный состав — весь расход</x:v>
      </x:c>
      <x:c r="B35" s="4" t="str">
        <x:f>IF(ISNUMBER('Материалы'!I39),'Материалы'!I39,"")</x:f>
      </x:c>
      <x:c r="C35" s="4" t="str">
        <x:f>'Материалы'!C39</x:f>
        <x:v>кг</x:v>
      </x:c>
      <x:c r="D35" s="8"/>
      <x:c r="E35" s="4" t="str">
        <x:f>IF(AND(ISNUMBER(B35),ISNUMBER(D35)),ROUND(B35*D35,2),"")</x:f>
      </x:c>
      <x:c r="F35" s="15"/>
      <x:c r="G35" s="16"/>
      <x:c r="H35" s="15"/>
      <x:c r="I35" s="4" t="str">
        <x:f>IF(ISNUMBER(B35),IF(ISNUMBER(D35),IF(OR(F35="",G35="",H35=""),"Цена без полного КП","КП заполнено"),"Нет цены"),"Нет объёма")</x:f>
        <x:v>Нет объёма</x:v>
      </x:c>
    </x:row>
    <x:row r="36" ht="23" customHeight="1">
      <x:c r="A36" s="4" t="str">
        <x:f>'Материалы'!B40</x:f>
        <x:v>Краска для деревянных стен — в литрах</x:v>
      </x:c>
      <x:c r="B36" s="4" t="str">
        <x:f>IF(ISNUMBER('Материалы'!I40),'Материалы'!I40,"")</x:f>
      </x:c>
      <x:c r="C36" s="4" t="str">
        <x:f>'Материалы'!C40</x:f>
        <x:v>л</x:v>
      </x:c>
      <x:c r="D36" s="8"/>
      <x:c r="E36" s="4" t="str">
        <x:f>IF(AND(ISNUMBER(B36),ISNUMBER(D36)),ROUND(B36*D36,2),"")</x:f>
      </x:c>
      <x:c r="F36" s="15"/>
      <x:c r="G36" s="16"/>
      <x:c r="H36" s="15"/>
      <x:c r="I36" s="4" t="str">
        <x:f>IF(ISNUMBER(B36),IF(ISNUMBER(D36),IF(OR(F36="",G36="",H36=""),"Цена без полного КП","КП заполнено"),"Нет цены"),"Нет объёма")</x:f>
        <x:v>Нет объёма</x:v>
      </x:c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ht="23" customHeight="1">
      <x:c r="A39" s="4" t="str">
        <x:v>Сумма заполненных цен</x:v>
      </x:c>
      <x:c r="B39" s="14" t="str">
        <x:f>IF(COUNT(E6:E36)=0,"нет цен",SUM(E6:E36))</x:f>
        <x:v>нет цен</x:v>
      </x:c>
      <x:c r="C39" s="4" t="str">
        <x:f>'Параметры'!$C$53</x:f>
        <x:v>BYN</x:v>
      </x:c>
      <x:c r="D39" s="4"/>
      <x:c r="E39" s="4"/>
      <x:c r="F39" s="4"/>
      <x:c r="G39" s="4"/>
      <x:c r="H39" s="4"/>
      <x:c r="I39" s="4"/>
    </x:row>
    <x:row r="40" ht="23" customHeight="1">
      <x:c r="A40" s="4" t="str">
        <x:v>Позиций с ценой</x:v>
      </x:c>
      <x:c r="B40" s="4" t="n">
        <x:f>COUNT(D6:D36)</x:f>
        <x:v>0</x:v>
      </x:c>
      <x:c r="C40" s="4"/>
      <x:c r="D40" s="4"/>
      <x:c r="E40" s="4"/>
      <x:c r="F40" s="4"/>
      <x:c r="G40" s="4"/>
      <x:c r="H40" s="4"/>
      <x:c r="I40" s="4"/>
    </x:row>
    <x:row r="41" ht="23" customHeight="1">
      <x:c r="A41" s="4" t="str">
        <x:v>Позиций без количества</x:v>
      </x:c>
      <x:c r="B41" s="4" t="n">
        <x:f>COUNTBLANK(B6:B36)</x:f>
        <x:v>5</x:v>
      </x:c>
      <x:c r="C41" s="4"/>
      <x:c r="D41" s="4"/>
      <x:c r="E41" s="4"/>
      <x:c r="F41" s="4"/>
      <x:c r="G41" s="4"/>
      <x:c r="H41" s="4"/>
      <x:c r="I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ht="23" customHeight="1">
      <x:c r="A43" s="4" t="str">
        <x:v>Сумма не является полной стоимостью строительства: работа, доставка, крепёж и невыбранные системы отдельно.</x:v>
      </x:c>
      <x:c r="B43" s="4"/>
      <x:c r="C43" s="4"/>
      <x:c r="D43" s="4"/>
      <x:c r="E43" s="4"/>
      <x:c r="F43" s="4"/>
      <x:c r="G43" s="4"/>
      <x:c r="H43" s="4"/>
      <x:c r="I43" s="4"/>
    </x:row>
    <x:row r="44" ht="23" customHeight="1">
      <x:c r="A44" s="4" t="str">
        <x:v>Вносить цены в BYN на одной налоговой базе. Для валютного КП сначала согласовать дату и курс пересчёта.</x:v>
      </x:c>
      <x:c r="B44" s="4"/>
      <x:c r="C44" s="4"/>
      <x:c r="D44" s="4"/>
      <x:c r="E44" s="4"/>
      <x:c r="F44" s="4"/>
      <x:c r="G44" s="4"/>
      <x:c r="H44" s="4"/>
      <x:c r="I44" s="4"/>
    </x:row>
    <x:row r="45" ht="23" customHeight="1">
      <x:c r="A45" s="4" t="str">
        <x:v>80 + 200 + 80 = 360 мм до обрешётки и отделки. В плане резерв стены 400 мм: остаётся 40 мм.</x:v>
      </x:c>
      <x:c r="B45" s="4"/>
      <x:c r="C45" s="4"/>
      <x:c r="D45" s="4"/>
      <x:c r="E45" s="4"/>
      <x:c r="F45" s="4"/>
      <x:c r="G45" s="4"/>
      <x:c r="H45" s="4"/>
      <x:c r="I45" s="4"/>
    </x:row>
    <x:row r="46" ht="23" customHeight="1">
      <x:c r="A46" s="4" t="str">
        <x:v>До заказа проверить высоты, конструкцию стены и полезные размеры выбранных изделий.</x:v>
      </x:c>
      <x:c r="B46" s="4"/>
      <x:c r="C46" s="4"/>
      <x:c r="D46" s="4"/>
      <x:c r="E46" s="4"/>
      <x:c r="F46" s="4"/>
      <x:c r="G46" s="4"/>
      <x:c r="H46" s="4"/>
      <x:c r="I46" s="4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</x:row>
  </x:sheetData>
  <x:conditionalFormatting sqref="I6:I36">
    <x:cfRule type="containsText" dxfId="0" priority="1" operator="containsText" text="Нет"/>
  </x:conditionalFormatting>
  <x:conditionalFormatting sqref="D6:D3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62" hidden="0" customWidth="1"/>
    <x:col min="3" max="3" width="8" hidden="0" customWidth="1"/>
    <x:col min="4" max="4" width="14" hidden="0" customWidth="1"/>
    <x:col min="5" max="5" width="12" hidden="0" customWidth="1"/>
    <x:col min="6" max="6" width="15" hidden="0" customWidth="1"/>
    <x:col min="7" max="7" width="16" hidden="0" customWidth="1"/>
    <x:col min="8" max="8" width="14" hidden="0" customWidth="1"/>
    <x:col min="9" max="9" width="15" hidden="0" customWidth="1"/>
    <x:col min="10" max="10" width="74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5" t="str">
        <x:v>Ведомость материалов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3" customHeight="1">
      <x:c r="A3" s="6" t="str">
        <x:v>Нетто → запас → округление упаковки. Жёлтые поля требуют выбранного изделия или замера.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2" t="str">
        <x:v>ID</x:v>
      </x:c>
      <x:c r="B5" s="12" t="str">
        <x:v>Материал / область</x:v>
      </x:c>
      <x:c r="C5" s="12" t="str">
        <x:v>Ед.</x:v>
      </x:c>
      <x:c r="D5" s="12" t="str">
        <x:v>Нетто</x:v>
      </x:c>
      <x:c r="E5" s="12" t="str">
        <x:v>Запас</x:v>
      </x:c>
      <x:c r="F5" s="12" t="str">
        <x:v>С запасом</x:v>
      </x:c>
      <x:c r="G5" s="12" t="str">
        <x:v>В упаковке</x:v>
      </x:c>
      <x:c r="H5" s="12" t="str">
        <x:v>Упаковок</x:v>
      </x:c>
      <x:c r="I5" s="12" t="str">
        <x:v>К закупке</x:v>
      </x:c>
      <x:c r="J5" s="12" t="str">
        <x:v>Примечание</x:v>
      </x:c>
    </x:row>
    <x:row r="6" ht="34" customHeight="1">
      <x:c r="A6" s="4" t="str">
        <x:v>BEL-OUT</x:v>
      </x:c>
      <x:c r="B6" s="4" t="str">
        <x:v>БЕЛТЕРМО 80 мм — наружная сторона</x:v>
      </x:c>
      <x:c r="C6" s="4" t="str">
        <x:v>м²</x:v>
      </x:c>
      <x:c r="D6" s="4" t="n">
        <x:f>'Оболочка'!I19</x:f>
        <x:v>108.324</x:v>
      </x:c>
      <x:c r="E6" s="17" t="n">
        <x:f>'Параметры'!$C$21</x:f>
        <x:v>0.1</x:v>
      </x:c>
      <x:c r="F6" s="4" t="n">
        <x:f>IF(ISNUMBER(D6),D6*(1+E6),"")</x:f>
        <x:v>119.1564</x:v>
      </x:c>
      <x:c r="G6" s="21" t="n">
        <x:f>'Параметры'!$C$34*'Параметры'!$C$35</x:f>
        <x:v>1.078125</x:v>
      </x:c>
      <x:c r="H6" s="19" t="n">
        <x:f>IF(AND(ISNUMBER(F6),ISNUMBER(G6)),ROUNDUP(F6/G6,0),"")</x:f>
        <x:v>111</x:v>
      </x:c>
      <x:c r="I6" s="4" t="n">
        <x:f>IF(ISNUMBER(F6),IF(ISNUMBER(G6),H6*G6,F6),"")</x:f>
        <x:v>119.671875</x:v>
      </x:c>
      <x:c r="J6" s="18" t="str">
        <x:v>Размер листа — сценарий. Откосы не включены.</x:v>
      </x:c>
    </x:row>
    <x:row r="7" ht="34" customHeight="1">
      <x:c r="A7" s="4" t="str">
        <x:v>BEL-IN</x:v>
      </x:c>
      <x:c r="B7" s="4" t="str">
        <x:v>БЕЛТЕРМО 80 мм — внутренняя сторона</x:v>
      </x:c>
      <x:c r="C7" s="4" t="str">
        <x:v>м²</x:v>
      </x:c>
      <x:c r="D7" s="4" t="n">
        <x:f>'Оболочка'!I20</x:f>
        <x:v>97.63066666666666</x:v>
      </x:c>
      <x:c r="E7" s="17" t="n">
        <x:f>'Параметры'!$C$21</x:f>
        <x:v>0.1</x:v>
      </x:c>
      <x:c r="F7" s="4" t="n">
        <x:f>IF(ISNUMBER(D7),D7*(1+E7),"")</x:f>
        <x:v>107.39373333333333</x:v>
      </x:c>
      <x:c r="G7" s="21" t="n">
        <x:f>'Параметры'!$C$34*'Параметры'!$C$35</x:f>
        <x:v>1.078125</x:v>
      </x:c>
      <x:c r="H7" s="19" t="n">
        <x:f>IF(AND(ISNUMBER(F7),ISNUMBER(G7)),ROUNDUP(F7/G7,0),"")</x:f>
        <x:v>100</x:v>
      </x:c>
      <x:c r="I7" s="4" t="n">
        <x:f>IF(ISNUMBER(F7),IF(ISNUMBER(G7),H7*G7,F7),"")</x:f>
        <x:v>107.8125</x:v>
      </x:c>
      <x:c r="J7" s="18" t="str">
        <x:v>Марка для внутреннего применения и крепление TBC.</x:v>
      </x:c>
    </x:row>
    <x:row r="8" ht="34" customHeight="1">
      <x:c r="A8" s="4" t="str">
        <x:v>ECO</x:v>
      </x:c>
      <x:c r="B8" s="4" t="str">
        <x:v>Эковата — наружные стены и перегородки</x:v>
      </x:c>
      <x:c r="C8" s="4" t="str">
        <x:v>кг</x:v>
      </x:c>
      <x:c r="D8" s="4" t="n">
        <x:f>'Оболочка'!I43</x:f>
        <x:v>1382.9460333333334</x:v>
      </x:c>
      <x:c r="E8" s="17" t="n">
        <x:f>'Параметры'!$C$17</x:f>
        <x:v>0.05</x:v>
      </x:c>
      <x:c r="F8" s="4" t="n">
        <x:f>IF(ISNUMBER(D8),D8*(1+E8),"")</x:f>
        <x:v>1452.093335</x:v>
      </x:c>
      <x:c r="G8" s="21" t="str">
        <x:f>IF(ISNUMBER('Параметры'!$C$18),'Параметры'!$C$18,"")</x:f>
      </x:c>
      <x:c r="H8" s="19" t="str">
        <x:f>IF(AND(ISNUMBER(F8),ISNUMBER(G8)),ROUNDUP(F8/G8,0),"")</x:f>
      </x:c>
      <x:c r="I8" s="4" t="n">
        <x:f>IF(ISNUMBER(F8),IF(ISNUMBER(G8),H8*G8,F8),"")</x:f>
        <x:v>1452.093335</x:v>
      </x:c>
      <x:c r="J8" s="18" t="str">
        <x:v>55 кг/м³ и 15% древесины — допущения. Потолок не включён.</x:v>
      </x:c>
    </x:row>
    <x:row r="9" ht="34" customHeight="1">
      <x:c r="A9" s="4" t="str">
        <x:v>WOOD-WALL</x:v>
      </x:c>
      <x:c r="B9" s="4" t="str">
        <x:v>Имитация бруса — сухие стены и лаундж</x:v>
      </x:c>
      <x:c r="C9" s="4" t="str">
        <x:v>м²</x:v>
      </x:c>
      <x:c r="D9" s="4" t="n">
        <x:f>SUM('Стены'!K6:K38)</x:f>
        <x:v>165.0713333333329</x:v>
      </x:c>
      <x:c r="E9" s="17" t="n">
        <x:f>'Параметры'!$C$20</x:f>
        <x:v>0.1</x:v>
      </x:c>
      <x:c r="F9" s="4" t="n">
        <x:f>IF(ISNUMBER(D9),D9*(1+E9),"")</x:f>
        <x:v>181.5784666666662</x:v>
      </x:c>
      <x:c r="G9" s="21" t="n">
        <x:f>'Параметры'!$C$30*'Параметры'!$C$31</x:f>
        <x:v>0.5549999999999999</x:v>
      </x:c>
      <x:c r="H9" s="19" t="n">
        <x:f>IF(AND(ISNUMBER(F9),ISNUMBER(G9)),ROUNDUP(F9/G9,0),"")</x:f>
        <x:v>328</x:v>
      </x:c>
      <x:c r="I9" s="4" t="n">
        <x:f>IF(ISNUMBER(F9),IF(ISNUMBER(G9),H9*G9,F9),"")</x:f>
        <x:v>182.04</x:v>
      </x:c>
      <x:c r="J9" s="18" t="str">
        <x:v>Количество заготовок эквивалентное по площади; нужна карта стыков.</x:v>
      </x:c>
    </x:row>
    <x:row r="10" ht="34" customHeight="1">
      <x:c r="A10" s="4" t="str">
        <x:v>WOOD-CEIL</x:v>
      </x:c>
      <x:c r="B10" s="4" t="str">
        <x:v>Вагонка — потолки дома и лаунджа</x:v>
      </x:c>
      <x:c r="C10" s="4" t="str">
        <x:v>м²</x:v>
      </x:c>
      <x:c r="D10" s="4" t="n">
        <x:f>SUM('Полы и потолки'!E24:E30)</x:f>
        <x:v>107.54426666666667</x:v>
      </x:c>
      <x:c r="E10" s="17" t="n">
        <x:f>'Параметры'!$C$20</x:f>
        <x:v>0.1</x:v>
      </x:c>
      <x:c r="F10" s="4" t="n">
        <x:f>IF(ISNUMBER(D10),D10*(1+E10),"")</x:f>
        <x:v>118.29869333333335</x:v>
      </x:c>
      <x:c r="G10" s="21" t="n">
        <x:f>'Параметры'!$C$32*'Параметры'!$C$33</x:f>
        <x:v>0.405</x:v>
      </x:c>
      <x:c r="H10" s="19" t="n">
        <x:f>IF(AND(ISNUMBER(F10),ISNUMBER(G10)),ROUNDUP(F10/G10,0),"")</x:f>
        <x:v>293</x:v>
      </x:c>
      <x:c r="I10" s="4" t="n">
        <x:f>IF(ISNUMBER(F10),IF(ISNUMBER(G10),H10*G10,F10),"")</x:f>
        <x:v>118.665</x:v>
      </x:c>
      <x:c r="J10" s="18" t="str">
        <x:v>Скаты по фактической наклонной площади.</x:v>
      </x:c>
    </x:row>
    <x:row r="11" ht="34" customHeight="1">
      <x:c r="A11" s="4" t="str">
        <x:v>SOFFIT</x:v>
      </x:c>
      <x:c r="B11" s="4" t="str">
        <x:v>Деревянная подшивка — наружные свесы</x:v>
      </x:c>
      <x:c r="C11" s="4" t="str">
        <x:v>м²</x:v>
      </x:c>
      <x:c r="D11" s="4" t="n">
        <x:f>SUM('Полы и потолки'!E33:E34)</x:f>
        <x:v>52.774</x:v>
      </x:c>
      <x:c r="E11" s="17" t="n">
        <x:f>'Параметры'!$C$20</x:f>
        <x:v>0.1</x:v>
      </x:c>
      <x:c r="F11" s="4" t="n">
        <x:f>IF(ISNUMBER(D11),D11*(1+E11),"")</x:f>
        <x:v>58.05140000000001</x:v>
      </x:c>
      <x:c r="G11" s="21" t="n">
        <x:f>'Параметры'!$C$32*'Параметры'!$C$33</x:f>
        <x:v>0.405</x:v>
      </x:c>
      <x:c r="H11" s="19" t="n">
        <x:f>IF(AND(ISNUMBER(F11),ISNUMBER(G11)),ROUNDUP(F11/G11,0),"")</x:f>
        <x:v>144</x:v>
      </x:c>
      <x:c r="I11" s="4" t="n">
        <x:f>IF(ISNUMBER(F11),IF(ISNUMBER(G11),H11*G11,F11),"")</x:f>
        <x:v>58.32000000000001</x:v>
      </x:c>
      <x:c r="J11" s="18" t="str">
        <x:v>Вентиляционные решётки и профиль карниза отдельно.</x:v>
      </x:c>
    </x:row>
    <x:row r="12" ht="34" customHeight="1">
      <x:c r="A12" s="4" t="str">
        <x:v>FLOOR-WOOD</x:v>
      </x:c>
      <x:c r="B12" s="4" t="str">
        <x:v>Деревянный пол — две спальни</x:v>
      </x:c>
      <x:c r="C12" s="4" t="str">
        <x:v>м²</x:v>
      </x:c>
      <x:c r="D12" s="4" t="n">
        <x:f>'Полы и потолки'!E19</x:f>
        <x:v>26.046</x:v>
      </x:c>
      <x:c r="E12" s="17" t="n">
        <x:f>'Параметры'!$C$20</x:f>
        <x:v>0.1</x:v>
      </x:c>
      <x:c r="F12" s="4" t="n">
        <x:f>IF(ISNUMBER(D12),D12*(1+E12),"")</x:f>
        <x:v>28.6506</x:v>
      </x:c>
      <x:c r="G12" s="8"/>
      <x:c r="H12" s="19" t="str">
        <x:f>IF(AND(ISNUMBER(F12),ISNUMBER(G12)),ROUNDUP(F12/G12,0),"")</x:f>
      </x:c>
      <x:c r="I12" s="4" t="n">
        <x:f>IF(ISNUMBER(F12),IF(ISNUMBER(G12),H12*G12,F12),"")</x:f>
        <x:v>28.6506</x:v>
      </x:c>
      <x:c r="J12" s="18" t="str">
        <x:v>Упаковку заполнить после выбора доски.</x:v>
      </x:c>
    </x:row>
    <x:row r="13" ht="34" customHeight="1">
      <x:c r="A13" s="4" t="str">
        <x:v>TILE-MAIN</x:v>
      </x:c>
      <x:c r="B13" s="4" t="str">
        <x:v>Плитка 600×600 — кухня, гостиная, прихожая</x:v>
      </x:c>
      <x:c r="C13" s="4" t="str">
        <x:v>м²</x:v>
      </x:c>
      <x:c r="D13" s="4" t="n">
        <x:f>SUM('Полы и потолки'!F6:F7)+'Полы и потолки'!F12+'Полы и потолки'!F14+'Полы и потолки'!F16</x:f>
        <x:v>38.82560000000001</x:v>
      </x:c>
      <x:c r="E13" s="17" t="n">
        <x:f>'Параметры'!$C$19</x:f>
        <x:v>0.1</x:v>
      </x:c>
      <x:c r="F13" s="4" t="n">
        <x:f>IF(ISNUMBER(D13),D13*(1+E13),"")</x:f>
        <x:v>42.708160000000014</x:v>
      </x:c>
      <x:c r="G13" s="21" t="n">
        <x:f>'Параметры'!$C$25</x:f>
        <x:v>1.44</x:v>
      </x:c>
      <x:c r="H13" s="19" t="n">
        <x:f>IF(AND(ISNUMBER(F13),ISNUMBER(G13)),ROUNDUP(F13/G13,0),"")</x:f>
        <x:v>30</x:v>
      </x:c>
      <x:c r="I13" s="4" t="n">
        <x:f>IF(ISNUMBER(F13),IF(ISNUMBER(G13),H13*G13,F13),"")</x:f>
        <x:v>43.199999999999996</x:v>
      </x:c>
      <x:c r="J13" s="18" t="str">
        <x:v>Один светлый тёплый оттенок; SKU не выбран.</x:v>
      </x:c>
    </x:row>
    <x:row r="14" ht="34" customHeight="1">
      <x:c r="A14" s="4" t="str">
        <x:v>TILE-LOUNGE</x:v>
      </x:c>
      <x:c r="B14" s="4" t="str">
        <x:v>Плитка 600×600 — остеклённый лаундж</x:v>
      </x:c>
      <x:c r="C14" s="4" t="str">
        <x:v>м²</x:v>
      </x:c>
      <x:c r="D14" s="4" t="n">
        <x:f>'Полы и потолки'!F17</x:f>
        <x:v>41.16</x:v>
      </x:c>
      <x:c r="E14" s="17" t="n">
        <x:f>'Параметры'!$C$19</x:f>
        <x:v>0.1</x:v>
      </x:c>
      <x:c r="F14" s="4" t="n">
        <x:f>IF(ISNUMBER(D14),D14*(1+E14),"")</x:f>
        <x:v>45.276</x:v>
      </x:c>
      <x:c r="G14" s="21" t="n">
        <x:f>'Параметры'!$C$25</x:f>
        <x:v>1.44</x:v>
      </x:c>
      <x:c r="H14" s="19" t="n">
        <x:f>IF(AND(ISNUMBER(F14),ISNUMBER(G14)),ROUNDUP(F14/G14,0),"")</x:f>
        <x:v>32</x:v>
      </x:c>
      <x:c r="I14" s="4" t="n">
        <x:f>IF(ISNUMBER(F14),IF(ISNUMBER(G14),H14*G14,F14),"")</x:f>
        <x:v>46.08</x:v>
      </x:c>
      <x:c r="J14" s="18" t="str">
        <x:v>Проверить морозостойкость и скольжение по режиму лаунджа.</x:v>
      </x:c>
    </x:row>
    <x:row r="15" ht="34" customHeight="1">
      <x:c r="A15" s="4" t="str">
        <x:v>TILE-BATH</x:v>
      </x:c>
      <x:c r="B15" s="4" t="str">
        <x:v>Плитка 600×600 — санузлы вне душевых</x:v>
      </x:c>
      <x:c r="C15" s="4" t="str">
        <x:v>м²</x:v>
      </x:c>
      <x:c r="D15" s="4" t="n">
        <x:f>SUM('Полы и потолки'!F8:F9)+'Полы и потолки'!F13+'Полы и потолки'!F15</x:f>
        <x:v>8.262</x:v>
      </x:c>
      <x:c r="E15" s="17" t="n">
        <x:f>'Параметры'!$C$19</x:f>
        <x:v>0.1</x:v>
      </x:c>
      <x:c r="F15" s="4" t="n">
        <x:f>IF(ISNUMBER(D15),D15*(1+E15),"")</x:f>
        <x:v>9.0882</x:v>
      </x:c>
      <x:c r="G15" s="21" t="n">
        <x:f>'Параметры'!$C$25</x:f>
        <x:v>1.44</x:v>
      </x:c>
      <x:c r="H15" s="19" t="n">
        <x:f>IF(AND(ISNUMBER(F15),ISNUMBER(G15)),ROUNDUP(F15/G15,0),"")</x:f>
        <x:v>7</x:v>
      </x:c>
      <x:c r="I15" s="4" t="n">
        <x:f>IF(ISNUMBER(F15),IF(ISNUMBER(G15),H15*G15,F15),"")</x:f>
        <x:v>10.08</x:v>
      </x:c>
      <x:c r="J15" s="18" t="str">
        <x:v>Та же коллекция либо отдельный артикул; два душевых по 1 м² вычтены.</x:v>
      </x:c>
    </x:row>
    <x:row r="16" ht="34" customHeight="1">
      <x:c r="A16" s="4" t="str">
        <x:v>TILE-SHOWER</x:v>
      </x:c>
      <x:c r="B16" s="4" t="str">
        <x:v>Плитка малого формата — пол двух душевых</x:v>
      </x:c>
      <x:c r="C16" s="4" t="str">
        <x:v>м²</x:v>
      </x:c>
      <x:c r="D16" s="4" t="n">
        <x:f>'Полы и потолки'!G19</x:f>
        <x:v>2</x:v>
      </x:c>
      <x:c r="E16" s="17" t="n">
        <x:f>'Параметры'!$C$19</x:f>
        <x:v>0.1</x:v>
      </x:c>
      <x:c r="F16" s="4" t="n">
        <x:f>IF(ISNUMBER(D16),D16*(1+E16),"")</x:f>
        <x:v>2.2</x:v>
      </x:c>
      <x:c r="G16" s="8"/>
      <x:c r="H16" s="19" t="str">
        <x:f>IF(AND(ISNUMBER(F16),ISNUMBER(G16)),ROUNDUP(F16/G16,0),"")</x:f>
      </x:c>
      <x:c r="I16" s="4" t="n">
        <x:f>IF(ISNUMBER(F16),IF(ISNUMBER(G16),H16*G16,F16),"")</x:f>
        <x:v>2.2</x:v>
      </x:c>
      <x:c r="J16" s="18" t="str">
        <x:v>100×100 предложено для уклонов. Раскладка и слив TBC.</x:v>
      </x:c>
    </x:row>
    <x:row r="17" ht="34" customHeight="1">
      <x:c r="A17" s="4" t="str">
        <x:v>TILE-KITCHEN</x:v>
      </x:c>
      <x:c r="B17" s="4" t="str">
        <x:v>Плитка стены кухни — пол–половина окна</x:v>
      </x:c>
      <x:c r="C17" s="4" t="str">
        <x:v>м²</x:v>
      </x:c>
      <x:c r="D17" s="4" t="n">
        <x:f>SUM('Стены'!J6,'Стены'!J7,'Стены'!J8,'Стены'!J9,'Стены'!J10,'Стены'!J11)</x:f>
        <x:v>8.464</x:v>
      </x:c>
      <x:c r="E17" s="17" t="n">
        <x:f>'Параметры'!$C$19</x:f>
        <x:v>0.1</x:v>
      </x:c>
      <x:c r="F17" s="4" t="n">
        <x:f>IF(ISNUMBER(D17),D17*(1+E17),"")</x:f>
        <x:v>9.310400000000001</x:v>
      </x:c>
      <x:c r="G17" s="21" t="n">
        <x:f>'Параметры'!$C$28</x:f>
        <x:v>1.44</x:v>
      </x:c>
      <x:c r="H17" s="19" t="n">
        <x:f>IF(AND(ISNUMBER(F17),ISNUMBER(G17)),ROUNDUP(F17/G17,0),"")</x:f>
        <x:v>7</x:v>
      </x:c>
      <x:c r="I17" s="4" t="n">
        <x:f>IF(ISNUMBER(F17),IF(ISNUMBER(G17),H17*G17,F17),"")</x:f>
        <x:v>10.08</x:v>
      </x:c>
      <x:c r="J17" s="18" t="str">
        <x:v>За всей кухней, холодильником, до косяка D02. Без откосов.</x:v>
      </x:c>
    </x:row>
    <x:row r="18" ht="34" customHeight="1">
      <x:c r="A18" s="4" t="str">
        <x:v>TILE-MASTER-W</x:v>
      </x:c>
      <x:c r="B18" s="4" t="str">
        <x:v>Плитка — все стены хозяйского санузла</x:v>
      </x:c>
      <x:c r="C18" s="4" t="str">
        <x:v>м²</x:v>
      </x:c>
      <x:c r="D18" s="4" t="n">
        <x:f>SUM('Стены'!J22,'Стены'!J23,'Стены'!J24,'Стены'!J25)</x:f>
        <x:v>22.71</x:v>
      </x:c>
      <x:c r="E18" s="17" t="n">
        <x:f>'Параметры'!$C$19</x:f>
        <x:v>0.1</x:v>
      </x:c>
      <x:c r="F18" s="4" t="n">
        <x:f>IF(ISNUMBER(D18),D18*(1+E18),"")</x:f>
        <x:v>24.981</x:v>
      </x:c>
      <x:c r="G18" s="21" t="n">
        <x:f>'Параметры'!$C$28</x:f>
        <x:v>1.44</x:v>
      </x:c>
      <x:c r="H18" s="19" t="n">
        <x:f>IF(AND(ISNUMBER(F18),ISNUMBER(G18)),ROUNDUP(F18/G18,0),"")</x:f>
        <x:v>18</x:v>
      </x:c>
      <x:c r="I18" s="4" t="n">
        <x:f>IF(ISNUMBER(F18),IF(ISNUMBER(G18),H18*G18,F18),"")</x:f>
        <x:v>25.919999999999998</x:v>
      </x:c>
      <x:c r="J18" s="18" t="str">
        <x:v>Полная высота 3 м — графический сценарий; дверь и окно вычтены.</x:v>
      </x:c>
    </x:row>
    <x:row r="19" ht="34" customHeight="1">
      <x:c r="A19" s="4" t="str">
        <x:v>TILE-GUEST-W</x:v>
      </x:c>
      <x:c r="B19" s="4" t="str">
        <x:v>Плитка — две стены гостевого душа</x:v>
      </x:c>
      <x:c r="C19" s="4" t="str">
        <x:v>м²</x:v>
      </x:c>
      <x:c r="D19" s="4" t="n">
        <x:f>2*'Параметры'!$C$42</x:f>
        <x:v>4.2</x:v>
      </x:c>
      <x:c r="E19" s="17" t="n">
        <x:f>'Параметры'!$C$19</x:f>
        <x:v>0.1</x:v>
      </x:c>
      <x:c r="F19" s="4" t="n">
        <x:f>IF(ISNUMBER(D19),D19*(1+E19),"")</x:f>
        <x:v>4.620000000000001</x:v>
      </x:c>
      <x:c r="G19" s="21" t="n">
        <x:f>'Параметры'!$C$28</x:f>
        <x:v>1.44</x:v>
      </x:c>
      <x:c r="H19" s="19" t="n">
        <x:f>IF(AND(ISNUMBER(F19),ISNUMBER(G19)),ROUNDUP(F19/G19,0),"")</x:f>
        <x:v>4</x:v>
      </x:c>
      <x:c r="I19" s="4" t="n">
        <x:f>IF(ISNUMBER(F19),IF(ISNUMBER(G19),H19*G19,F19),"")</x:f>
        <x:v>5.76</x:v>
      </x:c>
      <x:c r="J19" s="18" t="str">
        <x:v>Две стены по 1 м, высота 2.1 м — предложение.</x:v>
      </x:c>
    </x:row>
    <x:row r="20" ht="34" customHeight="1">
      <x:c r="A20" s="4" t="str">
        <x:v>GKLV</x:v>
      </x:c>
      <x:c r="B20" s="4" t="str">
        <x:v>ГКЛВ — стены обоих санузлов, по слоям</x:v>
      </x:c>
      <x:c r="C20" s="4" t="str">
        <x:v>м²</x:v>
      </x:c>
      <x:c r="D20" s="4" t="n">
        <x:f>SUM('Стены'!I18,'Стены'!I19,'Стены'!I20,'Стены'!I21,'Стены'!I22,'Стены'!I23,'Стены'!I24,'Стены'!I25)*'Параметры'!$C$38</x:f>
        <x:v>100.68000000000002</x:v>
      </x:c>
      <x:c r="E20" s="17" t="n">
        <x:f>'Параметры'!$C$21</x:f>
        <x:v>0.1</x:v>
      </x:c>
      <x:c r="F20" s="4" t="n">
        <x:f>IF(ISNUMBER(D20),D20*(1+E20),"")</x:f>
        <x:v>110.74800000000003</x:v>
      </x:c>
      <x:c r="G20" s="21" t="n">
        <x:f>'Параметры'!$C$36*'Параметры'!$C$37</x:f>
        <x:v>3.5999999999999996</x:v>
      </x:c>
      <x:c r="H20" s="19" t="n">
        <x:f>IF(AND(ISNUMBER(F20),ISNUMBER(G20)),ROUNDUP(F20/G20,0),"")</x:f>
        <x:v>31</x:v>
      </x:c>
      <x:c r="I20" s="4" t="n">
        <x:f>IF(ISNUMBER(F20),IF(ISNUMBER(G20),H20*G20,F20),"")</x:f>
        <x:v>111.6</x:v>
      </x:c>
      <x:c r="J20" s="18" t="str">
        <x:v>2 слоя — только расчётный сценарий. В душах проверить допустимость системы.</x:v>
      </x:c>
    </x:row>
    <x:row r="21" ht="34" customHeight="1">
      <x:c r="A21" s="4" t="str">
        <x:v>BACKER-K</x:v>
      </x:c>
      <x:c r="B21" s="4" t="str">
        <x:v>Жёсткое основание под плитку кухни</x:v>
      </x:c>
      <x:c r="C21" s="4" t="str">
        <x:v>м²</x:v>
      </x:c>
      <x:c r="D21" s="4" t="n">
        <x:f>'Материалы'!D17</x:f>
        <x:v>8.464</x:v>
      </x:c>
      <x:c r="E21" s="17" t="n">
        <x:f>'Параметры'!$C$21</x:f>
        <x:v>0.1</x:v>
      </x:c>
      <x:c r="F21" s="4" t="n">
        <x:f>IF(ISNUMBER(D21),D21*(1+E21),"")</x:f>
        <x:v>9.310400000000001</x:v>
      </x:c>
      <x:c r="G21" s="8"/>
      <x:c r="H21" s="19" t="str">
        <x:f>IF(AND(ISNUMBER(F21),ISNUMBER(G21)),ROUNDUP(F21/G21,0),"")</x:f>
      </x:c>
      <x:c r="I21" s="4" t="n">
        <x:f>IF(ISNUMBER(F21),IF(ISNUMBER(G21),H21*G21,F21),"")</x:f>
        <x:v>9.310400000000001</x:v>
      </x:c>
      <x:c r="J21" s="18" t="str">
        <x:v>Тип и количество слоёв TBC; не крепить плитку к мягкой теплоизоляции.</x:v>
      </x:c>
    </x:row>
    <x:row r="22" ht="34" customHeight="1">
      <x:c r="A22" s="4" t="str">
        <x:v>CSP-OPTION</x:v>
      </x:c>
      <x:c r="B22" s="4" t="str">
        <x:v>ЦСП под деревянную отделку — локальная опция</x:v>
      </x:c>
      <x:c r="C22" s="4" t="str">
        <x:v>м²</x:v>
      </x:c>
      <x:c r="D22" s="4" t="str">
        <x:f>IF(ISNUMBER('Параметры'!$C$41),SUM('Стены'!K6:K38)*'Параметры'!$C$41,"")</x:f>
      </x:c>
      <x:c r="E22" s="17" t="n">
        <x:f>'Параметры'!$C$21</x:f>
        <x:v>0.1</x:v>
      </x:c>
      <x:c r="F22" s="4" t="str">
        <x:f>IF(ISNUMBER(D22),D22*(1+E22),"")</x:f>
      </x:c>
      <x:c r="G22" s="21" t="n">
        <x:f>'Параметры'!$C$39*'Параметры'!$C$40</x:f>
        <x:v>4</x:v>
      </x:c>
      <x:c r="H22" s="19" t="str">
        <x:f>IF(AND(ISNUMBER(F22),ISNUMBER(G22)),ROUNDUP(F22/G22,0),"")</x:f>
      </x:c>
      <x:c r="I22" s="4" t="str">
        <x:f>IF(ISNUMBER(F22),IF(ISNUMBER(G22),H22*G22,F22),"")</x:f>
      </x:c>
      <x:c r="J22" s="18" t="str">
        <x:v>Не включено до выбора зон. ЦСП не заменяет расчёт связей каркаса.</x:v>
      </x:c>
    </x:row>
    <x:row r="23" ht="34" customHeight="1">
      <x:c r="A23" s="4" t="str">
        <x:v>MEM-EXT</x:v>
      </x:c>
      <x:c r="B23" s="4" t="str">
        <x:v>Наружное защитное полотно стены</x:v>
      </x:c>
      <x:c r="C23" s="4" t="str">
        <x:v>м²</x:v>
      </x:c>
      <x:c r="D23" s="4" t="n">
        <x:f>'Оболочка'!I19</x:f>
        <x:v>108.324</x:v>
      </x:c>
      <x:c r="E23" s="17" t="n">
        <x:f>'Параметры'!$C$22</x:f>
        <x:v>0.15</x:v>
      </x:c>
      <x:c r="F23" s="4" t="n">
        <x:f>IF(ISNUMBER(D23),D23*(1+E23),"")</x:f>
        <x:v>124.5726</x:v>
      </x:c>
      <x:c r="G23" s="8"/>
      <x:c r="H23" s="19" t="str">
        <x:f>IF(AND(ISNUMBER(F23),ISNUMBER(G23)),ROUNDUP(F23/G23,0),"")</x:f>
      </x:c>
      <x:c r="I23" s="4" t="n">
        <x:f>IF(ISNUMBER(F23),IF(ISNUMBER(G23),H23*G23,F23),"")</x:f>
        <x:v>124.5726</x:v>
      </x:c>
      <x:c r="J23" s="18" t="str">
        <x:v>Площадь для запроса КП. Необходимость отдельной мембраны зависит от БЕЛТЕРМО.</x:v>
      </x:c>
    </x:row>
    <x:row r="24" ht="34" customHeight="1">
      <x:c r="A24" s="4" t="str">
        <x:v>MEM-IN</x:v>
      </x:c>
      <x:c r="B24" s="4" t="str">
        <x:v>Внутренний воздухоплотный слой стены</x:v>
      </x:c>
      <x:c r="C24" s="4" t="str">
        <x:v>м²</x:v>
      </x:c>
      <x:c r="D24" s="4" t="n">
        <x:f>'Оболочка'!I20</x:f>
        <x:v>97.63066666666666</x:v>
      </x:c>
      <x:c r="E24" s="17" t="n">
        <x:f>'Параметры'!$C$22</x:f>
        <x:v>0.15</x:v>
      </x:c>
      <x:c r="F24" s="4" t="n">
        <x:f>IF(ISNUMBER(D24),D24*(1+E24),"")</x:f>
        <x:v>112.27526666666664</x:v>
      </x:c>
      <x:c r="G24" s="8"/>
      <x:c r="H24" s="19" t="str">
        <x:f>IF(AND(ISNUMBER(F24),ISNUMBER(G24)),ROUNDUP(F24/G24,0),"")</x:f>
      </x:c>
      <x:c r="I24" s="4" t="n">
        <x:f>IF(ISNUMBER(F24),IF(ISNUMBER(G24),H24*G24,F24),"")</x:f>
        <x:v>112.27526666666664</x:v>
      </x:c>
      <x:c r="J24" s="18" t="str">
        <x:v>Тип и Sd назначаются расчётом влаги; не две паронепроницаемые плёнки.</x:v>
      </x:c>
    </x:row>
    <x:row r="25" ht="34" customHeight="1">
      <x:c r="A25" s="4" t="str">
        <x:v>MEM-PART</x:v>
      </x:c>
      <x:c r="B25" s="4" t="str">
        <x:v>Удерживающее полотно перегородок — 2 стороны</x:v>
      </x:c>
      <x:c r="C25" s="4" t="str">
        <x:v>м²</x:v>
      </x:c>
      <x:c r="D25" s="4" t="n">
        <x:f>2*'Оболочка'!I35</x:f>
        <x:v>128.28</x:v>
      </x:c>
      <x:c r="E25" s="17" t="n">
        <x:f>'Параметры'!$C$22</x:f>
        <x:v>0.15</x:v>
      </x:c>
      <x:c r="F25" s="4" t="n">
        <x:f>IF(ISNUMBER(D25),D25*(1+E25),"")</x:f>
        <x:v>147.522</x:v>
      </x:c>
      <x:c r="G25" s="8"/>
      <x:c r="H25" s="19" t="str">
        <x:f>IF(AND(ISNUMBER(F25),ISNUMBER(G25)),ROUNDUP(F25/G25,0),"")</x:f>
      </x:c>
      <x:c r="I25" s="4" t="n">
        <x:f>IF(ISNUMBER(F25),IF(ISNUMBER(G25),H25*G25,F25),"")</x:f>
        <x:v>147.522</x:v>
      </x:c>
      <x:c r="J25" s="18" t="str">
        <x:v>Сценарий. Если удерживает жёсткая обшивка, эту строку исключить.</x:v>
      </x:c>
    </x:row>
    <x:row r="26" ht="34" customHeight="1">
      <x:c r="A26" s="4" t="str">
        <x:v>PAINT-GUEST</x:v>
      </x:c>
      <x:c r="B26" s="4" t="str">
        <x:v>Окраска стен гостевого санузла</x:v>
      </x:c>
      <x:c r="C26" s="4" t="str">
        <x:v>м²</x:v>
      </x:c>
      <x:c r="D26" s="4" t="n">
        <x:f>SUM('Стены'!L6:L38)</x:f>
        <x:v>23.430000000000003</x:v>
      </x:c>
      <x:c r="E26" s="17" t="n">
        <x:f>0</x:f>
        <x:v>0</x:v>
      </x:c>
      <x:c r="F26" s="4" t="n">
        <x:f>IF(ISNUMBER(D26),D26*(1+E26),"")</x:f>
        <x:v>23.430000000000003</x:v>
      </x:c>
      <x:c r="G26" s="8"/>
      <x:c r="H26" s="19" t="str">
        <x:f>IF(AND(ISNUMBER(F26),ISNUMBER(G26)),ROUNDUP(F26/G26,0),"")</x:f>
      </x:c>
      <x:c r="I26" s="4" t="n">
        <x:f>IF(ISNUMBER(F26),IF(ISNUMBER(G26),H26*G26,F26),"")</x:f>
        <x:v>23.430000000000003</x:v>
      </x:c>
      <x:c r="J26" s="18" t="str">
        <x:v>Сухие поверхности вне плитки; система для влажных помещений.</x:v>
      </x:c>
    </x:row>
    <x:row r="27" ht="34" customHeight="1">
      <x:c r="A27" s="4" t="str">
        <x:v>PAINT-WOOD</x:v>
      </x:c>
      <x:c r="B27" s="4" t="str">
        <x:v>Покрытие имитации бруса — видимая сторона</x:v>
      </x:c>
      <x:c r="C27" s="4" t="str">
        <x:v>м²</x:v>
      </x:c>
      <x:c r="D27" s="4" t="n">
        <x:f>SUM('Стены'!K6:K38)</x:f>
        <x:v>165.0713333333329</x:v>
      </x:c>
      <x:c r="E27" s="17" t="n">
        <x:f>0</x:f>
        <x:v>0</x:v>
      </x:c>
      <x:c r="F27" s="4" t="n">
        <x:f>IF(ISNUMBER(D27),D27*(1+E27),"")</x:f>
        <x:v>165.0713333333329</x:v>
      </x:c>
      <x:c r="G27" s="8"/>
      <x:c r="H27" s="19" t="str">
        <x:f>IF(AND(ISNUMBER(F27),ISNUMBER(G27)),ROUNDUP(F27/G27,0),"")</x:f>
      </x:c>
      <x:c r="I27" s="4" t="n">
        <x:f>IF(ISNUMBER(F27),IF(ISNUMBER(G27),H27*G27,F27),"")</x:f>
        <x:v>165.0713333333329</x:v>
      </x:c>
      <x:c r="J27" s="18" t="str">
        <x:v>Грунт/краска в литрах после выбора расхода. Оборот и торцы дополнительно.</x:v>
      </x:c>
    </x:row>
    <x:row r="28" ht="34" customHeight="1">
      <x:c r="A28" s="4" t="str">
        <x:v>STRETCH</x:v>
      </x:c>
      <x:c r="B28" s="4" t="str">
        <x:v>Натяжной потолок — два санузла</x:v>
      </x:c>
      <x:c r="C28" s="4" t="str">
        <x:v>м²</x:v>
      </x:c>
      <x:c r="D28" s="4" t="n">
        <x:f>SUM('Полы и потолки'!E31:E32)</x:f>
        <x:v>9.992</x:v>
      </x:c>
      <x:c r="E28" s="17" t="n">
        <x:f>0</x:f>
        <x:v>0</x:v>
      </x:c>
      <x:c r="F28" s="4" t="n">
        <x:f>IF(ISNUMBER(D28),D28*(1+E28),"")</x:f>
        <x:v>9.992</x:v>
      </x:c>
      <x:c r="G28" s="8"/>
      <x:c r="H28" s="19" t="str">
        <x:f>IF(AND(ISNUMBER(F28),ISNUMBER(G28)),ROUNDUP(F28/G28,0),"")</x:f>
      </x:c>
      <x:c r="I28" s="4" t="n">
        <x:f>IF(ISNUMBER(F28),IF(ISNUMBER(G28),H28*G28,F28),"")</x:f>
        <x:v>9.992</x:v>
      </x:c>
      <x:c r="J28" s="18" t="str">
        <x:v>Без закладных под свет и оборудования.</x:v>
      </x:c>
    </x:row>
    <x:row r="29" ht="34" customHeight="1">
      <x:c r="A29" s="4" t="str">
        <x:v>DECK</x:v>
      </x:c>
      <x:c r="B29" s="4" t="str">
        <x:v>Террасная доска — открытый настил</x:v>
      </x:c>
      <x:c r="C29" s="4" t="str">
        <x:v>м²</x:v>
      </x:c>
      <x:c r="D29" s="4" t="n">
        <x:f>'Полы и потолки'!E37</x:f>
        <x:v>59.774</x:v>
      </x:c>
      <x:c r="E29" s="17" t="n">
        <x:f>'Параметры'!$C$20</x:f>
        <x:v>0.1</x:v>
      </x:c>
      <x:c r="F29" s="4" t="n">
        <x:f>IF(ISNUMBER(D29),D29*(1+E29),"")</x:f>
        <x:v>65.7514</x:v>
      </x:c>
      <x:c r="G29" s="8"/>
      <x:c r="H29" s="19" t="str">
        <x:f>IF(AND(ISNUMBER(F29),ISNUMBER(G29)),ROUNDUP(F29/G29,0),"")</x:f>
      </x:c>
      <x:c r="I29" s="4" t="n">
        <x:f>IF(ISNUMBER(F29),IF(ISNUMBER(G29),H29*G29,F29),"")</x:f>
        <x:v>65.7514</x:v>
      </x:c>
      <x:c r="J29" s="18" t="str">
        <x:v>Лаги, ступени, торцы и крепёж пока без объёма.</x:v>
      </x:c>
    </x:row>
    <x:row r="30" ht="34" customHeight="1">
      <x:c r="A30" s="4" t="str">
        <x:v>WATER-FLOOR</x:v>
      </x:c>
      <x:c r="B30" s="4" t="str">
        <x:v>Гидроизоляция пола кухни и санузлов</x:v>
      </x:c>
      <x:c r="C30" s="4" t="str">
        <x:v>м²</x:v>
      </x:c>
      <x:c r="D30" s="4" t="n">
        <x:f>8.7576+5.888+4.104+0.18+0.09+0.9*0.6</x:f>
        <x:v>19.5596</x:v>
      </x:c>
      <x:c r="E30" s="17" t="n">
        <x:f>'Параметры'!$C$21</x:f>
        <x:v>0.1</x:v>
      </x:c>
      <x:c r="F30" s="4" t="n">
        <x:f>IF(ISNUMBER(D30),D30*(1+E30),"")</x:f>
        <x:v>21.51556</x:v>
      </x:c>
      <x:c r="G30" s="8"/>
      <x:c r="H30" s="19" t="str">
        <x:f>IF(AND(ISNUMBER(F30),ISNUMBER(G30)),ROUNDUP(F30/G30,0),"")</x:f>
      </x:c>
      <x:c r="I30" s="4" t="n">
        <x:f>IF(ISNUMBER(F30),IF(ISNUMBER(G30),H30*G30,F30),"")</x:f>
        <x:v>21.51556</x:v>
      </x:c>
      <x:c r="J30" s="18" t="str">
        <x:v>Добавлены 0.9×0.6 м под левый хвост кухни к D02 — сценарий. Гостиная/лаундж не включены.</x:v>
      </x:c>
    </x:row>
    <x:row r="31" ht="34" customHeight="1">
      <x:c r="A31" s="4" t="str">
        <x:v>WATER-WALL</x:v>
      </x:c>
      <x:c r="B31" s="4" t="str">
        <x:v>Гидроизоляция кухонной плитки и душевых стен</x:v>
      </x:c>
      <x:c r="C31" s="4" t="str">
        <x:v>м²</x:v>
      </x:c>
      <x:c r="D31" s="4" t="n">
        <x:f>'Материалы'!D17+4*'Параметры'!$C$42</x:f>
        <x:v>16.864</x:v>
      </x:c>
      <x:c r="E31" s="17" t="n">
        <x:f>'Параметры'!$C$21</x:f>
        <x:v>0.1</x:v>
      </x:c>
      <x:c r="F31" s="4" t="n">
        <x:f>IF(ISNUMBER(D31),D31*(1+E31),"")</x:f>
        <x:v>18.550400000000003</x:v>
      </x:c>
      <x:c r="G31" s="8"/>
      <x:c r="H31" s="19" t="str">
        <x:f>IF(AND(ISNUMBER(F31),ISNUMBER(G31)),ROUNDUP(F31/G31,0),"")</x:f>
      </x:c>
      <x:c r="I31" s="4" t="n">
        <x:f>IF(ISNUMBER(F31),IF(ISNUMBER(G31),H31*G31,F31),"")</x:f>
        <x:v>18.550400000000003</x:v>
      </x:c>
      <x:c r="J31" s="18" t="str">
        <x:v>Высота обеих душевых принята 2.1 м. Система и фактические зоны уточняются.</x:v>
      </x:c>
    </x:row>
    <x:row r="32" ht="34" customHeight="1">
      <x:c r="A32" s="4" t="str">
        <x:v>WATER-UP</x:v>
      </x:c>
      <x:c r="B32" s="4" t="str">
        <x:v>Гидроизоляция — заходы в санузлах вне душа</x:v>
      </x:c>
      <x:c r="C32" s="4" t="str">
        <x:v>м²</x:v>
      </x:c>
      <x:c r="D32" s="4" t="n">
        <x:f>(10.08+8.44-1.8-4)*'Параметры'!$C$44</x:f>
        <x:v>1.9079999999999997</x:v>
      </x:c>
      <x:c r="E32" s="17" t="n">
        <x:f>'Параметры'!$C$21</x:f>
        <x:v>0.1</x:v>
      </x:c>
      <x:c r="F32" s="4" t="n">
        <x:f>IF(ISNUMBER(D32),D32*(1+E32),"")</x:f>
        <x:v>2.0987999999999998</x:v>
      </x:c>
      <x:c r="G32" s="8"/>
      <x:c r="H32" s="19" t="str">
        <x:f>IF(AND(ISNUMBER(F32),ISNUMBER(G32)),ROUNDUP(F32/G32,0),"")</x:f>
      </x:c>
      <x:c r="I32" s="4" t="n">
        <x:f>IF(ISNUMBER(F32),IF(ISNUMBER(G32),H32*G32,F32),"")</x:f>
        <x:v>2.0987999999999998</x:v>
      </x:c>
      <x:c r="J32" s="18" t="str">
        <x:v>Периметры минус две двери и четыре метра стен душа. Высота захода — сценарий.</x:v>
      </x:c>
    </x:row>
    <x:row r="33" ht="34" customHeight="1">
      <x:c r="A33" s="4" t="str">
        <x:v>TAPE</x:v>
      </x:c>
      <x:c r="B33" s="4" t="str">
        <x:v>Лента примыканий кухни и двух санузлов</x:v>
      </x:c>
      <x:c r="C33" s="4" t="str">
        <x:v>м</x:v>
      </x:c>
      <x:c r="D33" s="4" t="n">
        <x:f>10.08+8.44-1.8+2*'Параметры'!$C$42+5.74+'Параметры'!$C$43</x:f>
        <x:v>28.259999999999998</x:v>
      </x:c>
      <x:c r="E33" s="17" t="n">
        <x:f>'Параметры'!$C$22</x:f>
        <x:v>0.15</x:v>
      </x:c>
      <x:c r="F33" s="4" t="n">
        <x:f>IF(ISNUMBER(D33),D33*(1+E33),"")</x:f>
        <x:v>32.498999999999995</x:v>
      </x:c>
      <x:c r="G33" s="8"/>
      <x:c r="H33" s="19" t="str">
        <x:f>IF(AND(ISNUMBER(F33),ISNUMBER(G33)),ROUNDUP(F33/G33,0),"")</x:f>
      </x:c>
      <x:c r="I33" s="4" t="n">
        <x:f>IF(ISNUMBER(F33),IF(ISNUMBER(G33),H33*G33,F33),"")</x:f>
        <x:v>32.498999999999995</x:v>
      </x:c>
      <x:c r="J33" s="18" t="str">
        <x:v>Пол/стена без дверей, вертикальные углы душей и кухни. Манжеты отдельно.</x:v>
      </x:c>
    </x:row>
    <x:row r="34" ht="34" customHeight="1">
      <x:c r="A34" s="4" t="str">
        <x:v>SEALANT-LINE</x:v>
      </x:c>
      <x:c r="B34" s="4" t="str">
        <x:v>Эластичный стык столешницы со стеной</x:v>
      </x:c>
      <x:c r="C34" s="4" t="str">
        <x:v>м</x:v>
      </x:c>
      <x:c r="D34" s="4" t="n">
        <x:f>5.74</x:f>
        <x:v>5.74</x:v>
      </x:c>
      <x:c r="E34" s="17" t="n">
        <x:f>'Параметры'!$C$22</x:f>
        <x:v>0.15</x:v>
      </x:c>
      <x:c r="F34" s="4" t="n">
        <x:f>IF(ISNUMBER(D34),D34*(1+E34),"")</x:f>
        <x:v>6.601</x:v>
      </x:c>
      <x:c r="G34" s="8"/>
      <x:c r="H34" s="19" t="str">
        <x:f>IF(AND(ISNUMBER(F34),ISNUMBER(G34)),ROUNDUP(F34/G34,0),"")</x:f>
      </x:c>
      <x:c r="I34" s="4" t="n">
        <x:f>IF(ISNUMBER(F34),IF(ISNUMBER(G34),H34*G34,F34),"")</x:f>
        <x:v>6.601</x:v>
      </x:c>
      <x:c r="J34" s="18" t="str">
        <x:v>Длина, не объём герметика; сечение шва и туба TBC.</x:v>
      </x:c>
    </x:row>
    <x:row r="35" ht="34" customHeight="1">
      <x:c r="A35" s="4" t="str">
        <x:v>FACADE</x:v>
      </x:c>
      <x:c r="B35" s="4" t="str">
        <x:v>Наружная облицовка дома и глухой стены лаунджа</x:v>
      </x:c>
      <x:c r="C35" s="4" t="str">
        <x:v>м²</x:v>
      </x:c>
      <x:c r="D35" s="4" t="n">
        <x:f>'Оболочка'!I19+4.9*'Параметры'!$C$51</x:f>
        <x:v>122.73</x:v>
      </x:c>
      <x:c r="E35" s="17" t="n">
        <x:f>'Параметры'!$C$20</x:f>
        <x:v>0.1</x:v>
      </x:c>
      <x:c r="F35" s="4" t="n">
        <x:f>IF(ISNUMBER(D35),D35*(1+E35),"")</x:f>
        <x:v>135.00300000000001</x:v>
      </x:c>
      <x:c r="G35" s="8"/>
      <x:c r="H35" s="19" t="str">
        <x:f>IF(AND(ISNUMBER(F35),ISNUMBER(G35)),ROUNDUP(F35/G35,0),"")</x:f>
      </x:c>
      <x:c r="I35" s="4" t="n">
        <x:f>IF(ISNUMBER(F35),IF(ISNUMBER(G35),H35*G35,F35),"")</x:f>
        <x:v>135.00300000000001</x:v>
      </x:c>
      <x:c r="J35" s="18" t="str">
        <x:v>Тип фасадной доски/панели TBC. Дом со стороны лаунджа включён один раз.</x:v>
      </x:c>
    </x:row>
    <x:row r="36" ht="34" customHeight="1">
      <x:c r="A36" s="4" t="str">
        <x:v>CHEEK</x:v>
      </x:c>
      <x:c r="B36" s="4" t="str">
        <x:v>Южная щековая стена западного свеса — 2 стороны</x:v>
      </x:c>
      <x:c r="C36" s="4" t="str">
        <x:v>м²</x:v>
      </x:c>
      <x:c r="D36" s="4" t="n">
        <x:f>2*2.5*'Параметры'!$C$7</x:f>
        <x:v>16.5</x:v>
      </x:c>
      <x:c r="E36" s="17" t="n">
        <x:f>'Параметры'!$C$20</x:f>
        <x:v>0.1</x:v>
      </x:c>
      <x:c r="F36" s="4" t="n">
        <x:f>IF(ISNUMBER(D36),D36*(1+E36),"")</x:f>
        <x:v>18.150000000000002</x:v>
      </x:c>
      <x:c r="G36" s="8"/>
      <x:c r="H36" s="19" t="str">
        <x:f>IF(AND(ISNUMBER(F36),ISNUMBER(G36)),ROUNDUP(F36/G36,0),"")</x:f>
      </x:c>
      <x:c r="I36" s="4" t="n">
        <x:f>IF(ISNUMBER(F36),IF(ISNUMBER(G36),H36*G36,F36),"")</x:f>
        <x:v>18.150000000000002</x:v>
      </x:c>
      <x:c r="J36" s="18" t="str">
        <x:v>Графический объём, материал/опорная функция TBC. Отдельная строка.</x:v>
      </x:c>
    </x:row>
    <x:row r="37" ht="34" customHeight="1">
      <x:c r="A37" s="4" t="str">
        <x:v>ADHESIVE</x:v>
      </x:c>
      <x:c r="B37" s="4" t="str">
        <x:v>Клей для всей плитки — после выбора продукта</x:v>
      </x:c>
      <x:c r="C37" s="4" t="str">
        <x:v>кг</x:v>
      </x:c>
      <x:c r="D37" s="4" t="str">
        <x:f>IF(ISNUMBER('Параметры'!$C$46),(90.2476+SUM('Стены'!J6:J38))*'Параметры'!$C$46,"")</x:f>
      </x:c>
      <x:c r="E37" s="17" t="n">
        <x:f>0</x:f>
        <x:v>0</x:v>
      </x:c>
      <x:c r="F37" s="4" t="str">
        <x:f>IF(ISNUMBER(D37),D37*(1+E37),"")</x:f>
      </x:c>
      <x:c r="G37" s="8"/>
      <x:c r="H37" s="19" t="str">
        <x:f>IF(AND(ISNUMBER(F37),ISNUMBER(G37)),ROUNDUP(F37/G37,0),"")</x:f>
      </x:c>
      <x:c r="I37" s="4" t="str">
        <x:f>IF(ISNUMBER(F37),IF(ISNUMBER(G37),H37*G37,F37),"")</x:f>
      </x:c>
      <x:c r="J37" s="18" t="str">
        <x:v>Расход за 1 м² полного приклеивания; резаный запас плитки клеем не покрывается.</x:v>
      </x:c>
    </x:row>
    <x:row r="38" ht="34" customHeight="1">
      <x:c r="A38" s="4" t="str">
        <x:v>GROUT</x:v>
      </x:c>
      <x:c r="B38" s="4" t="str">
        <x:v>Затирка всей плитки — после выбора продукта</x:v>
      </x:c>
      <x:c r="C38" s="4" t="str">
        <x:v>кг</x:v>
      </x:c>
      <x:c r="D38" s="4" t="str">
        <x:f>IF(ISNUMBER('Параметры'!$C$47),(90.2476+SUM('Стены'!J6:J38))*'Параметры'!$C$47,"")</x:f>
      </x:c>
      <x:c r="E38" s="17" t="n">
        <x:f>0</x:f>
        <x:v>0</x:v>
      </x:c>
      <x:c r="F38" s="4" t="str">
        <x:f>IF(ISNUMBER(D38),D38*(1+E38),"")</x:f>
      </x:c>
      <x:c r="G38" s="8"/>
      <x:c r="H38" s="19" t="str">
        <x:f>IF(AND(ISNUMBER(F38),ISNUMBER(G38)),ROUNDUP(F38/G38,0),"")</x:f>
      </x:c>
      <x:c r="I38" s="4" t="str">
        <x:f>IF(ISNUMBER(F38),IF(ISNUMBER(G38),H38*G38,F38),"")</x:f>
      </x:c>
      <x:c r="J38" s="18" t="str">
        <x:v>Расход зависит от толщины, шва и формата; средний расход вводится после выбора.</x:v>
      </x:c>
    </x:row>
    <x:row r="39" ht="34" customHeight="1">
      <x:c r="A39" s="4" t="str">
        <x:v>WATER-KG</x:v>
      </x:c>
      <x:c r="B39" s="4" t="str">
        <x:v>Гидроизоляционный состав — весь расход</x:v>
      </x:c>
      <x:c r="C39" s="4" t="str">
        <x:v>кг</x:v>
      </x:c>
      <x:c r="D39" s="4" t="str">
        <x:f>IF(ISNUMBER('Параметры'!$C$45),('Материалы'!D30+'Материалы'!D31+'Материалы'!D32)*'Параметры'!$C$45,"")</x:f>
      </x:c>
      <x:c r="E39" s="17" t="n">
        <x:f>0</x:f>
        <x:v>0</x:v>
      </x:c>
      <x:c r="F39" s="4" t="str">
        <x:f>IF(ISNUMBER(D39),D39*(1+E39),"")</x:f>
      </x:c>
      <x:c r="G39" s="8"/>
      <x:c r="H39" s="19" t="str">
        <x:f>IF(AND(ISNUMBER(F39),ISNUMBER(G39)),ROUNDUP(F39/G39,0),"")</x:f>
      </x:c>
      <x:c r="I39" s="4" t="str">
        <x:f>IF(ISNUMBER(F39),IF(ISNUMBER(G39),H39*G39,F39),"")</x:f>
      </x:c>
      <x:c r="J39" s="18" t="str">
        <x:v>Кг идут в смету, геометрические м² показаны только для измерения.</x:v>
      </x:c>
    </x:row>
    <x:row r="40" ht="34" customHeight="1">
      <x:c r="A40" s="4" t="str">
        <x:v>PAINT-L</x:v>
      </x:c>
      <x:c r="B40" s="4" t="str">
        <x:v>Краска для деревянных стен — в литрах</x:v>
      </x:c>
      <x:c r="C40" s="4" t="str">
        <x:v>л</x:v>
      </x:c>
      <x:c r="D40" s="4" t="str">
        <x:f>IF(ISNUMBER('Параметры'!$C$48),(SUM('Стены'!K6:K38))*'Параметры'!$C$48,"")</x:f>
      </x:c>
      <x:c r="E40" s="17" t="n">
        <x:f>0</x:f>
        <x:v>0</x:v>
      </x:c>
      <x:c r="F40" s="4" t="str">
        <x:f>IF(ISNUMBER(D40),D40*(1+E40),"")</x:f>
      </x:c>
      <x:c r="G40" s="8"/>
      <x:c r="H40" s="19" t="str">
        <x:f>IF(AND(ISNUMBER(F40),ISNUMBER(G40)),ROUNDUP(F40/G40,0),"")</x:f>
      </x:c>
      <x:c r="I40" s="4" t="str">
        <x:f>IF(ISNUMBER(F40),IF(ISNUMBER(G40),H40*G40,F40),"")</x:f>
      </x:c>
      <x:c r="J40" s="18" t="str">
        <x:v>Литры идут в смету; площадь окраски дана только как база расчёта.</x:v>
      </x:c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27" hidden="0" customWidth="1"/>
    <x:col min="3" max="3" width="31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30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5" t="str">
        <x:v>Отделка стен по помещениям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3" customHeight="1">
      <x:c r="A3" s="6" t="str">
        <x:v>Площади одной видимой стороны. Проёмы вычтены. Откосы — отдельная добавка после замера.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32" customHeight="1">
      <x:c r="A5" s="12" t="str">
        <x:v>ID</x:v>
      </x:c>
      <x:c r="B5" s="12" t="str">
        <x:v>Помещение</x:v>
      </x:c>
      <x:c r="C5" s="12" t="str">
        <x:v>Сторона</x:v>
      </x:c>
      <x:c r="D5" s="12" t="str">
        <x:v>Длина, м</x:v>
      </x:c>
      <x:c r="E5" s="12" t="str">
        <x:v>Высота, м</x:v>
      </x:c>
      <x:c r="F5" s="12" t="str">
        <x:v>Верх, м²</x:v>
      </x:c>
      <x:c r="G5" s="12" t="str">
        <x:v>Брутто, м²</x:v>
      </x:c>
      <x:c r="H5" s="12" t="str">
        <x:v>Проёмы, м²</x:v>
      </x:c>
      <x:c r="I5" s="12" t="str">
        <x:v>Нетто, м²</x:v>
      </x:c>
      <x:c r="J5" s="12" t="str">
        <x:v>Плитка, м²</x:v>
      </x:c>
      <x:c r="K5" s="12" t="str">
        <x:v>Дерево, м²</x:v>
      </x:c>
      <x:c r="L5" s="12" t="str">
        <x:v>Окраска, м²</x:v>
      </x:c>
      <x:c r="M5" s="12" t="str">
        <x:v>Источник</x:v>
      </x:c>
    </x:row>
    <x:row r="6" ht="23" customHeight="1">
      <x:c r="A6" s="4" t="str">
        <x:v>P26-A-R01-FACE-01</x:v>
      </x:c>
      <x:c r="B6" s="4" t="str">
        <x:v>Гостиная и кухня</x:v>
      </x:c>
      <x:c r="C6" s="4" t="str">
        <x:v>Север</x:v>
      </x:c>
      <x:c r="D6" s="4" t="n">
        <x:v>5.66</x:v>
      </x:c>
      <x:c r="E6" s="4" t="n">
        <x:f>'Параметры'!$C$6</x:f>
        <x:v>3</x:v>
      </x:c>
      <x:c r="F6" s="4" t="n">
        <x:v>0</x:v>
      </x:c>
      <x:c r="G6" s="4" t="n">
        <x:f>D6*E6+F6</x:f>
        <x:v>16.98</x:v>
      </x:c>
      <x:c r="H6" s="4" t="n">
        <x:f>'Параметры'!F61+'Параметры'!F62</x:f>
        <x:v>4.32</x:v>
      </x:c>
      <x:c r="I6" s="4" t="n">
        <x:f>G6-H6</x:f>
        <x:v>12.66</x:v>
      </x:c>
      <x:c r="J6" s="4" t="n">
        <x:f>3.36*'Параметры'!$C$43-'Параметры'!C62*MAX(0,MIN('Параметры'!$C$43,'Параметры'!E62)-'Параметры'!D62)</x:f>
        <x:v>4.656000000000001</x:v>
      </x:c>
      <x:c r="K6" s="4" t="n">
        <x:f>I6-J6</x:f>
        <x:v>8.004</x:v>
      </x:c>
      <x:c r="L6" s="4" t="n">
        <x:f>0</x:f>
        <x:v>0</x:v>
      </x:c>
      <x:c r="M6" s="4" t="str">
        <x:v>G1 / P26-A-R01</x:v>
      </x:c>
    </x:row>
    <x:row r="7" ht="23" customHeight="1">
      <x:c r="A7" s="4" t="str">
        <x:v>P26-A-R01-FACE-02</x:v>
      </x:c>
      <x:c r="B7" s="4" t="str">
        <x:v>Гостиная и кухня</x:v>
      </x:c>
      <x:c r="C7" s="4" t="str">
        <x:v>Восток</x:v>
      </x:c>
      <x:c r="D7" s="4" t="n">
        <x:v>3.56</x:v>
      </x:c>
      <x:c r="E7" s="4" t="n">
        <x:f>'Параметры'!$C$6</x:f>
        <x:v>3</x:v>
      </x:c>
      <x:c r="F7" s="4" t="n">
        <x:v>0</x:v>
      </x:c>
      <x:c r="G7" s="4" t="n">
        <x:f>D7*E7+F7</x:f>
        <x:v>10.68</x:v>
      </x:c>
      <x:c r="H7" s="4" t="n">
        <x:f>1.18*'Параметры'!$C$6</x:f>
        <x:v>3.54</x:v>
      </x:c>
      <x:c r="I7" s="4" t="n">
        <x:f>G7-H7</x:f>
        <x:v>7.14</x:v>
      </x:c>
      <x:c r="J7" s="4" t="n">
        <x:f>2.38*'Параметры'!$C$43</x:f>
        <x:v>3.808</x:v>
      </x:c>
      <x:c r="K7" s="4" t="n">
        <x:f>I7-J7</x:f>
        <x:v>3.332</x:v>
      </x:c>
      <x:c r="L7" s="4" t="n">
        <x:f>0</x:f>
        <x:v>0</x:v>
      </x:c>
      <x:c r="M7" s="4" t="str">
        <x:v>G1 / P26-A-R01</x:v>
      </x:c>
    </x:row>
    <x:row r="8" ht="23" customHeight="1">
      <x:c r="A8" s="4" t="str">
        <x:v>P26-A-R01-FACE-03</x:v>
      </x:c>
      <x:c r="B8" s="4" t="str">
        <x:v>Гостиная и кухня</x:v>
      </x:c>
      <x:c r="C8" s="4" t="str">
        <x:v>Юг</x:v>
      </x:c>
      <x:c r="D8" s="4" t="n">
        <x:v>2.46</x:v>
      </x:c>
      <x:c r="E8" s="4" t="n">
        <x:f>'Параметры'!$C$6</x:f>
        <x:v>3</x:v>
      </x:c>
      <x:c r="F8" s="4" t="n">
        <x:v>0</x:v>
      </x:c>
      <x:c r="G8" s="4" t="n">
        <x:f>D8*E8+F8</x:f>
        <x:v>7.38</x:v>
      </x:c>
      <x:c r="H8" s="4" t="n">
        <x:f>'Параметры'!F72*0.355555555556</x:f>
        <x:v>0.67200000000084</x:v>
      </x:c>
      <x:c r="I8" s="4" t="n">
        <x:f>G8-H8</x:f>
        <x:v>6.70799999999916</x:v>
      </x:c>
      <x:c r="J8" s="4" t="n">
        <x:f>0</x:f>
        <x:v>0</x:v>
      </x:c>
      <x:c r="K8" s="4" t="n">
        <x:f>I8-J8</x:f>
        <x:v>6.70799999999916</x:v>
      </x:c>
      <x:c r="L8" s="4" t="n">
        <x:f>0</x:f>
        <x:v>0</x:v>
      </x:c>
      <x:c r="M8" s="4" t="str">
        <x:v>G1 / P26-A-R01</x:v>
      </x:c>
    </x:row>
    <x:row r="9" ht="23" customHeight="1">
      <x:c r="A9" s="4" t="str">
        <x:v>P26-A-R01-FACE-04</x:v>
      </x:c>
      <x:c r="B9" s="4" t="str">
        <x:v>Гостиная и кухня</x:v>
      </x:c>
      <x:c r="C9" s="4" t="str">
        <x:v>Восток</x:v>
      </x:c>
      <x:c r="D9" s="4" t="n">
        <x:v>3.8</x:v>
      </x:c>
      <x:c r="E9" s="4" t="n">
        <x:f>'Параметры'!$C$6</x:f>
        <x:v>3</x:v>
      </x:c>
      <x:c r="F9" s="4" t="n">
        <x:v>0</x:v>
      </x:c>
      <x:c r="G9" s="4" t="n">
        <x:f>D9*E9+F9</x:f>
        <x:v>11.399999999999999</x:v>
      </x:c>
      <x:c r="H9" s="4" t="n">
        <x:f>0</x:f>
        <x:v>0</x:v>
      </x:c>
      <x:c r="I9" s="4" t="n">
        <x:f>G9-H9</x:f>
        <x:v>11.399999999999999</x:v>
      </x:c>
      <x:c r="J9" s="4" t="n">
        <x:f>0</x:f>
        <x:v>0</x:v>
      </x:c>
      <x:c r="K9" s="4" t="n">
        <x:f>I9-J9</x:f>
        <x:v>11.399999999999999</x:v>
      </x:c>
      <x:c r="L9" s="4" t="n">
        <x:f>0</x:f>
        <x:v>0</x:v>
      </x:c>
      <x:c r="M9" s="4" t="str">
        <x:v>G1 / P26-A-R01</x:v>
      </x:c>
    </x:row>
    <x:row r="10" ht="23" customHeight="1">
      <x:c r="A10" s="4" t="str">
        <x:v>P26-A-R01-FACE-05</x:v>
      </x:c>
      <x:c r="B10" s="4" t="str">
        <x:v>Гостиная и кухня</x:v>
      </x:c>
      <x:c r="C10" s="4" t="str">
        <x:v>Юг</x:v>
      </x:c>
      <x:c r="D10" s="4" t="n">
        <x:v>3.2</x:v>
      </x:c>
      <x:c r="E10" s="4" t="n">
        <x:f>'Параметры'!$C$6</x:f>
        <x:v>3</x:v>
      </x:c>
      <x:c r="F10" s="4" t="n">
        <x:v>0</x:v>
      </x:c>
      <x:c r="G10" s="4" t="n">
        <x:f>D10*E10+F10</x:f>
        <x:v>9.600000000000001</x:v>
      </x:c>
      <x:c r="H10" s="4" t="n">
        <x:f>0</x:f>
        <x:v>0</x:v>
      </x:c>
      <x:c r="I10" s="4" t="n">
        <x:f>G10-H10</x:f>
        <x:v>9.600000000000001</x:v>
      </x:c>
      <x:c r="J10" s="4" t="n">
        <x:f>0</x:f>
        <x:v>0</x:v>
      </x:c>
      <x:c r="K10" s="4" t="n">
        <x:f>I10-J10</x:f>
        <x:v>9.600000000000001</x:v>
      </x:c>
      <x:c r="L10" s="4" t="n">
        <x:f>0</x:f>
        <x:v>0</x:v>
      </x:c>
      <x:c r="M10" s="4" t="str">
        <x:v>G1 / P26-A-R01</x:v>
      </x:c>
    </x:row>
    <x:row r="11" ht="23" customHeight="1">
      <x:c r="A11" s="4" t="str">
        <x:v>P26-A-R01-FACE-06</x:v>
      </x:c>
      <x:c r="B11" s="4" t="str">
        <x:v>Гостиная и кухня</x:v>
      </x:c>
      <x:c r="C11" s="4" t="str">
        <x:v>Запад</x:v>
      </x:c>
      <x:c r="D11" s="4" t="n">
        <x:v>7.36</x:v>
      </x:c>
      <x:c r="E11" s="4" t="n">
        <x:f>'Параметры'!$C$6</x:f>
        <x:v>3</x:v>
      </x:c>
      <x:c r="F11" s="4" t="n">
        <x:v>0</x:v>
      </x:c>
      <x:c r="G11" s="4" t="n">
        <x:f>D11*E11+F11</x:f>
        <x:v>22.080000000000002</x:v>
      </x:c>
      <x:c r="H11" s="4" t="n">
        <x:f>'Параметры'!F68</x:f>
        <x:v>20.1</x:v>
      </x:c>
      <x:c r="I11" s="4" t="n">
        <x:f>G11-H11</x:f>
        <x:v>1.9800000000000004</x:v>
      </x:c>
      <x:c r="J11" s="4" t="n">
        <x:f>0</x:f>
        <x:v>0</x:v>
      </x:c>
      <x:c r="K11" s="4" t="n">
        <x:f>I11-J11</x:f>
        <x:v>1.9800000000000004</x:v>
      </x:c>
      <x:c r="L11" s="4" t="n">
        <x:f>0</x:f>
        <x:v>0</x:v>
      </x:c>
      <x:c r="M11" s="4" t="str">
        <x:v>G1 / P26-A-R01</x:v>
      </x:c>
    </x:row>
    <x:row r="12" ht="23" customHeight="1">
      <x:c r="A12" s="4" t="str">
        <x:v>P26-A-HALL-FACE-01</x:v>
      </x:c>
      <x:c r="B12" s="4" t="str">
        <x:v>Прихожая</x:v>
      </x:c>
      <x:c r="C12" s="4" t="str">
        <x:v>Север</x:v>
      </x:c>
      <x:c r="D12" s="4" t="n">
        <x:v>1.5</x:v>
      </x:c>
      <x:c r="E12" s="4" t="n">
        <x:f>'Параметры'!$C$6</x:f>
        <x:v>3</x:v>
      </x:c>
      <x:c r="F12" s="4" t="n">
        <x:v>0</x:v>
      </x:c>
      <x:c r="G12" s="4" t="n">
        <x:f>D12*E12+F12</x:f>
        <x:v>4.5</x:v>
      </x:c>
      <x:c r="H12" s="4" t="n">
        <x:f>'Параметры'!F63</x:f>
        <x:v>2.16</x:v>
      </x:c>
      <x:c r="I12" s="4" t="n">
        <x:f>G12-H12</x:f>
        <x:v>2.34</x:v>
      </x:c>
      <x:c r="J12" s="4" t="n">
        <x:f>0</x:f>
        <x:v>0</x:v>
      </x:c>
      <x:c r="K12" s="4" t="n">
        <x:f>I12-J12</x:f>
        <x:v>2.34</x:v>
      </x:c>
      <x:c r="L12" s="4" t="n">
        <x:f>0</x:f>
        <x:v>0</x:v>
      </x:c>
      <x:c r="M12" s="4" t="str">
        <x:v>G1 / P26-A-HALL</x:v>
      </x:c>
    </x:row>
    <x:row r="13" ht="23" customHeight="1">
      <x:c r="A13" s="4" t="str">
        <x:v>P26-A-HALL-FACE-02</x:v>
      </x:c>
      <x:c r="B13" s="4" t="str">
        <x:v>Прихожая</x:v>
      </x:c>
      <x:c r="C13" s="4" t="str">
        <x:v>Восток</x:v>
      </x:c>
      <x:c r="D13" s="4" t="n">
        <x:v>2.04</x:v>
      </x:c>
      <x:c r="E13" s="4" t="n">
        <x:f>'Параметры'!$C$6</x:f>
        <x:v>3</x:v>
      </x:c>
      <x:c r="F13" s="4" t="n">
        <x:v>0</x:v>
      </x:c>
      <x:c r="G13" s="4" t="n">
        <x:f>D13*E13+F13</x:f>
        <x:v>6.12</x:v>
      </x:c>
      <x:c r="H13" s="4" t="n">
        <x:f>'Параметры'!F69</x:f>
        <x:v>1.8900000000000001</x:v>
      </x:c>
      <x:c r="I13" s="4" t="n">
        <x:f>G13-H13</x:f>
        <x:v>4.23</x:v>
      </x:c>
      <x:c r="J13" s="4" t="n">
        <x:f>0</x:f>
        <x:v>0</x:v>
      </x:c>
      <x:c r="K13" s="4" t="n">
        <x:f>I13-J13</x:f>
        <x:v>4.23</x:v>
      </x:c>
      <x:c r="L13" s="4" t="n">
        <x:f>0</x:f>
        <x:v>0</x:v>
      </x:c>
      <x:c r="M13" s="4" t="str">
        <x:v>G1 / P26-A-HALL</x:v>
      </x:c>
    </x:row>
    <x:row r="14" ht="23" customHeight="1">
      <x:c r="A14" s="4" t="str">
        <x:v>P26-A-HALL-FACE-03</x:v>
      </x:c>
      <x:c r="B14" s="4" t="str">
        <x:v>Прихожая</x:v>
      </x:c>
      <x:c r="C14" s="4" t="str">
        <x:v>Север</x:v>
      </x:c>
      <x:c r="D14" s="4" t="n">
        <x:v>0.5</x:v>
      </x:c>
      <x:c r="E14" s="4" t="n">
        <x:f>'Параметры'!$C$6</x:f>
        <x:v>3</x:v>
      </x:c>
      <x:c r="F14" s="4" t="n">
        <x:v>0</x:v>
      </x:c>
      <x:c r="G14" s="4" t="n">
        <x:f>D14*E14+F14</x:f>
        <x:v>1.5</x:v>
      </x:c>
      <x:c r="H14" s="4" t="n">
        <x:f>0</x:f>
        <x:v>0</x:v>
      </x:c>
      <x:c r="I14" s="4" t="n">
        <x:f>G14-H14</x:f>
        <x:v>1.5</x:v>
      </x:c>
      <x:c r="J14" s="4" t="n">
        <x:f>0</x:f>
        <x:v>0</x:v>
      </x:c>
      <x:c r="K14" s="4" t="n">
        <x:f>I14-J14</x:f>
        <x:v>1.5</x:v>
      </x:c>
      <x:c r="L14" s="4" t="n">
        <x:f>0</x:f>
        <x:v>0</x:v>
      </x:c>
      <x:c r="M14" s="4" t="str">
        <x:v>G1 / P26-A-HALL</x:v>
      </x:c>
    </x:row>
    <x:row r="15" ht="23" customHeight="1">
      <x:c r="A15" s="4" t="str">
        <x:v>P26-A-HALL-FACE-04</x:v>
      </x:c>
      <x:c r="B15" s="4" t="str">
        <x:v>Прихожая</x:v>
      </x:c>
      <x:c r="C15" s="4" t="str">
        <x:v>Восток</x:v>
      </x:c>
      <x:c r="D15" s="4" t="n">
        <x:v>1.52</x:v>
      </x:c>
      <x:c r="E15" s="4" t="n">
        <x:f>'Параметры'!$C$6</x:f>
        <x:v>3</x:v>
      </x:c>
      <x:c r="F15" s="4" t="n">
        <x:v>0</x:v>
      </x:c>
      <x:c r="G15" s="4" t="n">
        <x:f>D15*E15+F15</x:f>
        <x:v>4.5600000000000005</x:v>
      </x:c>
      <x:c r="H15" s="4" t="n">
        <x:f>0</x:f>
        <x:v>0</x:v>
      </x:c>
      <x:c r="I15" s="4" t="n">
        <x:f>G15-H15</x:f>
        <x:v>4.5600000000000005</x:v>
      </x:c>
      <x:c r="J15" s="4" t="n">
        <x:f>0</x:f>
        <x:v>0</x:v>
      </x:c>
      <x:c r="K15" s="4" t="n">
        <x:f>I15-J15</x:f>
        <x:v>4.5600000000000005</x:v>
      </x:c>
      <x:c r="L15" s="4" t="n">
        <x:f>0</x:f>
        <x:v>0</x:v>
      </x:c>
      <x:c r="M15" s="4" t="str">
        <x:v>G1 / P26-A-HALL</x:v>
      </x:c>
    </x:row>
    <x:row r="16" ht="23" customHeight="1">
      <x:c r="A16" s="4" t="str">
        <x:v>P26-A-HALL-FACE-05</x:v>
      </x:c>
      <x:c r="B16" s="4" t="str">
        <x:v>Прихожая</x:v>
      </x:c>
      <x:c r="C16" s="4" t="str">
        <x:v>Юг</x:v>
      </x:c>
      <x:c r="D16" s="4" t="n">
        <x:v>2</x:v>
      </x:c>
      <x:c r="E16" s="4" t="n">
        <x:f>'Параметры'!$C$6</x:f>
        <x:v>3</x:v>
      </x:c>
      <x:c r="F16" s="4" t="n">
        <x:v>0</x:v>
      </x:c>
      <x:c r="G16" s="4" t="n">
        <x:f>D16*E16+F16</x:f>
        <x:v>6</x:v>
      </x:c>
      <x:c r="H16" s="4" t="n">
        <x:f>'Параметры'!F70+'Параметры'!F72*0.422222222222</x:f>
        <x:v>2.68799999999958</x:v>
      </x:c>
      <x:c r="I16" s="4" t="n">
        <x:f>G16-H16</x:f>
        <x:v>3.31200000000042</x:v>
      </x:c>
      <x:c r="J16" s="4" t="n">
        <x:f>0</x:f>
        <x:v>0</x:v>
      </x:c>
      <x:c r="K16" s="4" t="n">
        <x:f>I16-J16</x:f>
        <x:v>3.31200000000042</x:v>
      </x:c>
      <x:c r="L16" s="4" t="n">
        <x:f>0</x:f>
        <x:v>0</x:v>
      </x:c>
      <x:c r="M16" s="4" t="str">
        <x:v>G1 / P26-A-HALL</x:v>
      </x:c>
    </x:row>
    <x:row r="17" ht="23" customHeight="1">
      <x:c r="A17" s="4" t="str">
        <x:v>P26-A-HALL-FACE-06</x:v>
      </x:c>
      <x:c r="B17" s="4" t="str">
        <x:v>Прихожая</x:v>
      </x:c>
      <x:c r="C17" s="4" t="str">
        <x:v>Запад</x:v>
      </x:c>
      <x:c r="D17" s="4" t="n">
        <x:v>3.56</x:v>
      </x:c>
      <x:c r="E17" s="4" t="n">
        <x:f>'Параметры'!$C$6</x:f>
        <x:v>3</x:v>
      </x:c>
      <x:c r="F17" s="4" t="n">
        <x:v>0</x:v>
      </x:c>
      <x:c r="G17" s="4" t="n">
        <x:f>D17*E17+F17</x:f>
        <x:v>10.68</x:v>
      </x:c>
      <x:c r="H17" s="4" t="n">
        <x:f>1.18*'Параметры'!$C$6</x:f>
        <x:v>3.54</x:v>
      </x:c>
      <x:c r="I17" s="4" t="n">
        <x:f>G17-H17</x:f>
        <x:v>7.14</x:v>
      </x:c>
      <x:c r="J17" s="4" t="n">
        <x:f>0</x:f>
        <x:v>0</x:v>
      </x:c>
      <x:c r="K17" s="4" t="n">
        <x:f>I17-J17</x:f>
        <x:v>7.14</x:v>
      </x:c>
      <x:c r="L17" s="4" t="n">
        <x:f>0</x:f>
        <x:v>0</x:v>
      </x:c>
      <x:c r="M17" s="4" t="str">
        <x:v>G1 / P26-A-HALL</x:v>
      </x:c>
    </x:row>
    <x:row r="18" ht="23" customHeight="1">
      <x:c r="A18" s="4" t="str">
        <x:v>P26-A-R02-FACE-01</x:v>
      </x:c>
      <x:c r="B18" s="4" t="str">
        <x:v>Гостевой санузел</x:v>
      </x:c>
      <x:c r="C18" s="4" t="str">
        <x:v>Север</x:v>
      </x:c>
      <x:c r="D18" s="4" t="n">
        <x:v>3.2</x:v>
      </x:c>
      <x:c r="E18" s="4" t="n">
        <x:f>'Параметры'!$C$6</x:f>
        <x:v>3</x:v>
      </x:c>
      <x:c r="F18" s="4" t="n">
        <x:v>0</x:v>
      </x:c>
      <x:c r="G18" s="4" t="n">
        <x:f>D18*E18+F18</x:f>
        <x:v>9.600000000000001</x:v>
      </x:c>
      <x:c r="H18" s="4" t="n">
        <x:f>0</x:f>
        <x:v>0</x:v>
      </x:c>
      <x:c r="I18" s="4" t="n">
        <x:f>G18-H18</x:f>
        <x:v>9.600000000000001</x:v>
      </x:c>
      <x:c r="J18" s="4" t="n">
        <x:f>0</x:f>
        <x:v>0</x:v>
      </x:c>
      <x:c r="K18" s="4" t="n">
        <x:f>0</x:f>
        <x:v>0</x:v>
      </x:c>
      <x:c r="L18" s="4" t="n">
        <x:f>I18-J18</x:f>
        <x:v>9.600000000000001</x:v>
      </x:c>
      <x:c r="M18" s="4" t="str">
        <x:v>G1 / P26-A-R02</x:v>
      </x:c>
    </x:row>
    <x:row r="19" ht="23" customHeight="1">
      <x:c r="A19" s="4" t="str">
        <x:v>P26-A-R02-FACE-02</x:v>
      </x:c>
      <x:c r="B19" s="4" t="str">
        <x:v>Гостевой санузел</x:v>
      </x:c>
      <x:c r="C19" s="4" t="str">
        <x:v>Восток</x:v>
      </x:c>
      <x:c r="D19" s="4" t="n">
        <x:v>1.84</x:v>
      </x:c>
      <x:c r="E19" s="4" t="n">
        <x:f>'Параметры'!$C$6</x:f>
        <x:v>3</x:v>
      </x:c>
      <x:c r="F19" s="4" t="n">
        <x:v>0</x:v>
      </x:c>
      <x:c r="G19" s="4" t="n">
        <x:f>D19*E19+F19</x:f>
        <x:v>5.5200000000000005</x:v>
      </x:c>
      <x:c r="H19" s="4" t="n">
        <x:f>'Параметры'!F64</x:f>
        <x:v>0.72</x:v>
      </x:c>
      <x:c r="I19" s="4" t="n">
        <x:f>G19-H19</x:f>
        <x:v>4.800000000000001</x:v>
      </x:c>
      <x:c r="J19" s="4" t="n">
        <x:f>'Параметры'!$C$42</x:f>
        <x:v>2.1</x:v>
      </x:c>
      <x:c r="K19" s="4" t="n">
        <x:f>0</x:f>
        <x:v>0</x:v>
      </x:c>
      <x:c r="L19" s="4" t="n">
        <x:f>I19-J19</x:f>
        <x:v>2.7000000000000006</x:v>
      </x:c>
      <x:c r="M19" s="4" t="str">
        <x:v>G1 / P26-A-R02</x:v>
      </x:c>
    </x:row>
    <x:row r="20" ht="23" customHeight="1">
      <x:c r="A20" s="4" t="str">
        <x:v>P26-A-R02-FACE-03</x:v>
      </x:c>
      <x:c r="B20" s="4" t="str">
        <x:v>Гостевой санузел</x:v>
      </x:c>
      <x:c r="C20" s="4" t="str">
        <x:v>Юг</x:v>
      </x:c>
      <x:c r="D20" s="4" t="n">
        <x:v>3.2</x:v>
      </x:c>
      <x:c r="E20" s="4" t="n">
        <x:f>'Параметры'!$C$6</x:f>
        <x:v>3</x:v>
      </x:c>
      <x:c r="F20" s="4" t="n">
        <x:v>0</x:v>
      </x:c>
      <x:c r="G20" s="4" t="n">
        <x:f>D20*E20+F20</x:f>
        <x:v>9.600000000000001</x:v>
      </x:c>
      <x:c r="H20" s="4" t="n">
        <x:f>0</x:f>
        <x:v>0</x:v>
      </x:c>
      <x:c r="I20" s="4" t="n">
        <x:f>G20-H20</x:f>
        <x:v>9.600000000000001</x:v>
      </x:c>
      <x:c r="J20" s="4" t="n">
        <x:f>'Параметры'!$C$42</x:f>
        <x:v>2.1</x:v>
      </x:c>
      <x:c r="K20" s="4" t="n">
        <x:f>0</x:f>
        <x:v>0</x:v>
      </x:c>
      <x:c r="L20" s="4" t="n">
        <x:f>I20-J20</x:f>
        <x:v>7.500000000000002</x:v>
      </x:c>
      <x:c r="M20" s="4" t="str">
        <x:v>G1 / P26-A-R02</x:v>
      </x:c>
    </x:row>
    <x:row r="21" ht="23" customHeight="1">
      <x:c r="A21" s="4" t="str">
        <x:v>P26-A-R02-FACE-04</x:v>
      </x:c>
      <x:c r="B21" s="4" t="str">
        <x:v>Гостевой санузел</x:v>
      </x:c>
      <x:c r="C21" s="4" t="str">
        <x:v>Запад</x:v>
      </x:c>
      <x:c r="D21" s="4" t="n">
        <x:v>1.84</x:v>
      </x:c>
      <x:c r="E21" s="4" t="n">
        <x:f>'Параметры'!$C$6</x:f>
        <x:v>3</x:v>
      </x:c>
      <x:c r="F21" s="4" t="n">
        <x:v>0</x:v>
      </x:c>
      <x:c r="G21" s="4" t="n">
        <x:f>D21*E21+F21</x:f>
        <x:v>5.5200000000000005</x:v>
      </x:c>
      <x:c r="H21" s="4" t="n">
        <x:f>'Параметры'!F69</x:f>
        <x:v>1.8900000000000001</x:v>
      </x:c>
      <x:c r="I21" s="4" t="n">
        <x:f>G21-H21</x:f>
        <x:v>3.6300000000000003</x:v>
      </x:c>
      <x:c r="J21" s="4" t="n">
        <x:f>0</x:f>
        <x:v>0</x:v>
      </x:c>
      <x:c r="K21" s="4" t="n">
        <x:f>0</x:f>
        <x:v>0</x:v>
      </x:c>
      <x:c r="L21" s="4" t="n">
        <x:f>I21-J21</x:f>
        <x:v>3.6300000000000003</x:v>
      </x:c>
      <x:c r="M21" s="4" t="str">
        <x:v>G1 / P26-A-R02</x:v>
      </x:c>
    </x:row>
    <x:row r="22" ht="23" customHeight="1">
      <x:c r="A22" s="4" t="str">
        <x:v>P26-A-R03-FACE-01</x:v>
      </x:c>
      <x:c r="B22" s="4" t="str">
        <x:v>Хозяйский санузел</x:v>
      </x:c>
      <x:c r="C22" s="4" t="str">
        <x:v>Север</x:v>
      </x:c>
      <x:c r="D22" s="4" t="n">
        <x:v>2.7</x:v>
      </x:c>
      <x:c r="E22" s="4" t="n">
        <x:f>'Параметры'!$C$6</x:f>
        <x:v>3</x:v>
      </x:c>
      <x:c r="F22" s="4" t="n">
        <x:v>0</x:v>
      </x:c>
      <x:c r="G22" s="4" t="n">
        <x:f>D22*E22+F22</x:f>
        <x:v>8.100000000000001</x:v>
      </x:c>
      <x:c r="H22" s="4" t="n">
        <x:f>0</x:f>
        <x:v>0</x:v>
      </x:c>
      <x:c r="I22" s="4" t="n">
        <x:f>G22-H22</x:f>
        <x:v>8.100000000000001</x:v>
      </x:c>
      <x:c r="J22" s="4" t="n">
        <x:f>I22</x:f>
        <x:v>8.100000000000001</x:v>
      </x:c>
      <x:c r="K22" s="4" t="n">
        <x:f>0</x:f>
        <x:v>0</x:v>
      </x:c>
      <x:c r="L22" s="4" t="n">
        <x:f>I22-J22</x:f>
        <x:v>0</x:v>
      </x:c>
      <x:c r="M22" s="4" t="str">
        <x:v>G1 / P26-A-R03</x:v>
      </x:c>
    </x:row>
    <x:row r="23" ht="23" customHeight="1">
      <x:c r="A23" s="4" t="str">
        <x:v>P26-A-R03-FACE-02</x:v>
      </x:c>
      <x:c r="B23" s="4" t="str">
        <x:v>Хозяйский санузел</x:v>
      </x:c>
      <x:c r="C23" s="4" t="str">
        <x:v>Восток</x:v>
      </x:c>
      <x:c r="D23" s="4" t="n">
        <x:v>1.52</x:v>
      </x:c>
      <x:c r="E23" s="4" t="n">
        <x:f>'Параметры'!$C$6</x:f>
        <x:v>3</x:v>
      </x:c>
      <x:c r="F23" s="4" t="n">
        <x:v>0</x:v>
      </x:c>
      <x:c r="G23" s="4" t="n">
        <x:f>D23*E23+F23</x:f>
        <x:v>4.5600000000000005</x:v>
      </x:c>
      <x:c r="H23" s="4" t="n">
        <x:f>'Параметры'!F65</x:f>
        <x:v>0.72</x:v>
      </x:c>
      <x:c r="I23" s="4" t="n">
        <x:f>G23-H23</x:f>
        <x:v>3.8400000000000007</x:v>
      </x:c>
      <x:c r="J23" s="4" t="n">
        <x:f>I23</x:f>
        <x:v>3.8400000000000007</x:v>
      </x:c>
      <x:c r="K23" s="4" t="n">
        <x:f>0</x:f>
        <x:v>0</x:v>
      </x:c>
      <x:c r="L23" s="4" t="n">
        <x:f>I23-J23</x:f>
        <x:v>0</x:v>
      </x:c>
      <x:c r="M23" s="4" t="str">
        <x:v>G1 / P26-A-R03</x:v>
      </x:c>
    </x:row>
    <x:row r="24" ht="23" customHeight="1">
      <x:c r="A24" s="4" t="str">
        <x:v>P26-A-R03-FACE-03</x:v>
      </x:c>
      <x:c r="B24" s="4" t="str">
        <x:v>Хозяйский санузел</x:v>
      </x:c>
      <x:c r="C24" s="4" t="str">
        <x:v>Юг</x:v>
      </x:c>
      <x:c r="D24" s="4" t="n">
        <x:v>2.7</x:v>
      </x:c>
      <x:c r="E24" s="4" t="n">
        <x:f>'Параметры'!$C$6</x:f>
        <x:v>3</x:v>
      </x:c>
      <x:c r="F24" s="4" t="n">
        <x:v>0</x:v>
      </x:c>
      <x:c r="G24" s="4" t="n">
        <x:f>D24*E24+F24</x:f>
        <x:v>8.100000000000001</x:v>
      </x:c>
      <x:c r="H24" s="4" t="n">
        <x:f>'Параметры'!F71</x:f>
        <x:v>1.8900000000000001</x:v>
      </x:c>
      <x:c r="I24" s="4" t="n">
        <x:f>G24-H24</x:f>
        <x:v>6.210000000000001</x:v>
      </x:c>
      <x:c r="J24" s="4" t="n">
        <x:f>I24</x:f>
        <x:v>6.210000000000001</x:v>
      </x:c>
      <x:c r="K24" s="4" t="n">
        <x:f>0</x:f>
        <x:v>0</x:v>
      </x:c>
      <x:c r="L24" s="4" t="n">
        <x:f>I24-J24</x:f>
        <x:v>0</x:v>
      </x:c>
      <x:c r="M24" s="4" t="str">
        <x:v>G1 / P26-A-R03</x:v>
      </x:c>
    </x:row>
    <x:row r="25" ht="23" customHeight="1">
      <x:c r="A25" s="4" t="str">
        <x:v>P26-A-R03-FACE-04</x:v>
      </x:c>
      <x:c r="B25" s="4" t="str">
        <x:v>Хозяйский санузел</x:v>
      </x:c>
      <x:c r="C25" s="4" t="str">
        <x:v>Запад</x:v>
      </x:c>
      <x:c r="D25" s="4" t="n">
        <x:v>1.52</x:v>
      </x:c>
      <x:c r="E25" s="4" t="n">
        <x:f>'Параметры'!$C$6</x:f>
        <x:v>3</x:v>
      </x:c>
      <x:c r="F25" s="4" t="n">
        <x:v>0</x:v>
      </x:c>
      <x:c r="G25" s="4" t="n">
        <x:f>D25*E25+F25</x:f>
        <x:v>4.5600000000000005</x:v>
      </x:c>
      <x:c r="H25" s="4" t="n">
        <x:f>0</x:f>
        <x:v>0</x:v>
      </x:c>
      <x:c r="I25" s="4" t="n">
        <x:f>G25-H25</x:f>
        <x:v>4.5600000000000005</x:v>
      </x:c>
      <x:c r="J25" s="4" t="n">
        <x:f>I25</x:f>
        <x:v>4.5600000000000005</x:v>
      </x:c>
      <x:c r="K25" s="4" t="n">
        <x:f>0</x:f>
        <x:v>0</x:v>
      </x:c>
      <x:c r="L25" s="4" t="n">
        <x:f>I25-J25</x:f>
        <x:v>0</x:v>
      </x:c>
      <x:c r="M25" s="4" t="str">
        <x:v>G1 / P26-A-R03</x:v>
      </x:c>
    </x:row>
    <x:row r="26" ht="23" customHeight="1">
      <x:c r="A26" s="4" t="str">
        <x:v>P26-A-R04-FACE-01</x:v>
      </x:c>
      <x:c r="B26" s="4" t="str">
        <x:v>Хозяйская спальня</x:v>
      </x:c>
      <x:c r="C26" s="4" t="str">
        <x:v>Север</x:v>
      </x:c>
      <x:c r="D26" s="4" t="n">
        <x:v>4.06</x:v>
      </x:c>
      <x:c r="E26" s="4" t="n">
        <x:f>'Параметры'!$C$6</x:f>
        <x:v>3</x:v>
      </x:c>
      <x:c r="F26" s="4" t="n">
        <x:v>0</x:v>
      </x:c>
      <x:c r="G26" s="4" t="n">
        <x:f>D26*E26+F26</x:f>
        <x:v>12.18</x:v>
      </x:c>
      <x:c r="H26" s="4" t="n">
        <x:f>'Параметры'!F70+'Параметры'!F71</x:f>
        <x:v>3.7800000000000002</x:v>
      </x:c>
      <x:c r="I26" s="4" t="n">
        <x:f>G26-H26</x:f>
        <x:v>8.399999999999999</x:v>
      </x:c>
      <x:c r="J26" s="4" t="n">
        <x:f>0</x:f>
        <x:v>0</x:v>
      </x:c>
      <x:c r="K26" s="4" t="n">
        <x:f>I26-J26</x:f>
        <x:v>8.399999999999999</x:v>
      </x:c>
      <x:c r="L26" s="4" t="n">
        <x:f>0</x:f>
        <x:v>0</x:v>
      </x:c>
      <x:c r="M26" s="4" t="str">
        <x:v>G1 / P26-A-R04</x:v>
      </x:c>
    </x:row>
    <x:row r="27" ht="23" customHeight="1">
      <x:c r="A27" s="4" t="str">
        <x:v>P26-A-R04-FACE-02</x:v>
      </x:c>
      <x:c r="B27" s="4" t="str">
        <x:v>Хозяйская спальня</x:v>
      </x:c>
      <x:c r="C27" s="4" t="str">
        <x:v>Восток</x:v>
      </x:c>
      <x:c r="D27" s="4" t="n">
        <x:v>3.6</x:v>
      </x:c>
      <x:c r="E27" s="4" t="n">
        <x:f>'Параметры'!$C$6</x:f>
        <x:v>3</x:v>
      </x:c>
      <x:c r="F27" s="4" t="n">
        <x:v>0</x:v>
      </x:c>
      <x:c r="G27" s="4" t="n">
        <x:f>D27*E27+F27</x:f>
        <x:v>10.8</x:v>
      </x:c>
      <x:c r="H27" s="4" t="n">
        <x:f>0</x:f>
        <x:v>0</x:v>
      </x:c>
      <x:c r="I27" s="4" t="n">
        <x:f>G27-H27</x:f>
        <x:v>10.8</x:v>
      </x:c>
      <x:c r="J27" s="4" t="n">
        <x:f>0</x:f>
        <x:v>0</x:v>
      </x:c>
      <x:c r="K27" s="4" t="n">
        <x:f>I27-J27</x:f>
        <x:v>10.8</x:v>
      </x:c>
      <x:c r="L27" s="4" t="n">
        <x:f>0</x:f>
        <x:v>0</x:v>
      </x:c>
      <x:c r="M27" s="4" t="str">
        <x:v>G1 / P26-A-R04</x:v>
      </x:c>
    </x:row>
    <x:row r="28" ht="23" customHeight="1">
      <x:c r="A28" s="4" t="str">
        <x:v>P26-A-R04-FACE-03</x:v>
      </x:c>
      <x:c r="B28" s="4" t="str">
        <x:v>Хозяйская спальня</x:v>
      </x:c>
      <x:c r="C28" s="4" t="str">
        <x:v>Юг</x:v>
      </x:c>
      <x:c r="D28" s="4" t="n">
        <x:v>4.06</x:v>
      </x:c>
      <x:c r="E28" s="4" t="n">
        <x:f>'Параметры'!$C$6</x:f>
        <x:v>3</x:v>
      </x:c>
      <x:c r="F28" s="4" t="n">
        <x:v>0</x:v>
      </x:c>
      <x:c r="G28" s="4" t="n">
        <x:f>D28*E28+F28</x:f>
        <x:v>12.18</x:v>
      </x:c>
      <x:c r="H28" s="4" t="n">
        <x:f>'Параметры'!F67</x:f>
        <x:v>3.84</x:v>
      </x:c>
      <x:c r="I28" s="4" t="n">
        <x:f>G28-H28</x:f>
        <x:v>8.34</x:v>
      </x:c>
      <x:c r="J28" s="4" t="n">
        <x:f>0</x:f>
        <x:v>0</x:v>
      </x:c>
      <x:c r="K28" s="4" t="n">
        <x:f>I28-J28</x:f>
        <x:v>8.34</x:v>
      </x:c>
      <x:c r="L28" s="4" t="n">
        <x:f>0</x:f>
        <x:v>0</x:v>
      </x:c>
      <x:c r="M28" s="4" t="str">
        <x:v>G1 / P26-A-R04</x:v>
      </x:c>
    </x:row>
    <x:row r="29" ht="23" customHeight="1">
      <x:c r="A29" s="4" t="str">
        <x:v>P26-A-R04-FACE-04</x:v>
      </x:c>
      <x:c r="B29" s="4" t="str">
        <x:v>Хозяйская спальня</x:v>
      </x:c>
      <x:c r="C29" s="4" t="str">
        <x:v>Запад</x:v>
      </x:c>
      <x:c r="D29" s="4" t="n">
        <x:v>3.6</x:v>
      </x:c>
      <x:c r="E29" s="4" t="n">
        <x:f>'Параметры'!$C$6</x:f>
        <x:v>3</x:v>
      </x:c>
      <x:c r="F29" s="4" t="n">
        <x:v>0</x:v>
      </x:c>
      <x:c r="G29" s="4" t="n">
        <x:f>D29*E29+F29</x:f>
        <x:v>10.8</x:v>
      </x:c>
      <x:c r="H29" s="4" t="n">
        <x:f>0</x:f>
        <x:v>0</x:v>
      </x:c>
      <x:c r="I29" s="4" t="n">
        <x:f>G29-H29</x:f>
        <x:v>10.8</x:v>
      </x:c>
      <x:c r="J29" s="4" t="n">
        <x:f>0</x:f>
        <x:v>0</x:v>
      </x:c>
      <x:c r="K29" s="4" t="n">
        <x:f>I29-J29</x:f>
        <x:v>10.8</x:v>
      </x:c>
      <x:c r="L29" s="4" t="n">
        <x:f>0</x:f>
        <x:v>0</x:v>
      </x:c>
      <x:c r="M29" s="4" t="str">
        <x:v>G1 / P26-A-R04</x:v>
      </x:c>
    </x:row>
    <x:row r="30" ht="23" customHeight="1">
      <x:c r="A30" s="4" t="str">
        <x:v>P26-A-R05-FACE-01</x:v>
      </x:c>
      <x:c r="B30" s="4" t="str">
        <x:v>Спальня 2</x:v>
      </x:c>
      <x:c r="C30" s="4" t="str">
        <x:v>Север</x:v>
      </x:c>
      <x:c r="D30" s="4" t="n">
        <x:v>3.1</x:v>
      </x:c>
      <x:c r="E30" s="4" t="n">
        <x:f>'Параметры'!$C$6</x:f>
        <x:v>3</x:v>
      </x:c>
      <x:c r="F30" s="4" t="n">
        <x:v>0</x:v>
      </x:c>
      <x:c r="G30" s="4" t="n">
        <x:f>D30*E30+F30</x:f>
        <x:v>9.3</x:v>
      </x:c>
      <x:c r="H30" s="4" t="n">
        <x:f>'Параметры'!F72</x:f>
        <x:v>1.8900000000000001</x:v>
      </x:c>
      <x:c r="I30" s="4" t="n">
        <x:f>G30-H30</x:f>
        <x:v>7.41</x:v>
      </x:c>
      <x:c r="J30" s="4" t="n">
        <x:f>0</x:f>
        <x:v>0</x:v>
      </x:c>
      <x:c r="K30" s="4" t="n">
        <x:f>I30-J30</x:f>
        <x:v>7.41</x:v>
      </x:c>
      <x:c r="L30" s="4" t="n">
        <x:f>0</x:f>
        <x:v>0</x:v>
      </x:c>
      <x:c r="M30" s="4" t="str">
        <x:v>G1 / P26-A-R05</x:v>
      </x:c>
    </x:row>
    <x:row r="31" ht="23" customHeight="1">
      <x:c r="A31" s="4" t="str">
        <x:v>P26-A-R05-FACE-02</x:v>
      </x:c>
      <x:c r="B31" s="4" t="str">
        <x:v>Спальня 2</x:v>
      </x:c>
      <x:c r="C31" s="4" t="str">
        <x:v>Восток</x:v>
      </x:c>
      <x:c r="D31" s="4" t="n">
        <x:v>3.6</x:v>
      </x:c>
      <x:c r="E31" s="4" t="n">
        <x:f>'Параметры'!$C$6</x:f>
        <x:v>3</x:v>
      </x:c>
      <x:c r="F31" s="4" t="n">
        <x:v>0</x:v>
      </x:c>
      <x:c r="G31" s="4" t="n">
        <x:f>D31*E31+F31</x:f>
        <x:v>10.8</x:v>
      </x:c>
      <x:c r="H31" s="4" t="n">
        <x:f>0</x:f>
        <x:v>0</x:v>
      </x:c>
      <x:c r="I31" s="4" t="n">
        <x:f>G31-H31</x:f>
        <x:v>10.8</x:v>
      </x:c>
      <x:c r="J31" s="4" t="n">
        <x:f>0</x:f>
        <x:v>0</x:v>
      </x:c>
      <x:c r="K31" s="4" t="n">
        <x:f>I31-J31</x:f>
        <x:v>10.8</x:v>
      </x:c>
      <x:c r="L31" s="4" t="n">
        <x:f>0</x:f>
        <x:v>0</x:v>
      </x:c>
      <x:c r="M31" s="4" t="str">
        <x:v>G1 / P26-A-R05</x:v>
      </x:c>
    </x:row>
    <x:row r="32" ht="23" customHeight="1">
      <x:c r="A32" s="4" t="str">
        <x:v>P26-A-R05-FACE-03</x:v>
      </x:c>
      <x:c r="B32" s="4" t="str">
        <x:v>Спальня 2</x:v>
      </x:c>
      <x:c r="C32" s="4" t="str">
        <x:v>Юг</x:v>
      </x:c>
      <x:c r="D32" s="4" t="n">
        <x:v>3.1</x:v>
      </x:c>
      <x:c r="E32" s="4" t="n">
        <x:f>'Параметры'!$C$6</x:f>
        <x:v>3</x:v>
      </x:c>
      <x:c r="F32" s="4" t="n">
        <x:v>0</x:v>
      </x:c>
      <x:c r="G32" s="4" t="n">
        <x:f>D32*E32+F32</x:f>
        <x:v>9.3</x:v>
      </x:c>
      <x:c r="H32" s="4" t="n">
        <x:f>'Параметры'!F66</x:f>
        <x:v>3.84</x:v>
      </x:c>
      <x:c r="I32" s="4" t="n">
        <x:f>G32-H32</x:f>
        <x:v>5.460000000000001</x:v>
      </x:c>
      <x:c r="J32" s="4" t="n">
        <x:f>0</x:f>
        <x:v>0</x:v>
      </x:c>
      <x:c r="K32" s="4" t="n">
        <x:f>I32-J32</x:f>
        <x:v>5.460000000000001</x:v>
      </x:c>
      <x:c r="L32" s="4" t="n">
        <x:f>0</x:f>
        <x:v>0</x:v>
      </x:c>
      <x:c r="M32" s="4" t="str">
        <x:v>G1 / P26-A-R05</x:v>
      </x:c>
    </x:row>
    <x:row r="33" ht="23" customHeight="1">
      <x:c r="A33" s="4" t="str">
        <x:v>P26-A-R05-FACE-04</x:v>
      </x:c>
      <x:c r="B33" s="4" t="str">
        <x:v>Спальня 2</x:v>
      </x:c>
      <x:c r="C33" s="4" t="str">
        <x:v>Запад</x:v>
      </x:c>
      <x:c r="D33" s="4" t="n">
        <x:v>3.6</x:v>
      </x:c>
      <x:c r="E33" s="4" t="n">
        <x:f>'Параметры'!$C$6</x:f>
        <x:v>3</x:v>
      </x:c>
      <x:c r="F33" s="4" t="n">
        <x:v>0</x:v>
      </x:c>
      <x:c r="G33" s="4" t="n">
        <x:f>D33*E33+F33</x:f>
        <x:v>10.8</x:v>
      </x:c>
      <x:c r="H33" s="4" t="n">
        <x:f>0</x:f>
        <x:v>0</x:v>
      </x:c>
      <x:c r="I33" s="4" t="n">
        <x:f>G33-H33</x:f>
        <x:v>10.8</x:v>
      </x:c>
      <x:c r="J33" s="4" t="n">
        <x:f>0</x:f>
        <x:v>0</x:v>
      </x:c>
      <x:c r="K33" s="4" t="n">
        <x:f>I33-J33</x:f>
        <x:v>10.8</x:v>
      </x:c>
      <x:c r="L33" s="4" t="n">
        <x:f>0</x:f>
        <x:v>0</x:v>
      </x:c>
      <x:c r="M33" s="4" t="str">
        <x:v>G1 / P26-A-R05</x:v>
      </x:c>
    </x:row>
    <x:row r="34" ht="23" customHeight="1">
      <x:c r="A34" s="4" t="str">
        <x:v>W-HIGH-W</x:v>
      </x:c>
      <x:c r="B34" s="4" t="str">
        <x:v>Гостиная и кухня</x:v>
      </x:c>
      <x:c r="C34" s="4" t="str">
        <x:v>Западный верх</x:v>
      </x:c>
      <x:c r="D34" s="4" t="n">
        <x:v>7.36</x:v>
      </x:c>
      <x:c r="E34" s="4"/>
      <x:c r="F34" s="4" t="n">
        <x:f>7.36*MAX(0,('Параметры'!$C$7+0.4*(('Параметры'!$C$8-'Параметры'!$C$7)/4.08)-'Параметры'!$C$9)-'Параметры'!$C$6)+7.36/2*('Параметры'!$C$8-'Параметры'!$C$9-('Параметры'!$C$7+0.4*(('Параметры'!$C$8-'Параметры'!$C$7)/4.08)-'Параметры'!$C$9))</x:f>
        <x:v>6.501333333333333</x:v>
      </x:c>
      <x:c r="G34" s="4" t="n">
        <x:f>F34</x:f>
        <x:v>6.501333333333333</x:v>
      </x:c>
      <x:c r="H34" s="4" t="n">
        <x:v>0</x:v>
      </x:c>
      <x:c r="I34" s="4" t="n">
        <x:f>G34</x:f>
        <x:v>6.501333333333333</x:v>
      </x:c>
      <x:c r="J34" s="4" t="n">
        <x:v>0</x:v>
      </x:c>
      <x:c r="K34" s="4" t="n">
        <x:f>I34</x:f>
        <x:v>6.501333333333333</x:v>
      </x:c>
      <x:c r="L34" s="4" t="n">
        <x:v>0</x:v>
      </x:c>
      <x:c r="M34" s="4" t="str">
        <x:v>G1: ceiling_design / lounge</x:v>
      </x:c>
    </x:row>
    <x:row r="35" ht="23" customHeight="1">
      <x:c r="A35" s="4" t="str">
        <x:v>W-HIGH-E</x:v>
      </x:c>
      <x:c r="B35" s="4" t="str">
        <x:v>Гостиная и кухня</x:v>
      </x:c>
      <x:c r="C35" s="4" t="str">
        <x:v>Переход к плоскому потолку</x:v>
      </x:c>
      <x:c r="D35" s="4" t="n">
        <x:v>7.36</x:v>
      </x:c>
      <x:c r="E35" s="4"/>
      <x:c r="F35" s="4" t="n">
        <x:f>7.36*MAX(0,('Параметры'!$C$7+0.4*(('Параметры'!$C$8-'Параметры'!$C$7)/4.08)-'Параметры'!$C$9)-'Параметры'!$C$6)+7.36/2*('Параметры'!$C$8-'Параметры'!$C$9-('Параметры'!$C$7+0.4*(('Параметры'!$C$8-'Параметры'!$C$7)/4.08)-'Параметры'!$C$9))</x:f>
        <x:v>6.501333333333333</x:v>
      </x:c>
      <x:c r="G35" s="4" t="n">
        <x:f>F35</x:f>
        <x:v>6.501333333333333</x:v>
      </x:c>
      <x:c r="H35" s="4" t="n">
        <x:v>0</x:v>
      </x:c>
      <x:c r="I35" s="4" t="n">
        <x:f>G35</x:f>
        <x:v>6.501333333333333</x:v>
      </x:c>
      <x:c r="J35" s="4" t="n">
        <x:v>0</x:v>
      </x:c>
      <x:c r="K35" s="4" t="n">
        <x:f>I35</x:f>
        <x:v>6.501333333333333</x:v>
      </x:c>
      <x:c r="L35" s="4" t="n">
        <x:v>0</x:v>
      </x:c>
      <x:c r="M35" s="4" t="str">
        <x:v>G1: ceiling_design / lounge</x:v>
      </x:c>
    </x:row>
    <x:row r="36" ht="23" customHeight="1">
      <x:c r="A36" s="4" t="str">
        <x:v>W-HIGH-N</x:v>
      </x:c>
      <x:c r="B36" s="4" t="str">
        <x:v>Гостиная и кухня</x:v>
      </x:c>
      <x:c r="C36" s="4" t="str">
        <x:v>Северный верх</x:v>
      </x:c>
      <x:c r="D36" s="4" t="n">
        <x:v>3.2</x:v>
      </x:c>
      <x:c r="E36" s="4"/>
      <x:c r="F36" s="4" t="n">
        <x:f>3.2*MAX(0,('Параметры'!$C$7+0.4*(('Параметры'!$C$8-'Параметры'!$C$7)/4.08)-'Параметры'!$C$9)-'Параметры'!$C$6)</x:f>
        <x:v>0.373333333333332</x:v>
      </x:c>
      <x:c r="G36" s="4" t="n">
        <x:f>F36</x:f>
        <x:v>0.373333333333332</x:v>
      </x:c>
      <x:c r="H36" s="4" t="n">
        <x:v>0</x:v>
      </x:c>
      <x:c r="I36" s="4" t="n">
        <x:f>G36</x:f>
        <x:v>0.373333333333332</x:v>
      </x:c>
      <x:c r="J36" s="4" t="n">
        <x:v>0</x:v>
      </x:c>
      <x:c r="K36" s="4" t="n">
        <x:f>I36</x:f>
        <x:v>0.373333333333332</x:v>
      </x:c>
      <x:c r="L36" s="4" t="n">
        <x:v>0</x:v>
      </x:c>
      <x:c r="M36" s="4" t="str">
        <x:v>G1: ceiling_design / lounge</x:v>
      </x:c>
    </x:row>
    <x:row r="37" ht="23" customHeight="1">
      <x:c r="A37" s="4" t="str">
        <x:v>W-HIGH-S</x:v>
      </x:c>
      <x:c r="B37" s="4" t="str">
        <x:v>Гостиная и кухня</x:v>
      </x:c>
      <x:c r="C37" s="4" t="str">
        <x:v>Южный верх</x:v>
      </x:c>
      <x:c r="D37" s="4" t="n">
        <x:v>3.2</x:v>
      </x:c>
      <x:c r="E37" s="4"/>
      <x:c r="F37" s="4" t="n">
        <x:f>3.2*MAX(0,('Параметры'!$C$7+0.4*(('Параметры'!$C$8-'Параметры'!$C$7)/4.08)-'Параметры'!$C$9)-'Параметры'!$C$6)</x:f>
        <x:v>0.373333333333332</x:v>
      </x:c>
      <x:c r="G37" s="4" t="n">
        <x:f>F37</x:f>
        <x:v>0.373333333333332</x:v>
      </x:c>
      <x:c r="H37" s="4" t="n">
        <x:v>0</x:v>
      </x:c>
      <x:c r="I37" s="4" t="n">
        <x:f>G37</x:f>
        <x:v>0.373333333333332</x:v>
      </x:c>
      <x:c r="J37" s="4" t="n">
        <x:v>0</x:v>
      </x:c>
      <x:c r="K37" s="4" t="n">
        <x:f>I37</x:f>
        <x:v>0.373333333333332</x:v>
      </x:c>
      <x:c r="L37" s="4" t="n">
        <x:v>0</x:v>
      </x:c>
      <x:c r="M37" s="4" t="str">
        <x:v>G1: ceiling_design / lounge</x:v>
      </x:c>
    </x:row>
    <x:row r="38" ht="23" customHeight="1">
      <x:c r="A38" s="4" t="str">
        <x:v>W-LOUNGE-E</x:v>
      </x:c>
      <x:c r="B38" s="4" t="str">
        <x:v>Лаундж</x:v>
      </x:c>
      <x:c r="C38" s="4" t="str">
        <x:v>Глухая восточная стена</x:v>
      </x:c>
      <x:c r="D38" s="4" t="n">
        <x:v>4.9</x:v>
      </x:c>
      <x:c r="E38" s="4"/>
      <x:c r="F38" s="4" t="n">
        <x:f>4.9*'Параметры'!$C$51</x:f>
        <x:v>14.406</x:v>
      </x:c>
      <x:c r="G38" s="4" t="n">
        <x:f>F38</x:f>
        <x:v>14.406</x:v>
      </x:c>
      <x:c r="H38" s="4" t="n">
        <x:v>0</x:v>
      </x:c>
      <x:c r="I38" s="4" t="n">
        <x:f>G38</x:f>
        <x:v>14.406</x:v>
      </x:c>
      <x:c r="J38" s="4" t="n">
        <x:v>0</x:v>
      </x:c>
      <x:c r="K38" s="4" t="n">
        <x:f>I38</x:f>
        <x:v>14.406</x:v>
      </x:c>
      <x:c r="L38" s="4" t="n">
        <x:v>0</x:v>
      </x:c>
      <x:c r="M38" s="4" t="str">
        <x:v>G1: ceiling_design / lounge</x:v>
      </x:c>
    </x:row>
    <x:row r="39" ht="23" customHeight="1">
      <x:c r="A39" s="4" t="str"/>
      <x:c r="B39" s="4" t="str">
        <x:v>Всего</x:v>
      </x:c>
      <x:c r="C39" s="4"/>
      <x:c r="D39" s="4"/>
      <x:c r="E39" s="4"/>
      <x:c r="F39" s="4" t="n">
        <x:f>SUM(F6:F38)</x:f>
        <x:v>28.15533333333333</x:v>
      </x:c>
      <x:c r="G39" s="4" t="n">
        <x:f>SUM(G6:G38)</x:f>
        <x:v>281.3553333333334</x:v>
      </x:c>
      <x:c r="H39" s="4" t="n">
        <x:f>SUM(H6:H38)</x:f>
        <x:v>57.48000000000043</x:v>
      </x:c>
      <x:c r="I39" s="4" t="n">
        <x:f>SUM(I6:I38)</x:f>
        <x:v>223.87533333333297</x:v>
      </x:c>
      <x:c r="J39" s="4" t="n">
        <x:f>SUM(J6:J38)</x:f>
        <x:v>35.374</x:v>
      </x:c>
      <x:c r="K39" s="4" t="n">
        <x:f>SUM(K6:K38)</x:f>
        <x:v>165.0713333333329</x:v>
      </x:c>
      <x:c r="L39" s="4" t="n">
        <x:f>SUM(L6:L38)</x:f>
        <x:v>23.430000000000003</x:v>
      </x:c>
      <x:c r="M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51" hidden="0" customWidth="1"/>
    <x:col min="3" max="3" width="22" hidden="0" customWidth="1"/>
    <x:col min="4" max="4" width="15" hidden="0" customWidth="1"/>
    <x:col min="5" max="5" width="18" hidden="0" customWidth="1"/>
    <x:col min="6" max="6" width="19" hidden="0" customWidth="1"/>
    <x:col min="7" max="7" width="18" hidden="0" customWidth="1"/>
    <x:col min="8" max="8" width="20" hidden="0" customWidth="1"/>
    <x:col min="9" max="9" width="17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5" t="str">
        <x:v>Стены, каркас и утепление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6" t="str">
        <x:v>Плоскости наружной и внутренней обшивки считаются отдельно. Геометрия каркаса условная до рабочих узлов.</x:v>
      </x:c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12" t="str">
        <x:v>ID</x:v>
      </x:c>
      <x:c r="B5" s="12" t="str">
        <x:v>Плоскость</x:v>
      </x:c>
      <x:c r="C5" s="12" t="str">
        <x:v>Сторона</x:v>
      </x:c>
      <x:c r="D5" s="12" t="str">
        <x:v>Длина, м</x:v>
      </x:c>
      <x:c r="E5" s="12" t="str">
        <x:v>Высота, м</x:v>
      </x:c>
      <x:c r="F5" s="12" t="str">
        <x:v>Фронтон, м²</x:v>
      </x:c>
      <x:c r="G5" s="12" t="str">
        <x:v>Брутто, м²</x:v>
      </x:c>
      <x:c r="H5" s="12" t="str">
        <x:v>Проёмы, м²</x:v>
      </x:c>
      <x:c r="I5" s="12" t="str">
        <x:v>Нетто, м²</x:v>
      </x:c>
    </x:row>
    <x:row r="6" ht="23" customHeight="1">
      <x:c r="A6" s="4" t="str">
        <x:v>EXT-01</x:v>
      </x:c>
      <x:c r="B6" s="4" t="str">
        <x:v>Наружная</x:v>
      </x:c>
      <x:c r="C6" s="4" t="str">
        <x:v>north</x:v>
      </x:c>
      <x:c r="D6" s="4" t="n">
        <x:v>11.56</x:v>
      </x:c>
      <x:c r="E6" s="4" t="n">
        <x:f>'Параметры'!$C$7</x:f>
        <x:v>3.3</x:v>
      </x:c>
      <x:c r="F6" s="4" t="n">
        <x:f>0</x:f>
        <x:v>0</x:v>
      </x:c>
      <x:c r="G6" s="4" t="n">
        <x:f>D6*E6+F6</x:f>
        <x:v>38.147999999999996</x:v>
      </x:c>
      <x:c r="H6" s="4" t="n">
        <x:f>'Параметры'!F61+'Параметры'!F62+'Параметры'!F63</x:f>
        <x:v>6.48</x:v>
      </x:c>
      <x:c r="I6" s="4" t="n">
        <x:f>G6-H6</x:f>
        <x:v>31.667999999999996</x:v>
      </x:c>
    </x:row>
    <x:row r="7" ht="23" customHeight="1">
      <x:c r="A7" s="4" t="str">
        <x:v>EXT-02</x:v>
      </x:c>
      <x:c r="B7" s="4" t="str">
        <x:v>Наружная</x:v>
      </x:c>
      <x:c r="C7" s="4" t="str">
        <x:v>east</x:v>
      </x:c>
      <x:c r="D7" s="4" t="n">
        <x:v>8.16</x:v>
      </x:c>
      <x:c r="E7" s="4" t="n">
        <x:f>'Параметры'!$C$7</x:f>
        <x:v>3.3</x:v>
      </x:c>
      <x:c r="F7" s="4" t="n">
        <x:f>8.16*('Параметры'!$C$8-'Параметры'!$C$7)/2-0*(('Параметры'!$C$8-'Параметры'!$C$7)/4.08)</x:f>
        <x:v>6.936000000000001</x:v>
      </x:c>
      <x:c r="G7" s="4" t="n">
        <x:f>D7*E7+F7</x:f>
        <x:v>33.864</x:v>
      </x:c>
      <x:c r="H7" s="4" t="n">
        <x:f>'Параметры'!F64+'Параметры'!F65</x:f>
        <x:v>1.44</x:v>
      </x:c>
      <x:c r="I7" s="4" t="n">
        <x:f>G7-H7</x:f>
        <x:v>32.424</x:v>
      </x:c>
    </x:row>
    <x:row r="8" ht="23" customHeight="1">
      <x:c r="A8" s="4" t="str">
        <x:v>EXT-03</x:v>
      </x:c>
      <x:c r="B8" s="4" t="str">
        <x:v>Наружная</x:v>
      </x:c>
      <x:c r="C8" s="4" t="str">
        <x:v>south</x:v>
      </x:c>
      <x:c r="D8" s="4" t="n">
        <x:v>11.56</x:v>
      </x:c>
      <x:c r="E8" s="4" t="n">
        <x:f>'Параметры'!$C$7</x:f>
        <x:v>3.3</x:v>
      </x:c>
      <x:c r="F8" s="4" t="n">
        <x:f>0</x:f>
        <x:v>0</x:v>
      </x:c>
      <x:c r="G8" s="4" t="n">
        <x:f>D8*E8+F8</x:f>
        <x:v>38.147999999999996</x:v>
      </x:c>
      <x:c r="H8" s="4" t="n">
        <x:f>'Параметры'!F66+'Параметры'!F67</x:f>
        <x:v>7.68</x:v>
      </x:c>
      <x:c r="I8" s="4" t="n">
        <x:f>G8-H8</x:f>
        <x:v>30.467999999999996</x:v>
      </x:c>
    </x:row>
    <x:row r="9" ht="23" customHeight="1">
      <x:c r="A9" s="4" t="str">
        <x:v>EXT-04</x:v>
      </x:c>
      <x:c r="B9" s="4" t="str">
        <x:v>Наружная</x:v>
      </x:c>
      <x:c r="C9" s="4" t="str">
        <x:v>west</x:v>
      </x:c>
      <x:c r="D9" s="4" t="n">
        <x:v>8.16</x:v>
      </x:c>
      <x:c r="E9" s="4" t="n">
        <x:f>'Параметры'!$C$7</x:f>
        <x:v>3.3</x:v>
      </x:c>
      <x:c r="F9" s="4" t="n">
        <x:f>8.16*('Параметры'!$C$8-'Параметры'!$C$7)/2-0*(('Параметры'!$C$8-'Параметры'!$C$7)/4.08)</x:f>
        <x:v>6.936000000000001</x:v>
      </x:c>
      <x:c r="G9" s="4" t="n">
        <x:f>D9*E9+F9</x:f>
        <x:v>33.864</x:v>
      </x:c>
      <x:c r="H9" s="4" t="n">
        <x:f>'Параметры'!F68</x:f>
        <x:v>20.1</x:v>
      </x:c>
      <x:c r="I9" s="4" t="n">
        <x:f>G9-H9</x:f>
        <x:v>13.763999999999996</x:v>
      </x:c>
    </x:row>
    <x:row r="10" ht="23" customHeight="1">
      <x:c r="A10" s="4" t="str">
        <x:v>EXT-05</x:v>
      </x:c>
      <x:c r="B10" s="4" t="str">
        <x:v>Внутренняя</x:v>
      </x:c>
      <x:c r="C10" s="4" t="str">
        <x:v>north</x:v>
      </x:c>
      <x:c r="D10" s="4" t="n">
        <x:v>10.76</x:v>
      </x:c>
      <x:c r="E10" s="4" t="n">
        <x:f>'Параметры'!$C$7</x:f>
        <x:v>3.3</x:v>
      </x:c>
      <x:c r="F10" s="4" t="n">
        <x:f>0</x:f>
        <x:v>0</x:v>
      </x:c>
      <x:c r="G10" s="4" t="n">
        <x:f>D10*E10+F10</x:f>
        <x:v>35.507999999999996</x:v>
      </x:c>
      <x:c r="H10" s="4" t="n">
        <x:f>'Параметры'!F61+'Параметры'!F62+'Параметры'!F63</x:f>
        <x:v>6.48</x:v>
      </x:c>
      <x:c r="I10" s="4" t="n">
        <x:f>G10-H10</x:f>
        <x:v>29.027999999999995</x:v>
      </x:c>
    </x:row>
    <x:row r="11" ht="23" customHeight="1">
      <x:c r="A11" s="4" t="str">
        <x:v>EXT-06</x:v>
      </x:c>
      <x:c r="B11" s="4" t="str">
        <x:v>Внутренняя</x:v>
      </x:c>
      <x:c r="C11" s="4" t="str">
        <x:v>east</x:v>
      </x:c>
      <x:c r="D11" s="4" t="n">
        <x:v>7.36</x:v>
      </x:c>
      <x:c r="E11" s="4" t="n">
        <x:f>'Параметры'!$C$7</x:f>
        <x:v>3.3</x:v>
      </x:c>
      <x:c r="F11" s="4" t="n">
        <x:f>8.16*('Параметры'!$C$8-'Параметры'!$C$7)/2-0.16000000000000003*(('Параметры'!$C$8-'Параметры'!$C$7)/4.08)</x:f>
        <x:v>6.869333333333334</x:v>
      </x:c>
      <x:c r="G11" s="4" t="n">
        <x:f>D11*E11+F11</x:f>
        <x:v>31.157333333333334</x:v>
      </x:c>
      <x:c r="H11" s="4" t="n">
        <x:f>'Параметры'!F64+'Параметры'!F65</x:f>
        <x:v>1.44</x:v>
      </x:c>
      <x:c r="I11" s="4" t="n">
        <x:f>G11-H11</x:f>
        <x:v>29.717333333333332</x:v>
      </x:c>
    </x:row>
    <x:row r="12" ht="23" customHeight="1">
      <x:c r="A12" s="4" t="str">
        <x:v>EXT-07</x:v>
      </x:c>
      <x:c r="B12" s="4" t="str">
        <x:v>Внутренняя</x:v>
      </x:c>
      <x:c r="C12" s="4" t="str">
        <x:v>south</x:v>
      </x:c>
      <x:c r="D12" s="4" t="n">
        <x:v>10.76</x:v>
      </x:c>
      <x:c r="E12" s="4" t="n">
        <x:f>'Параметры'!$C$7</x:f>
        <x:v>3.3</x:v>
      </x:c>
      <x:c r="F12" s="4" t="n">
        <x:f>0</x:f>
        <x:v>0</x:v>
      </x:c>
      <x:c r="G12" s="4" t="n">
        <x:f>D12*E12+F12</x:f>
        <x:v>35.507999999999996</x:v>
      </x:c>
      <x:c r="H12" s="4" t="n">
        <x:f>'Параметры'!F66+'Параметры'!F67</x:f>
        <x:v>7.68</x:v>
      </x:c>
      <x:c r="I12" s="4" t="n">
        <x:f>G12-H12</x:f>
        <x:v>27.827999999999996</x:v>
      </x:c>
    </x:row>
    <x:row r="13" ht="23" customHeight="1">
      <x:c r="A13" s="4" t="str">
        <x:v>EXT-08</x:v>
      </x:c>
      <x:c r="B13" s="4" t="str">
        <x:v>Внутренняя</x:v>
      </x:c>
      <x:c r="C13" s="4" t="str">
        <x:v>west</x:v>
      </x:c>
      <x:c r="D13" s="4" t="n">
        <x:v>7.36</x:v>
      </x:c>
      <x:c r="E13" s="4" t="n">
        <x:f>'Параметры'!$C$7</x:f>
        <x:v>3.3</x:v>
      </x:c>
      <x:c r="F13" s="4" t="n">
        <x:f>8.16*('Параметры'!$C$8-'Параметры'!$C$7)/2-0.16000000000000003*(('Параметры'!$C$8-'Параметры'!$C$7)/4.08)</x:f>
        <x:v>6.869333333333334</x:v>
      </x:c>
      <x:c r="G13" s="4" t="n">
        <x:f>D13*E13+F13</x:f>
        <x:v>31.157333333333334</x:v>
      </x:c>
      <x:c r="H13" s="4" t="n">
        <x:f>'Параметры'!F68</x:f>
        <x:v>20.1</x:v>
      </x:c>
      <x:c r="I13" s="4" t="n">
        <x:f>G13-H13</x:f>
        <x:v>11.057333333333332</x:v>
      </x:c>
    </x:row>
    <x:row r="14" ht="23" customHeight="1">
      <x:c r="A14" s="4" t="str">
        <x:v>EXT-09</x:v>
      </x:c>
      <x:c r="B14" s="4" t="str">
        <x:v>Ось каркаса</x:v>
      </x:c>
      <x:c r="C14" s="4" t="str">
        <x:v>north</x:v>
      </x:c>
      <x:c r="D14" s="4" t="n">
        <x:v>11.16</x:v>
      </x:c>
      <x:c r="E14" s="4" t="n">
        <x:f>'Параметры'!$C$7</x:f>
        <x:v>3.3</x:v>
      </x:c>
      <x:c r="F14" s="4" t="n">
        <x:f>0</x:f>
        <x:v>0</x:v>
      </x:c>
      <x:c r="G14" s="4" t="n">
        <x:f>D14*E14+F14</x:f>
        <x:v>36.827999999999996</x:v>
      </x:c>
      <x:c r="H14" s="4" t="n">
        <x:f>'Параметры'!F61+'Параметры'!F62+'Параметры'!F63</x:f>
        <x:v>6.48</x:v>
      </x:c>
      <x:c r="I14" s="4" t="n">
        <x:f>G14-H14</x:f>
        <x:v>30.347999999999995</x:v>
      </x:c>
    </x:row>
    <x:row r="15" ht="23" customHeight="1">
      <x:c r="A15" s="4" t="str">
        <x:v>EXT-10</x:v>
      </x:c>
      <x:c r="B15" s="4" t="str">
        <x:v>Ось каркаса</x:v>
      </x:c>
      <x:c r="C15" s="4" t="str">
        <x:v>east</x:v>
      </x:c>
      <x:c r="D15" s="4" t="n">
        <x:v>7.76</x:v>
      </x:c>
      <x:c r="E15" s="4" t="n">
        <x:f>'Параметры'!$C$7</x:f>
        <x:v>3.3</x:v>
      </x:c>
      <x:c r="F15" s="4" t="n">
        <x:f>8.16*('Параметры'!$C$8-'Параметры'!$C$7)/2-0.04000000000000001*(('Параметры'!$C$8-'Параметры'!$C$7)/4.08)</x:f>
        <x:v>6.919333333333334</x:v>
      </x:c>
      <x:c r="G15" s="4" t="n">
        <x:f>D15*E15+F15</x:f>
        <x:v>32.52733333333333</x:v>
      </x:c>
      <x:c r="H15" s="4" t="n">
        <x:f>'Параметры'!F64+'Параметры'!F65</x:f>
        <x:v>1.44</x:v>
      </x:c>
      <x:c r="I15" s="4" t="n">
        <x:f>G15-H15</x:f>
        <x:v>31.08733333333333</x:v>
      </x:c>
    </x:row>
    <x:row r="16" ht="23" customHeight="1">
      <x:c r="A16" s="4" t="str">
        <x:v>EXT-11</x:v>
      </x:c>
      <x:c r="B16" s="4" t="str">
        <x:v>Ось каркаса</x:v>
      </x:c>
      <x:c r="C16" s="4" t="str">
        <x:v>south</x:v>
      </x:c>
      <x:c r="D16" s="4" t="n">
        <x:v>11.16</x:v>
      </x:c>
      <x:c r="E16" s="4" t="n">
        <x:f>'Параметры'!$C$7</x:f>
        <x:v>3.3</x:v>
      </x:c>
      <x:c r="F16" s="4" t="n">
        <x:f>0</x:f>
        <x:v>0</x:v>
      </x:c>
      <x:c r="G16" s="4" t="n">
        <x:f>D16*E16+F16</x:f>
        <x:v>36.827999999999996</x:v>
      </x:c>
      <x:c r="H16" s="4" t="n">
        <x:f>'Параметры'!F66+'Параметры'!F67</x:f>
        <x:v>7.68</x:v>
      </x:c>
      <x:c r="I16" s="4" t="n">
        <x:f>G16-H16</x:f>
        <x:v>29.147999999999996</x:v>
      </x:c>
    </x:row>
    <x:row r="17" ht="23" customHeight="1">
      <x:c r="A17" s="4" t="str">
        <x:v>EXT-12</x:v>
      </x:c>
      <x:c r="B17" s="4" t="str">
        <x:v>Ось каркаса</x:v>
      </x:c>
      <x:c r="C17" s="4" t="str">
        <x:v>west</x:v>
      </x:c>
      <x:c r="D17" s="4" t="n">
        <x:v>7.76</x:v>
      </x:c>
      <x:c r="E17" s="4" t="n">
        <x:f>'Параметры'!$C$7</x:f>
        <x:v>3.3</x:v>
      </x:c>
      <x:c r="F17" s="4" t="n">
        <x:f>8.16*('Параметры'!$C$8-'Параметры'!$C$7)/2-0.04000000000000001*(('Параметры'!$C$8-'Параметры'!$C$7)/4.08)</x:f>
        <x:v>6.919333333333334</x:v>
      </x:c>
      <x:c r="G17" s="4" t="n">
        <x:f>D17*E17+F17</x:f>
        <x:v>32.52733333333333</x:v>
      </x:c>
      <x:c r="H17" s="4" t="n">
        <x:f>'Параметры'!F68</x:f>
        <x:v>20.1</x:v>
      </x:c>
      <x:c r="I17" s="4" t="n">
        <x:f>G17-H17</x:f>
        <x:v>12.42733333333333</x:v>
      </x:c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</x:row>
    <x:row r="19" ht="23" customHeight="1">
      <x:c r="A19" s="4" t="str"/>
      <x:c r="B19" s="4" t="str">
        <x:v>Наружная — сумма</x:v>
      </x:c>
      <x:c r="C19" s="4"/>
      <x:c r="D19" s="4"/>
      <x:c r="E19" s="4"/>
      <x:c r="F19" s="4" t="n">
        <x:f>SUM(F6:F9)</x:f>
        <x:v>13.872000000000002</x:v>
      </x:c>
      <x:c r="G19" s="4" t="n">
        <x:f>SUM(G6:G9)</x:f>
        <x:v>144.024</x:v>
      </x:c>
      <x:c r="H19" s="4" t="n">
        <x:f>SUM(H6:H9)</x:f>
        <x:v>35.7</x:v>
      </x:c>
      <x:c r="I19" s="4" t="n">
        <x:f>SUM(I6:I9)</x:f>
        <x:v>108.324</x:v>
      </x:c>
    </x:row>
    <x:row r="20" ht="23" customHeight="1">
      <x:c r="A20" s="4" t="str"/>
      <x:c r="B20" s="4" t="str">
        <x:v>Внутренняя — сумма</x:v>
      </x:c>
      <x:c r="C20" s="4"/>
      <x:c r="D20" s="4"/>
      <x:c r="E20" s="4"/>
      <x:c r="F20" s="4" t="n">
        <x:f>SUM(F10:F13)</x:f>
        <x:v>13.738666666666669</x:v>
      </x:c>
      <x:c r="G20" s="4" t="n">
        <x:f>SUM(G10:G13)</x:f>
        <x:v>133.33066666666667</x:v>
      </x:c>
      <x:c r="H20" s="4" t="n">
        <x:f>SUM(H10:H13)</x:f>
        <x:v>35.7</x:v>
      </x:c>
      <x:c r="I20" s="4" t="n">
        <x:f>SUM(I10:I13)</x:f>
        <x:v>97.63066666666666</x:v>
      </x:c>
    </x:row>
    <x:row r="21" ht="23" customHeight="1">
      <x:c r="A21" s="4" t="str"/>
      <x:c r="B21" s="4" t="str">
        <x:v>Ось каркаса — сумма</x:v>
      </x:c>
      <x:c r="C21" s="4"/>
      <x:c r="D21" s="4"/>
      <x:c r="E21" s="4"/>
      <x:c r="F21" s="4" t="n">
        <x:f>SUM(F14:F17)</x:f>
        <x:v>13.838666666666668</x:v>
      </x:c>
      <x:c r="G21" s="4" t="n">
        <x:f>SUM(G14:G17)</x:f>
        <x:v>138.71066666666667</x:v>
      </x:c>
      <x:c r="H21" s="4" t="n">
        <x:f>SUM(H14:H17)</x:f>
        <x:v>35.7</x:v>
      </x:c>
      <x:c r="I21" s="4" t="n">
        <x:f>SUM(I14:I17)</x:f>
        <x:v>103.01066666666665</x:v>
      </x:c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ht="23" customHeight="1">
      <x:c r="A24" s="4" t="str">
        <x:v>Перегородки: один слой каркаса. Площадь двух отделочных сторон уже учтена на листе «Стены».</x:v>
      </x:c>
      <x:c r="B24" s="4"/>
      <x:c r="C24" s="4"/>
      <x:c r="D24" s="4"/>
      <x:c r="E24" s="4"/>
      <x:c r="F24" s="4"/>
      <x:c r="G24" s="4"/>
      <x:c r="H24" s="4"/>
      <x:c r="I24" s="4"/>
    </x:row>
    <x:row r="25" ht="32" customHeight="1">
      <x:c r="A25" s="12" t="str">
        <x:v>ID</x:v>
      </x:c>
      <x:c r="B25" s="12" t="str">
        <x:v>Участок</x:v>
      </x:c>
      <x:c r="C25" s="12" t="str">
        <x:v>Поправка стыка, м</x:v>
      </x:c>
      <x:c r="D25" s="12" t="str">
        <x:v>Длина, м</x:v>
      </x:c>
      <x:c r="E25" s="12" t="str">
        <x:v>Высота, м</x:v>
      </x:c>
      <x:c r="F25" s="12" t="str">
        <x:v>Фронтон, м²</x:v>
      </x:c>
      <x:c r="G25" s="12" t="str">
        <x:v>Брутто, м²</x:v>
      </x:c>
      <x:c r="H25" s="12" t="str">
        <x:v>Проёмы, м²</x:v>
      </x:c>
      <x:c r="I25" s="12" t="str">
        <x:v>Нетто, м²</x:v>
      </x:c>
    </x:row>
    <x:row r="26" ht="23" customHeight="1">
      <x:c r="A26" s="4" t="str">
        <x:v>P44-P01</x:v>
      </x:c>
      <x:c r="B26" s="4" t="str">
        <x:v>COMMON_TO_HALL_NORTH</x:v>
      </x:c>
      <x:c r="C26" s="4" t="n">
        <x:v>0</x:v>
      </x:c>
      <x:c r="D26" s="4" t="n">
        <x:v>2.38</x:v>
      </x:c>
      <x:c r="E26" s="4" t="n">
        <x:f>'Параметры'!$C$6</x:f>
        <x:v>3</x:v>
      </x:c>
      <x:c r="F26" s="4" t="n">
        <x:v>0</x:v>
      </x:c>
      <x:c r="G26" s="4" t="n">
        <x:f>(D26-C26)*E26</x:f>
        <x:v>7.14</x:v>
      </x:c>
      <x:c r="H26" s="4" t="n">
        <x:f>0</x:f>
        <x:v>0</x:v>
      </x:c>
      <x:c r="I26" s="4" t="n">
        <x:f>G26-H26</x:f>
        <x:v>7.14</x:v>
      </x:c>
    </x:row>
    <x:row r="27" ht="23" customHeight="1">
      <x:c r="A27" s="4" t="str">
        <x:v>P44-WB02</x:v>
      </x:c>
      <x:c r="B27" s="4" t="str">
        <x:v>NORTH_TO_SOUTH_CONTROL_GAP</x:v>
      </x:c>
      <x:c r="C27" s="4" t="n">
        <x:v>0</x:v>
      </x:c>
      <x:c r="D27" s="4" t="n">
        <x:v>7.56</x:v>
      </x:c>
      <x:c r="E27" s="4" t="n">
        <x:f>'Параметры'!$C$6</x:f>
        <x:v>3</x:v>
      </x:c>
      <x:c r="F27" s="4" t="n">
        <x:v>0</x:v>
      </x:c>
      <x:c r="G27" s="4" t="n">
        <x:f>(D27-C27)*E27</x:f>
        <x:v>22.68</x:v>
      </x:c>
      <x:c r="H27" s="4" t="n">
        <x:f>'Параметры'!F70+'Параметры'!F71+'Параметры'!F72</x:f>
        <x:v>5.67</x:v>
      </x:c>
      <x:c r="I27" s="4" t="n">
        <x:f>G27-H27</x:f>
        <x:v>17.009999999999998</x:v>
      </x:c>
    </x:row>
    <x:row r="28" ht="23" customHeight="1">
      <x:c r="A28" s="4" t="str">
        <x:v>P44-P02</x:v>
      </x:c>
      <x:c r="B28" s="4" t="str">
        <x:v>COMMON_TO_BEDROOM_2</x:v>
      </x:c>
      <x:c r="C28" s="4" t="n">
        <x:v>0.2</x:v>
      </x:c>
      <x:c r="D28" s="4" t="n">
        <x:v>3.8</x:v>
      </x:c>
      <x:c r="E28" s="4" t="n">
        <x:f>'Параметры'!$C$6</x:f>
        <x:v>3</x:v>
      </x:c>
      <x:c r="F28" s="4" t="n">
        <x:v>0</x:v>
      </x:c>
      <x:c r="G28" s="4" t="n">
        <x:f>(D28-C28)*E28</x:f>
        <x:v>10.799999999999999</x:v>
      </x:c>
      <x:c r="H28" s="4" t="n">
        <x:f>0</x:f>
        <x:v>0</x:v>
      </x:c>
      <x:c r="I28" s="4" t="n">
        <x:f>G28-H28</x:f>
        <x:v>10.799999999999999</x:v>
      </x:c>
    </x:row>
    <x:row r="29" ht="23" customHeight="1">
      <x:c r="A29" s="4" t="str">
        <x:v>P44-P03</x:v>
      </x:c>
      <x:c r="B29" s="4" t="str">
        <x:v>BEDROOM_2_TO_MASTER</x:v>
      </x:c>
      <x:c r="C29" s="4" t="n">
        <x:v>0</x:v>
      </x:c>
      <x:c r="D29" s="4" t="n">
        <x:v>3.6</x:v>
      </x:c>
      <x:c r="E29" s="4" t="n">
        <x:f>'Параметры'!$C$6</x:f>
        <x:v>3</x:v>
      </x:c>
      <x:c r="F29" s="4" t="n">
        <x:v>0</x:v>
      </x:c>
      <x:c r="G29" s="4" t="n">
        <x:f>(D29-C29)*E29</x:f>
        <x:v>10.8</x:v>
      </x:c>
      <x:c r="H29" s="4" t="n">
        <x:f>0</x:f>
        <x:v>0</x:v>
      </x:c>
      <x:c r="I29" s="4" t="n">
        <x:f>G29-H29</x:f>
        <x:v>10.8</x:v>
      </x:c>
    </x:row>
    <x:row r="30" ht="23" customHeight="1">
      <x:c r="A30" s="4" t="str">
        <x:v>P44-P04</x:v>
      </x:c>
      <x:c r="B30" s="4" t="str">
        <x:v>GUEST_TO_MASTER_BATH</x:v>
      </x:c>
      <x:c r="C30" s="4" t="n">
        <x:v>0</x:v>
      </x:c>
      <x:c r="D30" s="4" t="n">
        <x:v>2.7</x:v>
      </x:c>
      <x:c r="E30" s="4" t="n">
        <x:f>'Параметры'!$C$6</x:f>
        <x:v>3</x:v>
      </x:c>
      <x:c r="F30" s="4" t="n">
        <x:v>0</x:v>
      </x:c>
      <x:c r="G30" s="4" t="n">
        <x:f>(D30-C30)*E30</x:f>
        <x:v>8.100000000000001</x:v>
      </x:c>
      <x:c r="H30" s="4" t="n">
        <x:f>0</x:f>
        <x:v>0</x:v>
      </x:c>
      <x:c r="I30" s="4" t="n">
        <x:f>G30-H30</x:f>
        <x:v>8.100000000000001</x:v>
      </x:c>
    </x:row>
    <x:row r="31" ht="23" customHeight="1">
      <x:c r="A31" s="4" t="str">
        <x:v>P48-WB01-N</x:v>
      </x:c>
      <x:c r="B31" s="4" t="str">
        <x:v>HALL_TO_WET_CORE_CONTROL_GAP</x:v>
      </x:c>
      <x:c r="C31" s="4" t="n">
        <x:v>0</x:v>
      </x:c>
      <x:c r="D31" s="4" t="n">
        <x:v>1.84</x:v>
      </x:c>
      <x:c r="E31" s="4" t="n">
        <x:f>'Параметры'!$C$6</x:f>
        <x:v>3</x:v>
      </x:c>
      <x:c r="F31" s="4" t="n">
        <x:v>0</x:v>
      </x:c>
      <x:c r="G31" s="4" t="n">
        <x:f>(D31-C31)*E31</x:f>
        <x:v>5.5200000000000005</x:v>
      </x:c>
      <x:c r="H31" s="4" t="n">
        <x:f>'Параметры'!F69</x:f>
        <x:v>1.8900000000000001</x:v>
      </x:c>
      <x:c r="I31" s="4" t="n">
        <x:f>G31-H31</x:f>
        <x:v>3.6300000000000003</x:v>
      </x:c>
    </x:row>
    <x:row r="32" ht="23" customHeight="1">
      <x:c r="A32" s="4" t="str">
        <x:v>P48-WB01-STEP</x:v>
      </x:c>
      <x:c r="B32" s="4" t="str">
        <x:v>HALL_TO_WET_CORE_CONTROL_GAP</x:v>
      </x:c>
      <x:c r="C32" s="4" t="n">
        <x:v>0</x:v>
      </x:c>
      <x:c r="D32" s="4" t="n">
        <x:v>0.7</x:v>
      </x:c>
      <x:c r="E32" s="4" t="n">
        <x:f>'Параметры'!$C$6</x:f>
        <x:v>3</x:v>
      </x:c>
      <x:c r="F32" s="4" t="n">
        <x:v>0</x:v>
      </x:c>
      <x:c r="G32" s="4" t="n">
        <x:f>(D32-C32)*E32</x:f>
        <x:v>2.0999999999999996</x:v>
      </x:c>
      <x:c r="H32" s="4" t="n">
        <x:f>0</x:f>
        <x:v>0</x:v>
      </x:c>
      <x:c r="I32" s="4" t="n">
        <x:f>G32-H32</x:f>
        <x:v>2.0999999999999996</x:v>
      </x:c>
    </x:row>
    <x:row r="33" ht="23" customHeight="1">
      <x:c r="A33" s="4" t="str">
        <x:v>P48-WB01-S</x:v>
      </x:c>
      <x:c r="B33" s="4" t="str">
        <x:v>HALL_TO_WET_CORE_CONTROL_GAP</x:v>
      </x:c>
      <x:c r="C33" s="4" t="n">
        <x:v>0</x:v>
      </x:c>
      <x:c r="D33" s="4" t="n">
        <x:v>1.52</x:v>
      </x:c>
      <x:c r="E33" s="4" t="n">
        <x:f>'Параметры'!$C$6</x:f>
        <x:v>3</x:v>
      </x:c>
      <x:c r="F33" s="4" t="n">
        <x:v>0</x:v>
      </x:c>
      <x:c r="G33" s="4" t="n">
        <x:f>(D33-C33)*E33</x:f>
        <x:v>4.5600000000000005</x:v>
      </x:c>
      <x:c r="H33" s="4" t="n">
        <x:f>0</x:f>
        <x:v>0</x:v>
      </x:c>
      <x:c r="I33" s="4" t="n">
        <x:f>G33-H33</x:f>
        <x:v>4.5600000000000005</x:v>
      </x:c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ht="23" customHeight="1">
      <x:c r="A35" s="4" t="str"/>
      <x:c r="B35" s="4" t="str">
        <x:v>Перегородки — одна сторона расчёта</x:v>
      </x:c>
      <x:c r="C35" s="4"/>
      <x:c r="D35" s="4"/>
      <x:c r="E35" s="4"/>
      <x:c r="F35" s="4"/>
      <x:c r="G35" s="4" t="n">
        <x:f>SUM(G26:G33)</x:f>
        <x:v>71.7</x:v>
      </x:c>
      <x:c r="H35" s="4" t="n">
        <x:f>SUM(H26:H33)</x:f>
        <x:v>7.5600000000000005</x:v>
      </x:c>
      <x:c r="I35" s="4" t="n">
        <x:f>SUM(I26:I33)</x:f>
        <x:v>64.14</x:v>
      </x:c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ht="23" customHeight="1">
      <x:c r="A38" s="4" t="str">
        <x:v>Утепление эковатой</x:v>
      </x:c>
      <x:c r="B38" s="4"/>
      <x:c r="C38" s="4"/>
      <x:c r="D38" s="4"/>
      <x:c r="E38" s="4"/>
      <x:c r="F38" s="4"/>
      <x:c r="G38" s="4"/>
      <x:c r="H38" s="4"/>
      <x:c r="I38" s="4"/>
    </x:row>
    <x:row r="39" ht="32" customHeight="1">
      <x:c r="A39" s="12" t="str">
        <x:v>ID</x:v>
      </x:c>
      <x:c r="B39" s="12" t="str">
        <x:v>Зона</x:v>
      </x:c>
      <x:c r="C39" s="12" t="str">
        <x:v>Площадь, м²</x:v>
      </x:c>
      <x:c r="D39" s="12" t="str">
        <x:v>Глубина, м</x:v>
      </x:c>
      <x:c r="E39" s="12" t="str">
        <x:v>До каркаса, м³</x:v>
      </x:c>
      <x:c r="F39" s="12" t="str">
        <x:v>Доля древесины</x:v>
      </x:c>
      <x:c r="G39" s="12" t="str">
        <x:v>Полость, м³</x:v>
      </x:c>
      <x:c r="H39" s="12" t="str">
        <x:v>Плотность, кг/м³</x:v>
      </x:c>
      <x:c r="I39" s="12" t="str">
        <x:v>Масса, кг</x:v>
      </x:c>
    </x:row>
    <x:row r="40" ht="23" customHeight="1">
      <x:c r="A40" s="4" t="str">
        <x:v>ECO-EXT</x:v>
      </x:c>
      <x:c r="B40" s="4" t="str">
        <x:v>Наружные стены с фронтонами</x:v>
      </x:c>
      <x:c r="C40" s="4" t="n">
        <x:f>'Оболочка'!I21</x:f>
        <x:v>103.01066666666665</x:v>
      </x:c>
      <x:c r="D40" s="4" t="n">
        <x:f>'Параметры'!$C$10</x:f>
        <x:v>0.2</x:v>
      </x:c>
      <x:c r="E40" s="4" t="n">
        <x:f>C40*D40</x:f>
        <x:v>20.60213333333333</x:v>
      </x:c>
      <x:c r="F40" s="4" t="n">
        <x:f>'Параметры'!$C$14</x:f>
        <x:v>0.15</x:v>
      </x:c>
      <x:c r="G40" s="4" t="n">
        <x:f>E40*(1-F40)</x:f>
        <x:v>17.511813333333333</x:v>
      </x:c>
      <x:c r="H40" s="4" t="n">
        <x:f>'Параметры'!$C$16</x:f>
        <x:v>55</x:v>
      </x:c>
      <x:c r="I40" s="4" t="n">
        <x:f>G40*H40</x:f>
        <x:v>963.1497333333333</x:v>
      </x:c>
    </x:row>
    <x:row r="41" ht="23" customHeight="1">
      <x:c r="A41" s="4" t="str">
        <x:v>ECO-PART</x:v>
      </x:c>
      <x:c r="B41" s="4" t="str">
        <x:v>Перегородки до плоского потолка</x:v>
      </x:c>
      <x:c r="C41" s="4" t="n">
        <x:f>'Оболочка'!I35</x:f>
        <x:v>64.14</x:v>
      </x:c>
      <x:c r="D41" s="4" t="n">
        <x:f>'Параметры'!$C$11</x:f>
        <x:v>0.14</x:v>
      </x:c>
      <x:c r="E41" s="4" t="n">
        <x:f>C41*D41</x:f>
        <x:v>8.979600000000001</x:v>
      </x:c>
      <x:c r="F41" s="4" t="n">
        <x:f>'Параметры'!$C$15</x:f>
        <x:v>0.15</x:v>
      </x:c>
      <x:c r="G41" s="4" t="n">
        <x:f>E41*(1-F41)</x:f>
        <x:v>7.632660000000001</x:v>
      </x:c>
      <x:c r="H41" s="4" t="n">
        <x:f>'Параметры'!$C$16</x:f>
        <x:v>55</x:v>
      </x:c>
      <x:c r="I41" s="4" t="n">
        <x:f>G41*H41</x:f>
        <x:v>419.7963000000001</x:v>
      </x:c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ht="23" customHeight="1">
      <x:c r="A43" s="4" t="str"/>
      <x:c r="B43" s="4" t="str">
        <x:v>Всего по стенам</x:v>
      </x:c>
      <x:c r="C43" s="4"/>
      <x:c r="D43" s="4"/>
      <x:c r="E43" s="4" t="n">
        <x:f>SUM(E40:E41)</x:f>
        <x:v>29.581733333333332</x:v>
      </x:c>
      <x:c r="F43" s="4"/>
      <x:c r="G43" s="4" t="n">
        <x:f>SUM(G40:G41)</x:f>
        <x:v>25.144473333333334</x:v>
      </x:c>
      <x:c r="H43" s="4"/>
      <x:c r="I43" s="4" t="n">
        <x:f>SUM(I40:I41)</x:f>
        <x:v>1382.9460333333334</x:v>
      </x:c>
    </x:row>
    <x:row r="44" ht="23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ht="23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ht="23" customHeight="1">
      <x:c r="A46" s="4" t="str">
        <x:v>Объём по фронтонам показан по всей наружной оболочке. Если чердак холодный, этот объём нужно пересмотреть.</x:v>
      </x:c>
      <x:c r="B46" s="4"/>
      <x:c r="C46" s="4"/>
      <x:c r="D46" s="4"/>
      <x:c r="E46" s="4"/>
      <x:c r="F46" s="4"/>
      <x:c r="G46" s="4"/>
      <x:c r="H46" s="4"/>
      <x:c r="I46" s="4"/>
    </x:row>
    <x:row r="47" ht="23" customHeight="1">
      <x:c r="A47" s="4" t="str">
        <x:v>Утепление потолка/скатов сюда не входит: не выбраны толщина, граница тёплого контура и состав крыши.</x:v>
      </x:c>
      <x:c r="B47" s="4"/>
      <x:c r="C47" s="4"/>
      <x:c r="D47" s="4"/>
      <x:c r="E47" s="4"/>
      <x:c r="F47" s="4"/>
      <x:c r="G47" s="4"/>
      <x:c r="H47" s="4"/>
      <x:c r="I47" s="4"/>
    </x:row>
    <x:row r="48" ht="23" customHeight="1">
      <x:c r="A48" s="4" t="str">
        <x:v>140/200 мм применены к номинальным осям плана. Обвязки, стойки, перемычки и узлы каркаса пока не специфицированы.</x:v>
      </x:c>
      <x:c r="B48" s="4"/>
      <x:c r="C48" s="4"/>
      <x:c r="D48" s="4"/>
      <x:c r="E48" s="4"/>
      <x:c r="F48" s="4"/>
      <x:c r="G48" s="4"/>
      <x:c r="H48" s="4"/>
      <x:c r="I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ht="23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ht="23" customHeight="1">
      <x:c r="A51" s="4" t="str">
        <x:v>БЕЛТЕРМО: чистый объём и погонный метраж деревянной отделки</x:v>
      </x:c>
      <x:c r="B51" s="4"/>
      <x:c r="C51" s="4"/>
      <x:c r="D51" s="4"/>
      <x:c r="E51" s="4"/>
      <x:c r="F51" s="4"/>
      <x:c r="G51" s="4"/>
      <x:c r="H51" s="4"/>
      <x:c r="I51" s="4"/>
    </x:row>
    <x:row r="52" ht="23" customHeight="1">
      <x:c r="A52" s="4" t="str">
        <x:v>Материал</x:v>
      </x:c>
      <x:c r="B52" s="4" t="str">
        <x:v>Площадь нетто, м²</x:v>
      </x:c>
      <x:c r="C52" s="4" t="str">
        <x:v>Толщина / ширина, м</x:v>
      </x:c>
      <x:c r="D52" s="4" t="str">
        <x:v>Объём, м³</x:v>
      </x:c>
      <x:c r="E52" s="4" t="str">
        <x:v>Длина доски, пог. м</x:v>
      </x:c>
      <x:c r="F52" s="4"/>
      <x:c r="G52" s="4"/>
      <x:c r="H52" s="4"/>
      <x:c r="I52" s="4"/>
    </x:row>
    <x:row r="53" ht="23" customHeight="1">
      <x:c r="A53" s="4" t="str">
        <x:v>БЕЛТЕРМО наружное</x:v>
      </x:c>
      <x:c r="B53" s="4" t="n">
        <x:f>I19</x:f>
        <x:v>108.324</x:v>
      </x:c>
      <x:c r="C53" s="23" t="n">
        <x:f>'Параметры'!$C$12</x:f>
        <x:v>0.08</x:v>
      </x:c>
      <x:c r="D53" s="4" t="n">
        <x:f>B53*C53</x:f>
        <x:v>8.66592</x:v>
      </x:c>
      <x:c r="E53" s="4"/>
      <x:c r="F53" s="4"/>
      <x:c r="G53" s="4"/>
      <x:c r="H53" s="4"/>
      <x:c r="I53" s="4"/>
    </x:row>
    <x:row r="54" ht="23" customHeight="1">
      <x:c r="A54" s="4" t="str">
        <x:v>БЕЛТЕРМО внутреннее</x:v>
      </x:c>
      <x:c r="B54" s="4" t="n">
        <x:f>I20</x:f>
        <x:v>97.63066666666666</x:v>
      </x:c>
      <x:c r="C54" s="23" t="n">
        <x:f>'Параметры'!$C$13</x:f>
        <x:v>0.08</x:v>
      </x:c>
      <x:c r="D54" s="4" t="n">
        <x:f>B54*C54</x:f>
        <x:v>7.810453333333332</x:v>
      </x:c>
      <x:c r="E54" s="4"/>
      <x:c r="F54" s="4"/>
      <x:c r="G54" s="4"/>
      <x:c r="H54" s="4"/>
      <x:c r="I54" s="4"/>
    </x:row>
    <x:row r="55" ht="23" customHeight="1">
      <x:c r="A55" s="4" t="str">
        <x:v>БЕЛТЕРМО всего</x:v>
      </x:c>
      <x:c r="B55" s="4"/>
      <x:c r="C55" s="23"/>
      <x:c r="D55" s="4" t="n">
        <x:f>SUM(D53:D54)</x:f>
        <x:v>16.47637333333333</x:v>
      </x:c>
      <x:c r="E55" s="4"/>
      <x:c r="F55" s="4"/>
      <x:c r="G55" s="4"/>
      <x:c r="H55" s="4"/>
      <x:c r="I55" s="4"/>
    </x:row>
    <x:row r="56" ht="23" customHeight="1">
      <x:c r="A56" s="4" t="str">
        <x:v>Имитация бруса</x:v>
      </x:c>
      <x:c r="B56" s="4" t="n">
        <x:f>SUM('Стены'!K6:K38)</x:f>
        <x:v>165.0713333333329</x:v>
      </x:c>
      <x:c r="C56" s="23" t="n">
        <x:f>'Параметры'!$C$30</x:f>
        <x:v>0.185</x:v>
      </x:c>
      <x:c r="D56" s="4"/>
      <x:c r="E56" s="4" t="n">
        <x:f>B56/C56</x:f>
        <x:v>892.277477477475</x:v>
      </x:c>
      <x:c r="F56" s="4"/>
      <x:c r="G56" s="4"/>
      <x:c r="H56" s="4"/>
      <x:c r="I56" s="4"/>
    </x:row>
    <x:row r="57" ht="23" customHeight="1">
      <x:c r="A57" s="4" t="str">
        <x:v>Вагонка потолков</x:v>
      </x:c>
      <x:c r="B57" s="4" t="n">
        <x:f>SUM('Полы и потолки'!E24:E30)</x:f>
        <x:v>107.54426666666667</x:v>
      </x:c>
      <x:c r="C57" s="23" t="n">
        <x:f>'Параметры'!$C$32</x:f>
        <x:v>0.135</x:v>
      </x:c>
      <x:c r="D57" s="4"/>
      <x:c r="E57" s="4" t="n">
        <x:f>B57/C57</x:f>
        <x:v>796.6241975308642</x:v>
      </x:c>
      <x:c r="F57" s="4"/>
      <x:c r="G57" s="4"/>
      <x:c r="H57" s="4"/>
      <x:c r="I57" s="4"/>
    </x:row>
    <x:row r="58" ht="23" customHeight="1">
      <x:c r="A58" s="4" t="str">
        <x:v>Подшивка свесов</x:v>
      </x:c>
      <x:c r="B58" s="4" t="n">
        <x:f>SUM('Полы и потолки'!E33:E34)</x:f>
        <x:v>52.774</x:v>
      </x:c>
      <x:c r="C58" s="23" t="n">
        <x:f>'Параметры'!$C$32</x:f>
        <x:v>0.135</x:v>
      </x:c>
      <x:c r="D58" s="4"/>
      <x:c r="E58" s="4" t="n">
        <x:f>B58/C58</x:f>
        <x:v>390.9185185185185</x:v>
      </x:c>
      <x:c r="F58" s="4"/>
      <x:c r="G58" s="4"/>
      <x:c r="H58" s="4"/>
      <x:c r="I58" s="4"/>
    </x:row>
    <x:row r="59" ht="23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ht="23" customHeight="1">
      <x:c r="A60" s="4"/>
      <x:c r="B60" s="4"/>
      <x:c r="C60" s="4"/>
      <x:c r="D60" s="4"/>
      <x:c r="E60" s="4"/>
      <x:c r="F60" s="4"/>
      <x:c r="G60" s="4"/>
      <x:c r="H60" s="4"/>
      <x:c r="I6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49" hidden="0" customWidth="1"/>
    <x:col min="3" max="3" width="20" hidden="0" customWidth="1"/>
    <x:col min="4" max="4" width="20" hidden="0" customWidth="1"/>
    <x:col min="5" max="5" width="20" hidden="0" customWidth="1"/>
    <x:col min="6" max="6" width="25" hidden="0" customWidth="1"/>
    <x:col min="7" max="7" width="23" hidden="0" customWidth="1"/>
    <x:col min="8" max="8" width="65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</x:row>
    <x:row r="2" ht="23" customHeight="1">
      <x:c r="A2" s="5" t="str">
        <x:v>Площади полов, потолков и подшивок</x:v>
      </x:c>
      <x:c r="B2" s="4"/>
      <x:c r="C2" s="4"/>
      <x:c r="D2" s="4"/>
      <x:c r="E2" s="4"/>
      <x:c r="F2" s="4"/>
      <x:c r="G2" s="4"/>
      <x:c r="H2" s="4"/>
    </x:row>
    <x:row r="3" ht="23" customHeight="1">
      <x:c r="A3" s="6" t="str">
        <x:v>Полы считаются по чистым контурам. Пороги разделены пополам по границе плитки и дерева.</x:v>
      </x:c>
      <x:c r="B3" s="4"/>
      <x:c r="C3" s="4"/>
      <x:c r="D3" s="4"/>
      <x:c r="E3" s="4"/>
      <x:c r="F3" s="4"/>
      <x:c r="G3" s="4"/>
      <x:c r="H3" s="4"/>
    </x:row>
    <x:row r="4" ht="23" customHeight="1">
      <x:c r="A4" s="4"/>
      <x:c r="B4" s="4"/>
      <x:c r="C4" s="4"/>
      <x:c r="D4" s="4"/>
      <x:c r="E4" s="4"/>
      <x:c r="F4" s="4"/>
      <x:c r="G4" s="4"/>
      <x:c r="H4" s="4"/>
    </x:row>
    <x:row r="5" ht="32" customHeight="1">
      <x:c r="A5" s="12" t="str">
        <x:v>ID</x:v>
      </x:c>
      <x:c r="B5" s="12" t="str">
        <x:v>Зона</x:v>
      </x:c>
      <x:c r="C5" s="12" t="str">
        <x:v>Площадь, м²</x:v>
      </x:c>
      <x:c r="D5" s="12" t="str">
        <x:v>Плитка пола, м²</x:v>
      </x:c>
      <x:c r="E5" s="12" t="str">
        <x:v>Дерев. пол, м²</x:v>
      </x:c>
      <x:c r="F5" s="12" t="str">
        <x:v>Крупная плитка, м²</x:v>
      </x:c>
      <x:c r="G5" s="12" t="str">
        <x:v>Душевой пол, м²</x:v>
      </x:c>
      <x:c r="H5" s="12" t="str">
        <x:v>Основание / границы</x:v>
      </x:c>
    </x:row>
    <x:row r="6" ht="23" customHeight="1">
      <x:c r="A6" s="4" t="str">
        <x:v>P26-A-R01</x:v>
      </x:c>
      <x:c r="B6" s="4" t="str">
        <x:v>Гостиная и кухня</x:v>
      </x:c>
      <x:c r="C6" s="4" t="n">
        <x:v>32.3096</x:v>
      </x:c>
      <x:c r="D6" s="4" t="n">
        <x:v>32.3096</x:v>
      </x:c>
      <x:c r="E6" s="4" t="n">
        <x:v>0</x:v>
      </x:c>
      <x:c r="F6" s="4" t="n">
        <x:f>D6-G6</x:f>
        <x:v>32.3096</x:v>
      </x:c>
      <x:c r="G6" s="4" t="n">
        <x:v>0</x:v>
      </x:c>
      <x:c r="H6" s="4" t="str">
        <x:v>G1/G2: чистый пол</x:v>
      </x:c>
    </x:row>
    <x:row r="7" ht="23" customHeight="1">
      <x:c r="A7" s="4" t="str">
        <x:v>P26-A-HALL</x:v>
      </x:c>
      <x:c r="B7" s="4" t="str">
        <x:v>Прихожая</x:v>
      </x:c>
      <x:c r="C7" s="4" t="n">
        <x:v>6.1</x:v>
      </x:c>
      <x:c r="D7" s="4" t="n">
        <x:v>6.1</x:v>
      </x:c>
      <x:c r="E7" s="4" t="n">
        <x:v>0</x:v>
      </x:c>
      <x:c r="F7" s="4" t="n">
        <x:f>D7-G7</x:f>
        <x:v>6.1</x:v>
      </x:c>
      <x:c r="G7" s="4" t="n">
        <x:v>0</x:v>
      </x:c>
      <x:c r="H7" s="4" t="str">
        <x:v>G1/G2: чистый пол</x:v>
      </x:c>
    </x:row>
    <x:row r="8" ht="23" customHeight="1">
      <x:c r="A8" s="4" t="str">
        <x:v>P26-A-R02</x:v>
      </x:c>
      <x:c r="B8" s="4" t="str">
        <x:v>Гостевой санузел</x:v>
      </x:c>
      <x:c r="C8" s="4" t="n">
        <x:v>5.888</x:v>
      </x:c>
      <x:c r="D8" s="4" t="n">
        <x:v>5.888</x:v>
      </x:c>
      <x:c r="E8" s="4" t="n">
        <x:v>0</x:v>
      </x:c>
      <x:c r="F8" s="4" t="n">
        <x:f>D8-G8</x:f>
        <x:v>4.888</x:v>
      </x:c>
      <x:c r="G8" s="4" t="n">
        <x:v>1</x:v>
      </x:c>
      <x:c r="H8" s="4" t="str">
        <x:v>G1/G2: чистый пол</x:v>
      </x:c>
    </x:row>
    <x:row r="9" ht="23" customHeight="1">
      <x:c r="A9" s="4" t="str">
        <x:v>P26-A-R03</x:v>
      </x:c>
      <x:c r="B9" s="4" t="str">
        <x:v>Хозяйский санузел</x:v>
      </x:c>
      <x:c r="C9" s="4" t="n">
        <x:v>4.104</x:v>
      </x:c>
      <x:c r="D9" s="4" t="n">
        <x:v>4.104</x:v>
      </x:c>
      <x:c r="E9" s="4" t="n">
        <x:v>0</x:v>
      </x:c>
      <x:c r="F9" s="4" t="n">
        <x:f>D9-G9</x:f>
        <x:v>3.104</x:v>
      </x:c>
      <x:c r="G9" s="4" t="n">
        <x:v>1</x:v>
      </x:c>
      <x:c r="H9" s="4" t="str">
        <x:v>G1/G2: чистый пол</x:v>
      </x:c>
    </x:row>
    <x:row r="10" ht="23" customHeight="1">
      <x:c r="A10" s="4" t="str">
        <x:v>P26-A-R04</x:v>
      </x:c>
      <x:c r="B10" s="4" t="str">
        <x:v>Хозяйская спальня</x:v>
      </x:c>
      <x:c r="C10" s="4" t="n">
        <x:v>14.616</x:v>
      </x:c>
      <x:c r="D10" s="4" t="n">
        <x:v>0</x:v>
      </x:c>
      <x:c r="E10" s="4" t="n">
        <x:v>14.616</x:v>
      </x:c>
      <x:c r="F10" s="4" t="n">
        <x:f>D10-G10</x:f>
        <x:v>0</x:v>
      </x:c>
      <x:c r="G10" s="4" t="n">
        <x:v>0</x:v>
      </x:c>
      <x:c r="H10" s="4" t="str">
        <x:v>G1/G2: чистый пол</x:v>
      </x:c>
    </x:row>
    <x:row r="11" ht="23" customHeight="1">
      <x:c r="A11" s="4" t="str">
        <x:v>P26-A-R05</x:v>
      </x:c>
      <x:c r="B11" s="4" t="str">
        <x:v>Спальня 2</x:v>
      </x:c>
      <x:c r="C11" s="4" t="n">
        <x:v>11.16</x:v>
      </x:c>
      <x:c r="D11" s="4" t="n">
        <x:v>0</x:v>
      </x:c>
      <x:c r="E11" s="4" t="n">
        <x:v>11.16</x:v>
      </x:c>
      <x:c r="F11" s="4" t="n">
        <x:f>D11-G11</x:f>
        <x:v>0</x:v>
      </x:c>
      <x:c r="G11" s="4" t="n">
        <x:v>0</x:v>
      </x:c>
      <x:c r="H11" s="4" t="str">
        <x:v>G1/G2: чистый пол</x:v>
      </x:c>
    </x:row>
    <x:row r="12" ht="23" customHeight="1">
      <x:c r="A12" s="4" t="str">
        <x:v>OC01</x:v>
      </x:c>
      <x:c r="B12" s="4" t="str">
        <x:v>Открытый портал</x:v>
      </x:c>
      <x:c r="C12" s="4" t="n">
        <x:v>0.236</x:v>
      </x:c>
      <x:c r="D12" s="4" t="n">
        <x:v>0.236</x:v>
      </x:c>
      <x:c r="E12" s="4" t="n">
        <x:v>0</x:v>
      </x:c>
      <x:c r="F12" s="4" t="n">
        <x:f>D12-G12</x:f>
        <x:v>0.236</x:v>
      </x:c>
      <x:c r="G12" s="4" t="n">
        <x:v>0</x:v>
      </x:c>
      <x:c r="H12" s="4" t="str">
        <x:v>G1: 0.2 × 1.18</x:v>
      </x:c>
    </x:row>
    <x:row r="13" ht="23" customHeight="1">
      <x:c r="A13" s="4" t="str">
        <x:v>D03-FLOOR</x:v>
      </x:c>
      <x:c r="B13" s="4" t="str">
        <x:v>Порог гостевого санузла</x:v>
      </x:c>
      <x:c r="C13" s="4" t="n">
        <x:v>0.18</x:v>
      </x:c>
      <x:c r="D13" s="4" t="n">
        <x:v>0.18</x:v>
      </x:c>
      <x:c r="E13" s="4" t="n">
        <x:v>0</x:v>
      </x:c>
      <x:c r="F13" s="4" t="n">
        <x:f>D13-G13</x:f>
        <x:v>0.18</x:v>
      </x:c>
      <x:c r="G13" s="4" t="n">
        <x:v>0</x:v>
      </x:c>
      <x:c r="H13" s="4" t="str">
        <x:v>G1: 0.9 × 0.2</x:v>
      </x:c>
    </x:row>
    <x:row r="14" ht="23" customHeight="1">
      <x:c r="A14" s="4" t="str">
        <x:v>D04-FLOOR</x:v>
      </x:c>
      <x:c r="B14" s="4" t="str">
        <x:v>Порог хозяйской спальни</x:v>
      </x:c>
      <x:c r="C14" s="4" t="n">
        <x:v>0.18</x:v>
      </x:c>
      <x:c r="D14" s="4" t="n">
        <x:v>0.09</x:v>
      </x:c>
      <x:c r="E14" s="4" t="n">
        <x:v>0.09</x:v>
      </x:c>
      <x:c r="F14" s="4" t="n">
        <x:f>D14-G14</x:f>
        <x:v>0.09</x:v>
      </x:c>
      <x:c r="G14" s="4" t="n">
        <x:v>0</x:v>
      </x:c>
      <x:c r="H14" s="4" t="str">
        <x:v>Предложение: граница посередине</x:v>
      </x:c>
    </x:row>
    <x:row r="15" ht="23" customHeight="1">
      <x:c r="A15" s="4" t="str">
        <x:v>D05-FLOOR</x:v>
      </x:c>
      <x:c r="B15" s="4" t="str">
        <x:v>Порог хозяйского санузла</x:v>
      </x:c>
      <x:c r="C15" s="4" t="n">
        <x:v>0.18</x:v>
      </x:c>
      <x:c r="D15" s="4" t="n">
        <x:v>0.09</x:v>
      </x:c>
      <x:c r="E15" s="4" t="n">
        <x:v>0.09</x:v>
      </x:c>
      <x:c r="F15" s="4" t="n">
        <x:f>D15-G15</x:f>
        <x:v>0.09</x:v>
      </x:c>
      <x:c r="G15" s="4" t="n">
        <x:v>0</x:v>
      </x:c>
      <x:c r="H15" s="4" t="str">
        <x:v>Предложение: граница посередине</x:v>
      </x:c>
    </x:row>
    <x:row r="16" ht="23" customHeight="1">
      <x:c r="A16" s="4" t="str">
        <x:v>D06-FLOOR</x:v>
      </x:c>
      <x:c r="B16" s="4" t="str">
        <x:v>Порог спальни 2</x:v>
      </x:c>
      <x:c r="C16" s="4" t="n">
        <x:v>0.18</x:v>
      </x:c>
      <x:c r="D16" s="4" t="n">
        <x:v>0.09</x:v>
      </x:c>
      <x:c r="E16" s="4" t="n">
        <x:v>0.09</x:v>
      </x:c>
      <x:c r="F16" s="4" t="n">
        <x:f>D16-G16</x:f>
        <x:v>0.09</x:v>
      </x:c>
      <x:c r="G16" s="4" t="n">
        <x:v>0</x:v>
      </x:c>
      <x:c r="H16" s="4" t="str">
        <x:v>Предложение: граница посередине</x:v>
      </x:c>
    </x:row>
    <x:row r="17" ht="23" customHeight="1">
      <x:c r="A17" s="4" t="str">
        <x:v>LOUNGE</x:v>
      </x:c>
      <x:c r="B17" s="4" t="str">
        <x:v>Остеклённый лаундж</x:v>
      </x:c>
      <x:c r="C17" s="4" t="n">
        <x:v>41.16</x:v>
      </x:c>
      <x:c r="D17" s="4" t="n">
        <x:v>41.16</x:v>
      </x:c>
      <x:c r="E17" s="4" t="n">
        <x:v>0</x:v>
      </x:c>
      <x:c r="F17" s="4" t="n">
        <x:f>D17-G17</x:f>
        <x:v>41.16</x:v>
      </x:c>
      <x:c r="G17" s="4" t="n">
        <x:v>0</x:v>
      </x:c>
      <x:c r="H17" s="4" t="str">
        <x:v>G1: граничная площадь; вычесть профили после выбора</x:v>
      </x:c>
    </x:row>
    <x:row r="18" ht="23" customHeight="1">
      <x:c r="A18" s="4"/>
      <x:c r="B18" s="4"/>
      <x:c r="C18" s="4"/>
      <x:c r="D18" s="4"/>
      <x:c r="E18" s="4"/>
      <x:c r="F18" s="4"/>
      <x:c r="G18" s="4"/>
      <x:c r="H18" s="4"/>
    </x:row>
    <x:row r="19" ht="23" customHeight="1">
      <x:c r="A19" s="4" t="str"/>
      <x:c r="B19" s="4" t="str">
        <x:v>Итого дом и лаундж</x:v>
      </x:c>
      <x:c r="C19" s="4" t="n">
        <x:f>SUM(C6:C17)</x:f>
        <x:v>116.29360000000003</x:v>
      </x:c>
      <x:c r="D19" s="4" t="n">
        <x:f>SUM(D6:D17)</x:f>
        <x:v>90.2476</x:v>
      </x:c>
      <x:c r="E19" s="4" t="n">
        <x:f>SUM(E6:E17)</x:f>
        <x:v>26.046</x:v>
      </x:c>
      <x:c r="F19" s="4" t="n">
        <x:f>SUM(F6:F17)</x:f>
        <x:v>88.2476</x:v>
      </x:c>
      <x:c r="G19" s="4" t="n">
        <x:f>SUM(G6:G17)</x:f>
        <x:v>2</x:v>
      </x:c>
      <x:c r="H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</x:row>
    <x:row r="22" ht="23" customHeight="1">
      <x:c r="A22" s="4" t="str">
        <x:v>Потолки и подшивки</x:v>
      </x:c>
      <x:c r="B22" s="4"/>
      <x:c r="C22" s="4"/>
      <x:c r="D22" s="4"/>
      <x:c r="E22" s="4"/>
      <x:c r="F22" s="4"/>
      <x:c r="G22" s="4"/>
      <x:c r="H22" s="4"/>
    </x:row>
    <x:row r="23" ht="32" customHeight="1">
      <x:c r="A23" s="12" t="str">
        <x:v>ID</x:v>
      </x:c>
      <x:c r="B23" s="12" t="str">
        <x:v>Зона</x:v>
      </x:c>
      <x:c r="C23" s="12" t="str">
        <x:v>Проекция, м²</x:v>
      </x:c>
      <x:c r="D23" s="12" t="str">
        <x:v>Коэф. ската</x:v>
      </x:c>
      <x:c r="E23" s="12" t="str">
        <x:v>Облицовка, м²</x:v>
      </x:c>
      <x:c r="F23" s="12" t="str">
        <x:v>Материал</x:v>
      </x:c>
      <x:c r="G23" s="12" t="str">
        <x:v>Статус</x:v>
      </x:c>
      <x:c r="H23" s="12"/>
    </x:row>
    <x:row r="24" ht="23" customHeight="1">
      <x:c r="A24" s="4" t="str">
        <x:v>C-VAULT</x:v>
      </x:c>
      <x:c r="B24" s="4" t="str">
        <x:v>Гостиная — два ската</x:v>
      </x:c>
      <x:c r="C24" s="4" t="n">
        <x:v>23.552</x:v>
      </x:c>
      <x:c r="D24" s="4" t="n">
        <x:f>SQRT(1+(('Параметры'!$C$8-'Параметры'!$C$7)/4.08)^2)</x:f>
        <x:v>1.0833333333333333</x:v>
      </x:c>
      <x:c r="E24" s="4" t="n">
        <x:f>C24*D24</x:f>
        <x:v>25.514666666666663</x:v>
      </x:c>
      <x:c r="F24" s="4" t="str">
        <x:v>Вагонка</x:v>
      </x:c>
      <x:c r="G24" s="4" t="str">
        <x:v>Форма по P81</x:v>
      </x:c>
      <x:c r="H24" s="4"/>
    </x:row>
    <x:row r="25" ht="23" customHeight="1">
      <x:c r="A25" s="4" t="str">
        <x:v>C-KITCHEN</x:v>
      </x:c>
      <x:c r="B25" s="4" t="str">
        <x:v>Кухня — плоский потолок</x:v>
      </x:c>
      <x:c r="C25" s="4" t="n">
        <x:v>8.7576</x:v>
      </x:c>
      <x:c r="D25" s="4" t="n">
        <x:f>1</x:f>
        <x:v>1</x:v>
      </x:c>
      <x:c r="E25" s="4" t="n">
        <x:f>C25*D25</x:f>
        <x:v>8.7576</x:v>
      </x:c>
      <x:c r="F25" s="4" t="str">
        <x:v>Вагонка</x:v>
      </x:c>
      <x:c r="G25" s="4" t="str">
        <x:v>P81</x:v>
      </x:c>
      <x:c r="H25" s="4"/>
    </x:row>
    <x:row r="26" ht="23" customHeight="1">
      <x:c r="A26" s="4" t="str">
        <x:v>C-HALL</x:v>
      </x:c>
      <x:c r="B26" s="4" t="str">
        <x:v>Прихожая</x:v>
      </x:c>
      <x:c r="C26" s="4" t="n">
        <x:v>6.1</x:v>
      </x:c>
      <x:c r="D26" s="4" t="n">
        <x:f>1</x:f>
        <x:v>1</x:v>
      </x:c>
      <x:c r="E26" s="4" t="n">
        <x:f>C26*D26</x:f>
        <x:v>6.1</x:v>
      </x:c>
      <x:c r="F26" s="4" t="str">
        <x:v>Вагонка</x:v>
      </x:c>
      <x:c r="G26" s="4" t="str">
        <x:v>P81</x:v>
      </x:c>
      <x:c r="H26" s="4"/>
    </x:row>
    <x:row r="27" ht="23" customHeight="1">
      <x:c r="A27" s="4" t="str">
        <x:v>C-MBED</x:v>
      </x:c>
      <x:c r="B27" s="4" t="str">
        <x:v>Хозяйская спальня</x:v>
      </x:c>
      <x:c r="C27" s="4" t="n">
        <x:v>14.616</x:v>
      </x:c>
      <x:c r="D27" s="4" t="n">
        <x:f>1</x:f>
        <x:v>1</x:v>
      </x:c>
      <x:c r="E27" s="4" t="n">
        <x:f>C27*D27</x:f>
        <x:v>14.616</x:v>
      </x:c>
      <x:c r="F27" s="4" t="str">
        <x:v>Вагонка</x:v>
      </x:c>
      <x:c r="G27" s="4" t="str">
        <x:v>P81</x:v>
      </x:c>
      <x:c r="H27" s="4"/>
    </x:row>
    <x:row r="28" ht="23" customHeight="1">
      <x:c r="A28" s="4" t="str">
        <x:v>C-BED2</x:v>
      </x:c>
      <x:c r="B28" s="4" t="str">
        <x:v>Спальня 2</x:v>
      </x:c>
      <x:c r="C28" s="4" t="n">
        <x:v>11.16</x:v>
      </x:c>
      <x:c r="D28" s="4" t="n">
        <x:f>1</x:f>
        <x:v>1</x:v>
      </x:c>
      <x:c r="E28" s="4" t="n">
        <x:f>C28*D28</x:f>
        <x:v>11.16</x:v>
      </x:c>
      <x:c r="F28" s="4" t="str">
        <x:v>Вагонка</x:v>
      </x:c>
      <x:c r="G28" s="4" t="str">
        <x:v>P81</x:v>
      </x:c>
      <x:c r="H28" s="4"/>
    </x:row>
    <x:row r="29" ht="23" customHeight="1">
      <x:c r="A29" s="4" t="str">
        <x:v>C-PORTAL</x:v>
      </x:c>
      <x:c r="B29" s="4" t="str">
        <x:v>Открытый портал</x:v>
      </x:c>
      <x:c r="C29" s="4" t="n">
        <x:v>0.236</x:v>
      </x:c>
      <x:c r="D29" s="4" t="n">
        <x:f>1</x:f>
        <x:v>1</x:v>
      </x:c>
      <x:c r="E29" s="4" t="n">
        <x:f>C29*D29</x:f>
        <x:v>0.236</x:v>
      </x:c>
      <x:c r="F29" s="4" t="str">
        <x:v>Вагонка</x:v>
      </x:c>
      <x:c r="G29" s="4" t="str">
        <x:v>Продолжение плоской подшивки</x:v>
      </x:c>
      <x:c r="H29" s="4"/>
    </x:row>
    <x:row r="30" ht="23" customHeight="1">
      <x:c r="A30" s="4" t="str">
        <x:v>C-LOUNGE</x:v>
      </x:c>
      <x:c r="B30" s="4" t="str">
        <x:v>Лаундж</x:v>
      </x:c>
      <x:c r="C30" s="4" t="n">
        <x:v>41.16</x:v>
      </x:c>
      <x:c r="D30" s="4" t="n">
        <x:f>1</x:f>
        <x:v>1</x:v>
      </x:c>
      <x:c r="E30" s="4" t="n">
        <x:f>C30*D30</x:f>
        <x:v>41.16</x:v>
      </x:c>
      <x:c r="F30" s="4" t="str">
        <x:v>Вагонка</x:v>
      </x:c>
      <x:c r="G30" s="4" t="str">
        <x:v>Уровневая подшивка, граничная площадь</x:v>
      </x:c>
      <x:c r="H30" s="4"/>
    </x:row>
    <x:row r="31" ht="23" customHeight="1">
      <x:c r="A31" s="4" t="str">
        <x:v>C-MBATH</x:v>
      </x:c>
      <x:c r="B31" s="4" t="str">
        <x:v>Хозяйский санузел</x:v>
      </x:c>
      <x:c r="C31" s="4" t="n">
        <x:v>4.104</x:v>
      </x:c>
      <x:c r="D31" s="4" t="n">
        <x:f>1</x:f>
        <x:v>1</x:v>
      </x:c>
      <x:c r="E31" s="4" t="n">
        <x:f>C31*D31</x:f>
        <x:v>4.104</x:v>
      </x:c>
      <x:c r="F31" s="4" t="str">
        <x:v>Натяжной</x:v>
      </x:c>
      <x:c r="G31" s="4" t="str">
        <x:v>Сохранён ранее выбранный вариант</x:v>
      </x:c>
      <x:c r="H31" s="4"/>
    </x:row>
    <x:row r="32" ht="23" customHeight="1">
      <x:c r="A32" s="4" t="str">
        <x:v>C-GBATH</x:v>
      </x:c>
      <x:c r="B32" s="4" t="str">
        <x:v>Гостевой санузел</x:v>
      </x:c>
      <x:c r="C32" s="4" t="n">
        <x:v>5.888</x:v>
      </x:c>
      <x:c r="D32" s="4" t="n">
        <x:f>1</x:f>
        <x:v>1</x:v>
      </x:c>
      <x:c r="E32" s="4" t="n">
        <x:f>C32*D32</x:f>
        <x:v>5.888</x:v>
      </x:c>
      <x:c r="F32" s="4" t="str">
        <x:v>Натяжной</x:v>
      </x:c>
      <x:c r="G32" s="4" t="str">
        <x:v>Сохранён ранее выбранный вариант</x:v>
      </x:c>
      <x:c r="H32" s="4"/>
    </x:row>
    <x:row r="33" ht="23" customHeight="1">
      <x:c r="A33" s="4" t="str">
        <x:v>S-CANOPY</x:v>
      </x:c>
      <x:c r="B33" s="4" t="str">
        <x:v>Наружная подшивка навеса</x:v>
      </x:c>
      <x:c r="C33" s="4" t="n">
        <x:v>30.674</x:v>
      </x:c>
      <x:c r="D33" s="4" t="n">
        <x:f>1</x:f>
        <x:v>1</x:v>
      </x:c>
      <x:c r="E33" s="4" t="n">
        <x:f>C33*D33</x:f>
        <x:v>30.674</x:v>
      </x:c>
      <x:c r="F33" s="4" t="str">
        <x:v>Софит</x:v>
      </x:c>
      <x:c r="G33" s="4" t="str">
        <x:v>71.834 − 41.16; подшивка горизонтальная</x:v>
      </x:c>
      <x:c r="H33" s="4"/>
    </x:row>
    <x:row r="34" ht="23" customHeight="1">
      <x:c r="A34" s="4" t="str">
        <x:v>S-WEST</x:v>
      </x:c>
      <x:c r="B34" s="4" t="str">
        <x:v>Подшивка западного свеса 2.5 м</x:v>
      </x:c>
      <x:c r="C34" s="4" t="n">
        <x:v>20.4</x:v>
      </x:c>
      <x:c r="D34" s="4" t="n">
        <x:f>SQRT(1+(('Параметры'!$C$8-'Параметры'!$C$7)/4.08)^2)</x:f>
        <x:v>1.0833333333333333</x:v>
      </x:c>
      <x:c r="E34" s="4" t="n">
        <x:f>C34*D34</x:f>
        <x:v>22.099999999999998</x:v>
      </x:c>
      <x:c r="F34" s="4" t="str">
        <x:v>Софит</x:v>
      </x:c>
      <x:c r="G34" s="4" t="str">
        <x:v>Подшивка по скатам; пирог TBC</x:v>
      </x:c>
      <x:c r="H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</x:row>
    <x:row r="37" ht="23" customHeight="1">
      <x:c r="A37" s="4" t="str">
        <x:v>D-WOOD</x:v>
      </x:c>
      <x:c r="B37" s="4" t="str">
        <x:v>Открытые террасы: доска</x:v>
      </x:c>
      <x:c r="C37" s="4" t="n">
        <x:v>59.774</x:v>
      </x:c>
      <x:c r="D37" s="4" t="n">
        <x:v>1</x:v>
      </x:c>
      <x:c r="E37" s="4" t="n">
        <x:f>C37*D37</x:f>
        <x:v>59.774</x:v>
      </x:c>
      <x:c r="F37" s="4" t="str">
        <x:v>Террасная доска</x:v>
      </x:c>
      <x:c r="G37" s="4" t="str">
        <x:v>G1: границы, без торцов/ступеней/каркаса</x:v>
      </x:c>
      <x:c r="H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</x:row>
    <x:row r="39" ht="23" customHeight="1">
      <x:c r="A39" s="4" t="str">
        <x:v>Неучтённые добавки: наружные дверные пороги, торцы настила, ступени, мелкие свесы вне заданного контура.</x:v>
      </x:c>
      <x:c r="B39" s="4"/>
      <x:c r="C39" s="4"/>
      <x:c r="D39" s="4"/>
      <x:c r="E39" s="4"/>
      <x:c r="F39" s="4"/>
      <x:c r="G39" s="4"/>
      <x:c r="H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5" t="str">
        <x:v>Раскладки отделки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3" customHeight="1">
      <x:c r="A3" s="6" t="str">
        <x:v>Схемы исходного сценария. После изменения размеров или формата плитки графику нужно обновить.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3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23" customHeight="1">
      <x:c r="A6" s="24" t="str">
        <x:v>Полы: зоны и единая сетка основной плитки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 ht="23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ht="23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ht="23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ht="23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ht="23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ht="23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23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23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3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23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 ht="23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ht="23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 ht="23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ht="23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 ht="23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23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  <x:row r="23" ht="23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23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</x:row>
    <x:row r="25" ht="23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 ht="23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23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3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 ht="23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23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 ht="23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 ht="23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 ht="23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3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 ht="23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23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23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23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3" customHeight="1">
      <x:c r="A39" s="24" t="str">
        <x:v>Кухня: плитка от пола до середины окна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3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3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3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3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3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3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23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3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23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23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3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3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3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3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3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3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3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23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 ht="23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23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23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23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3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23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23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 ht="23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 ht="23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 ht="23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23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23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3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3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3" customHeight="1">
      <x:c r="A72" s="24" t="str">
        <x:v>Санузлы: пол и подрезки плитки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23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3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3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3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3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3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3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3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3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3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3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3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3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3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3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3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3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3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 ht="23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 ht="23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 ht="23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 ht="23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 ht="23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 ht="23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 ht="23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 ht="23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 ht="23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 ht="23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  <x:row r="101" ht="23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</x:row>
    <x:row r="102" ht="23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</x:row>
    <x:row r="103" ht="23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</x:row>
    <x:row r="104" ht="23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</x:row>
    <x:row r="105" ht="23" customHeight="1">
      <x:c r="A105" s="24" t="str">
        <x:v>Хозяйский санузел: четыре стены</x:v>
      </x:c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</x:row>
    <x:row r="106" ht="23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</x:row>
    <x:row r="107" ht="23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</x:row>
    <x:row r="108" ht="23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</x:row>
    <x:row r="109" ht="23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</x:row>
    <x:row r="110" ht="23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</x:row>
    <x:row r="111" ht="23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</x:row>
    <x:row r="112" ht="23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</x:row>
    <x:row r="113" ht="23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</x:row>
    <x:row r="114" ht="23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</x:row>
    <x:row r="115" ht="23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</x:row>
    <x:row r="116" ht="23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</x:row>
    <x:row r="117" ht="23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</x:row>
    <x:row r="118" ht="23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</x:row>
    <x:row r="119" ht="23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</x:row>
    <x:row r="120" ht="23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</x:row>
    <x:row r="121" ht="23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</x:row>
    <x:row r="122" ht="23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</x:row>
    <x:row r="123" ht="23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</x:row>
    <x:row r="124" ht="23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</x:row>
    <x:row r="125" ht="23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</x:row>
    <x:row r="126" ht="23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</x:row>
    <x:row r="127" ht="23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</x:row>
    <x:row r="128" ht="23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</x:row>
    <x:row r="129" ht="23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</x:row>
    <x:row r="130" ht="23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</x:row>
    <x:row r="131" ht="23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</x:row>
    <x:row r="132" ht="23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</x:row>
    <x:row r="133" ht="23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</x:row>
    <x:row r="134" ht="23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</x:row>
    <x:row r="135" ht="23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</x:row>
    <x:row r="136" ht="23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</x:row>
    <x:row r="137" ht="23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</x:row>
    <x:row r="138" ht="23" customHeight="1">
      <x:c r="A138" s="24" t="str">
        <x:v>Гостевой санузел: отделка душевого угла</x:v>
      </x:c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</x:row>
    <x:row r="139" ht="23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</x:row>
    <x:row r="140" ht="23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</x:row>
    <x:row r="141" ht="23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</x:row>
    <x:row r="142" ht="23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</x:row>
    <x:row r="143" ht="23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</x:row>
    <x:row r="144" ht="23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</x:row>
    <x:row r="145" ht="23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</x:row>
    <x:row r="146" ht="23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</x:row>
    <x:row r="147" ht="23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</x:row>
    <x:row r="148" ht="23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</x:row>
    <x:row r="149" ht="23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</x:row>
    <x:row r="150" ht="23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</x:row>
    <x:row r="151" ht="23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</x:row>
    <x:row r="152" ht="23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</x:row>
    <x:row r="153" ht="23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</x:row>
    <x:row r="154" ht="23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</x:row>
    <x:row r="155" ht="23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</x:row>
    <x:row r="156" ht="23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</x:row>
    <x:row r="157" ht="23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</x:row>
    <x:row r="158" ht="23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</x:row>
    <x:row r="159" ht="23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</x:row>
    <x:row r="160" ht="23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</x:row>
    <x:row r="161" ht="23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</x:row>
    <x:row r="162" ht="23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</x:row>
    <x:row r="163" ht="23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</x:row>
    <x:row r="164" ht="23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</x:row>
    <x:row r="165" ht="23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</x:row>
    <x:row r="166" ht="23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</x:row>
    <x:row r="167" ht="23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</x:row>
    <x:row r="168" ht="23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</x:row>
    <x:row r="169" ht="23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</x:row>
    <x:row r="170" ht="23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</x:row>
    <x:row r="171" ht="23" customHeight="1">
      <x:c r="A171" s="24" t="str">
        <x:v>Потолки и наружные подшивки: границы подсчёта</x:v>
      </x:c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</x:row>
    <x:row r="172" ht="23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</x:row>
    <x:row r="173" ht="23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</x:row>
  </x:sheetData>
  <x:pageMargins left="0.7" right="0.7" top="0.75" bottom="0.75" header="0.3" footer="0.3"/>
  <x:drawing xmlns:r="http://schemas.openxmlformats.org/officeDocument/2006/relationships" r:id="R303ddf50f8854c94"/>
</x:worksheet>
</file>

<file path=xl/worksheets/sheet7.xml><?xml version="1.0" encoding="utf-8"?>
<x:worksheet xmlns:x="http://schemas.openxmlformats.org/spreadsheetml/2006/main">
  <x:sheetPr>
    <x:tabColor rgb="FF87927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67" hidden="0" customWidth="1"/>
    <x:col min="3" max="3" width="22" hidden="0" customWidth="1"/>
    <x:col min="4" max="4" width="12" hidden="0" customWidth="1"/>
    <x:col min="5" max="5" width="49" hidden="0" customWidth="1"/>
    <x:col min="6" max="6" width="69" hidden="0" customWidth="1"/>
  </x:cols>
  <x:sheetData>
    <x:row r="1" ht="23" customHeight="1">
      <x:c r="A1" s="4"/>
      <x:c r="B1" s="4"/>
      <x:c r="C1" s="4"/>
      <x:c r="D1" s="4"/>
      <x:c r="E1" s="4"/>
      <x:c r="F1" s="4"/>
    </x:row>
    <x:row r="2" ht="23" customHeight="1">
      <x:c r="A2" s="5" t="str">
        <x:v>Исходные данные и допущения</x:v>
      </x:c>
      <x:c r="B2" s="4"/>
      <x:c r="C2" s="4"/>
      <x:c r="D2" s="4"/>
      <x:c r="E2" s="4"/>
      <x:c r="F2" s="4"/>
    </x:row>
    <x:row r="3" ht="23" customHeight="1">
      <x:c r="A3" s="6" t="str">
        <x:v>Синие значения можно менять. Размеры в метрах, если не указано иначе. Версия 15.09.2026.</x:v>
      </x:c>
      <x:c r="B3" s="4"/>
      <x:c r="C3" s="4"/>
      <x:c r="D3" s="4"/>
      <x:c r="E3" s="4"/>
      <x:c r="F3" s="4"/>
    </x:row>
    <x:row r="4" ht="23" customHeight="1">
      <x:c r="A4" s="4"/>
      <x:c r="B4" s="4"/>
      <x:c r="C4" s="4"/>
      <x:c r="D4" s="4"/>
      <x:c r="E4" s="4"/>
      <x:c r="F4" s="4"/>
    </x:row>
    <x:row r="5" ht="32" customHeight="1">
      <x:c r="A5" s="12" t="str">
        <x:v>ID</x:v>
      </x:c>
      <x:c r="B5" s="12" t="str">
        <x:v>Параметр</x:v>
      </x:c>
      <x:c r="C5" s="12" t="str">
        <x:v>Значение</x:v>
      </x:c>
      <x:c r="D5" s="12" t="str">
        <x:v>Ед.</x:v>
      </x:c>
      <x:c r="E5" s="12" t="str">
        <x:v>Статус</x:v>
      </x:c>
      <x:c r="F5" s="12" t="str">
        <x:v>Основание</x:v>
      </x:c>
    </x:row>
    <x:row r="6" ht="36" customHeight="1">
      <x:c r="A6" s="4" t="str">
        <x:v>height</x:v>
      </x:c>
      <x:c r="B6" s="18" t="str">
        <x:v>Высота плоского потолка</x:v>
      </x:c>
      <x:c r="C6" s="15" t="n">
        <x:v>3</x:v>
      </x:c>
      <x:c r="D6" s="18" t="str">
        <x:v>м</x:v>
      </x:c>
      <x:c r="E6" s="18" t="str">
        <x:v>Графическая модель</x:v>
      </x:c>
      <x:c r="F6" s="18" t="str">
        <x:v>P81 ceiling_design</x:v>
      </x:c>
    </x:row>
    <x:row r="7" ht="36" customHeight="1">
      <x:c r="A7" s="4" t="str">
        <x:v>eaves</x:v>
      </x:c>
      <x:c r="B7" s="18" t="str">
        <x:v>Отметка карниза</x:v>
      </x:c>
      <x:c r="C7" s="15" t="n">
        <x:v>3.3</x:v>
      </x:c>
      <x:c r="D7" s="18" t="str">
        <x:v>м</x:v>
      </x:c>
      <x:c r="E7" s="18" t="str">
        <x:v>Графическая модель</x:v>
      </x:c>
      <x:c r="F7" s="18" t="str">
        <x:v>P81 roof.eaves_z_mm</x:v>
      </x:c>
    </x:row>
    <x:row r="8" ht="36" customHeight="1">
      <x:c r="A8" s="4" t="str">
        <x:v>ridge</x:v>
      </x:c>
      <x:c r="B8" s="18" t="str">
        <x:v>Отметка конька</x:v>
      </x:c>
      <x:c r="C8" s="15" t="n">
        <x:v>5</x:v>
      </x:c>
      <x:c r="D8" s="18" t="str">
        <x:v>м</x:v>
      </x:c>
      <x:c r="E8" s="18" t="str">
        <x:v>Графическая модель</x:v>
      </x:c>
      <x:c r="F8" s="18" t="str">
        <x:v>P81 roof.ridge_z_mm</x:v>
      </x:c>
    </x:row>
    <x:row r="9" ht="36" customHeight="1">
      <x:c r="A9" s="4" t="str">
        <x:v>lining_offset</x:v>
      </x:c>
      <x:c r="B9" s="18" t="str">
        <x:v>Отступ подшивки от кровли по вертикали</x:v>
      </x:c>
      <x:c r="C9" s="15" t="n">
        <x:v>0.35</x:v>
      </x:c>
      <x:c r="D9" s="18" t="str">
        <x:v>м</x:v>
      </x:c>
      <x:c r="E9" s="18" t="str">
        <x:v>Графический; не утепление</x:v>
      </x:c>
      <x:c r="F9" s="18" t="str">
        <x:v>P81 ceiling_design</x:v>
      </x:c>
    </x:row>
    <x:row r="10" ht="36" customHeight="1">
      <x:c r="A10" s="4" t="str">
        <x:v>frame_ext</x:v>
      </x:c>
      <x:c r="B10" s="18" t="str">
        <x:v>Глубина наружного каркаса</x:v>
      </x:c>
      <x:c r="C10" s="15" t="n">
        <x:v>0.2</x:v>
      </x:c>
      <x:c r="D10" s="18" t="str">
        <x:v>м</x:v>
      </x:c>
      <x:c r="E10" s="18" t="str">
        <x:v>Подтверждено Alex</x:v>
      </x:c>
      <x:c r="F10" s="18" t="str">
        <x:v>Ответ 15.09.2026</x:v>
      </x:c>
    </x:row>
    <x:row r="11" ht="36" customHeight="1">
      <x:c r="A11" s="4" t="str">
        <x:v>frame_int</x:v>
      </x:c>
      <x:c r="B11" s="18" t="str">
        <x:v>Глубина каркаса перегородок</x:v>
      </x:c>
      <x:c r="C11" s="15" t="n">
        <x:v>0.14</x:v>
      </x:c>
      <x:c r="D11" s="18" t="str">
        <x:v>м</x:v>
      </x:c>
      <x:c r="E11" s="18" t="str">
        <x:v>Задание Alex</x:v>
      </x:c>
      <x:c r="F11" s="18" t="str">
        <x:v>Запрос 15.09.2026</x:v>
      </x:c>
    </x:row>
    <x:row r="12" ht="36" customHeight="1">
      <x:c r="A12" s="4" t="str">
        <x:v>bel_ext</x:v>
      </x:c>
      <x:c r="B12" s="18" t="str">
        <x:v>БЕЛТЕРМО снаружи</x:v>
      </x:c>
      <x:c r="C12" s="15" t="n">
        <x:v>0.08</x:v>
      </x:c>
      <x:c r="D12" s="18" t="str">
        <x:v>м</x:v>
      </x:c>
      <x:c r="E12" s="18" t="str">
        <x:v>Подтверждено Alex</x:v>
      </x:c>
      <x:c r="F12" s="18" t="str">
        <x:v>Ответ 15.09.2026</x:v>
      </x:c>
    </x:row>
    <x:row r="13" ht="36" customHeight="1">
      <x:c r="A13" s="4" t="str">
        <x:v>bel_int</x:v>
      </x:c>
      <x:c r="B13" s="18" t="str">
        <x:v>БЕЛТЕРМО изнутри</x:v>
      </x:c>
      <x:c r="C13" s="15" t="n">
        <x:v>0.08</x:v>
      </x:c>
      <x:c r="D13" s="18" t="str">
        <x:v>м</x:v>
      </x:c>
      <x:c r="E13" s="18" t="str">
        <x:v>Подтверждено Alex</x:v>
      </x:c>
      <x:c r="F13" s="18" t="str">
        <x:v>Ответ 15.09.2026</x:v>
      </x:c>
    </x:row>
    <x:row r="14" ht="36" customHeight="1">
      <x:c r="A14" s="4" t="str">
        <x:v>timber_fraction_ext</x:v>
      </x:c>
      <x:c r="B14" s="18" t="str">
        <x:v>Доля древесины в наружном каркасе</x:v>
      </x:c>
      <x:c r="C14" s="15" t="n">
        <x:v>0.15</x:v>
      </x:c>
      <x:c r="D14" s="18" t="str">
        <x:v>доля</x:v>
      </x:c>
      <x:c r="E14" s="18" t="str">
        <x:v>Сценарий сметы; нет раскроя каркаса</x:v>
      </x:c>
      <x:c r="F14" s="18" t="str">
        <x:v>Допущение QTO</x:v>
      </x:c>
    </x:row>
    <x:row r="15" ht="36" customHeight="1">
      <x:c r="A15" s="4" t="str">
        <x:v>timber_fraction_int</x:v>
      </x:c>
      <x:c r="B15" s="18" t="str">
        <x:v>Доля древесины в перегородках</x:v>
      </x:c>
      <x:c r="C15" s="15" t="n">
        <x:v>0.15</x:v>
      </x:c>
      <x:c r="D15" s="18" t="str">
        <x:v>доля</x:v>
      </x:c>
      <x:c r="E15" s="18" t="str">
        <x:v>Сценарий сметы; нет раскроя каркаса</x:v>
      </x:c>
      <x:c r="F15" s="18" t="str">
        <x:v>Допущение QTO</x:v>
      </x:c>
    </x:row>
    <x:row r="16" ht="36" customHeight="1">
      <x:c r="A16" s="4" t="str">
        <x:v>density</x:v>
      </x:c>
      <x:c r="B16" s="18" t="str">
        <x:v>Плотность эковаты в стенах</x:v>
      </x:c>
      <x:c r="C16" s="15" t="n">
        <x:v>55</x:v>
      </x:c>
      <x:c r="D16" s="18" t="str">
        <x:v>кг/м³</x:v>
      </x:c>
      <x:c r="E16" s="18" t="str">
        <x:v>Сценарий; назначает поставщик эковаты</x:v>
      </x:c>
      <x:c r="F16" s="18" t="str">
        <x:v>ISOCELL: диапазон заполнения 38–65; не проектная плотность</x:v>
      </x:c>
    </x:row>
    <x:row r="17" ht="36" customHeight="1">
      <x:c r="A17" s="4" t="str">
        <x:v>eco_loss</x:v>
      </x:c>
      <x:c r="B17" s="18" t="str">
        <x:v>Технологический запас эковаты</x:v>
      </x:c>
      <x:c r="C17" s="15" t="n">
        <x:v>0.05</x:v>
      </x:c>
      <x:c r="D17" s="18" t="str">
        <x:v>доля</x:v>
      </x:c>
      <x:c r="E17" s="18" t="str">
        <x:v>Сценарий сметы</x:v>
      </x:c>
      <x:c r="F17" s="18" t="str">
        <x:v>Допущение QTO</x:v>
      </x:c>
    </x:row>
    <x:row r="18" ht="36" customHeight="1">
      <x:c r="A18" s="4" t="str">
        <x:v>eco_bag</x:v>
      </x:c>
      <x:c r="B18" s="18" t="str">
        <x:v>Масса мешка эковаты</x:v>
      </x:c>
      <x:c r="C18" s="15"/>
      <x:c r="D18" s="18" t="str">
        <x:v>кг</x:v>
      </x:c>
      <x:c r="E18" s="18" t="str">
        <x:v>Указать по выбранной марке</x:v>
      </x:c>
      <x:c r="F18" s="18" t="str">
        <x:v>КП поставщика</x:v>
      </x:c>
    </x:row>
    <x:row r="19" ht="36" customHeight="1">
      <x:c r="A19" s="4" t="str">
        <x:v>waste_tile</x:v>
      </x:c>
      <x:c r="B19" s="18" t="str">
        <x:v>Запас плитки на подрезку</x:v>
      </x:c>
      <x:c r="C19" s="15" t="n">
        <x:v>0.1</x:v>
      </x:c>
      <x:c r="D19" s="18" t="str">
        <x:v>доля</x:v>
      </x:c>
      <x:c r="E19" s="18" t="str">
        <x:v>Сценарий прямой раскладки</x:v>
      </x:c>
      <x:c r="F19" s="18" t="str">
        <x:v>Допущение QTO</x:v>
      </x:c>
    </x:row>
    <x:row r="20" ht="36" customHeight="1">
      <x:c r="A20" s="4" t="str">
        <x:v>waste_wood</x:v>
      </x:c>
      <x:c r="B20" s="18" t="str">
        <x:v>Запас доски на подрезку</x:v>
      </x:c>
      <x:c r="C20" s="15" t="n">
        <x:v>0.1</x:v>
      </x:c>
      <x:c r="D20" s="18" t="str">
        <x:v>доля</x:v>
      </x:c>
      <x:c r="E20" s="18" t="str">
        <x:v>Сценарий; уточнить по длинам</x:v>
      </x:c>
      <x:c r="F20" s="18" t="str">
        <x:v>Допущение QTO</x:v>
      </x:c>
    </x:row>
    <x:row r="21" ht="36" customHeight="1">
      <x:c r="A21" s="4" t="str">
        <x:v>waste_sheet</x:v>
      </x:c>
      <x:c r="B21" s="18" t="str">
        <x:v>Запас листовой обшивки</x:v>
      </x:c>
      <x:c r="C21" s="15" t="n">
        <x:v>0.1</x:v>
      </x:c>
      <x:c r="D21" s="18" t="str">
        <x:v>доля</x:v>
      </x:c>
      <x:c r="E21" s="18" t="str">
        <x:v>Сценарий</x:v>
      </x:c>
      <x:c r="F21" s="18" t="str">
        <x:v>Допущение QTO</x:v>
      </x:c>
    </x:row>
    <x:row r="22" ht="36" customHeight="1">
      <x:c r="A22" s="4" t="str">
        <x:v>waste_membrane</x:v>
      </x:c>
      <x:c r="B22" s="18" t="str">
        <x:v>Запас полотен на стыки</x:v>
      </x:c>
      <x:c r="C22" s="15" t="n">
        <x:v>0.15</x:v>
      </x:c>
      <x:c r="D22" s="18" t="str">
        <x:v>доля</x:v>
      </x:c>
      <x:c r="E22" s="18" t="str">
        <x:v>Сценарий; нахлёсты по системе</x:v>
      </x:c>
      <x:c r="F22" s="18" t="str">
        <x:v>Допущение QTO</x:v>
      </x:c>
    </x:row>
    <x:row r="23" ht="36" customHeight="1">
      <x:c r="A23" s="4" t="str">
        <x:v>tile_w</x:v>
      </x:c>
      <x:c r="B23" s="18" t="str">
        <x:v>Напольная плитка: ширина</x:v>
      </x:c>
      <x:c r="C23" s="15" t="n">
        <x:v>0.6</x:v>
      </x:c>
      <x:c r="D23" s="18" t="str">
        <x:v>м</x:v>
      </x:c>
      <x:c r="E23" s="18" t="str">
        <x:v>Предложенный формат, не SKU</x:v>
      </x:c>
      <x:c r="F23" s="18" t="str">
        <x:v>Раскладки QTO</x:v>
      </x:c>
    </x:row>
    <x:row r="24" ht="36" customHeight="1">
      <x:c r="A24" s="4" t="str">
        <x:v>tile_l</x:v>
      </x:c>
      <x:c r="B24" s="18" t="str">
        <x:v>Напольная плитка: длина</x:v>
      </x:c>
      <x:c r="C24" s="15" t="n">
        <x:v>0.6</x:v>
      </x:c>
      <x:c r="D24" s="18" t="str">
        <x:v>м</x:v>
      </x:c>
      <x:c r="E24" s="18" t="str">
        <x:v>Предложенный формат, не SKU</x:v>
      </x:c>
      <x:c r="F24" s="18" t="str">
        <x:v>Раскладки QTO</x:v>
      </x:c>
    </x:row>
    <x:row r="25" ht="36" customHeight="1">
      <x:c r="A25" s="4" t="str">
        <x:v>tile_pack</x:v>
      </x:c>
      <x:c r="B25" s="18" t="str">
        <x:v>Плитка пола в коробке</x:v>
      </x:c>
      <x:c r="C25" s="15" t="n">
        <x:v>1.44</x:v>
      </x:c>
      <x:c r="D25" s="18" t="str">
        <x:v>м²</x:v>
      </x:c>
      <x:c r="E25" s="18" t="str">
        <x:v>Пример: 4 плитки 600×600</x:v>
      </x:c>
      <x:c r="F25" s="18" t="str">
        <x:v>Уточнить по коробке</x:v>
      </x:c>
    </x:row>
    <x:row r="26" ht="36" customHeight="1">
      <x:c r="A26" s="4" t="str">
        <x:v>wall_tile_w</x:v>
      </x:c>
      <x:c r="B26" s="18" t="str">
        <x:v>Настенная плитка: ширина</x:v>
      </x:c>
      <x:c r="C26" s="15" t="n">
        <x:v>1.2</x:v>
      </x:c>
      <x:c r="D26" s="18" t="str">
        <x:v>м</x:v>
      </x:c>
      <x:c r="E26" s="18" t="str">
        <x:v>Предложенный формат, не SKU</x:v>
      </x:c>
      <x:c r="F26" s="18" t="str">
        <x:v>Раскладки QTO</x:v>
      </x:c>
    </x:row>
    <x:row r="27" ht="36" customHeight="1">
      <x:c r="A27" s="4" t="str">
        <x:v>wall_tile_h</x:v>
      </x:c>
      <x:c r="B27" s="18" t="str">
        <x:v>Настенная плитка: высота</x:v>
      </x:c>
      <x:c r="C27" s="15" t="n">
        <x:v>0.6</x:v>
      </x:c>
      <x:c r="D27" s="18" t="str">
        <x:v>м</x:v>
      </x:c>
      <x:c r="E27" s="18" t="str">
        <x:v>Предложенный формат, не SKU</x:v>
      </x:c>
      <x:c r="F27" s="18" t="str">
        <x:v>Раскладки QTO</x:v>
      </x:c>
    </x:row>
    <x:row r="28" ht="36" customHeight="1">
      <x:c r="A28" s="4" t="str">
        <x:v>wall_tile_pack</x:v>
      </x:c>
      <x:c r="B28" s="18" t="str">
        <x:v>Настенная плитка в коробке</x:v>
      </x:c>
      <x:c r="C28" s="15" t="n">
        <x:v>1.44</x:v>
      </x:c>
      <x:c r="D28" s="18" t="str">
        <x:v>м²</x:v>
      </x:c>
      <x:c r="E28" s="18" t="str">
        <x:v>Пример: 2 плитки 600×1200</x:v>
      </x:c>
      <x:c r="F28" s="18" t="str">
        <x:v>Уточнить по коробке</x:v>
      </x:c>
    </x:row>
    <x:row r="29" ht="36" customHeight="1">
      <x:c r="A29" s="4" t="str">
        <x:v>grout</x:v>
      </x:c>
      <x:c r="B29" s="18" t="str">
        <x:v>Шов плитки</x:v>
      </x:c>
      <x:c r="C29" s="15" t="n">
        <x:v>0.002</x:v>
      </x:c>
      <x:c r="D29" s="18" t="str">
        <x:v>м</x:v>
      </x:c>
      <x:c r="E29" s="18" t="str">
        <x:v>Предложение; уточнить по изделию</x:v>
      </x:c>
      <x:c r="F29" s="18" t="str">
        <x:v>Раскладки QTO</x:v>
      </x:c>
    </x:row>
    <x:row r="30" ht="36" customHeight="1">
      <x:c r="A30" s="4" t="str">
        <x:v>imit_width</x:v>
      </x:c>
      <x:c r="B30" s="18" t="str">
        <x:v>Имитация бруса: полезная ширина</x:v>
      </x:c>
      <x:c r="C30" s="15" t="n">
        <x:v>0.185</x:v>
      </x:c>
      <x:c r="D30" s="18" t="str">
        <x:v>м</x:v>
      </x:c>
      <x:c r="E30" s="18" t="str">
        <x:v>Сценарий в пределах визуальных 180–200 мм</x:v>
      </x:c>
      <x:c r="F30" s="18" t="str">
        <x:v>P81 wall_palette; реальный профиль TBC</x:v>
      </x:c>
    </x:row>
    <x:row r="31" ht="36" customHeight="1">
      <x:c r="A31" s="4" t="str">
        <x:v>imit_length</x:v>
      </x:c>
      <x:c r="B31" s="18" t="str">
        <x:v>Имитация бруса: длина заготовки</x:v>
      </x:c>
      <x:c r="C31" s="15" t="n">
        <x:v>3</x:v>
      </x:c>
      <x:c r="D31" s="18" t="str">
        <x:v>м</x:v>
      </x:c>
      <x:c r="E31" s="18" t="str">
        <x:v>Сценарий; стыки пока не назначены</x:v>
      </x:c>
      <x:c r="F31" s="18" t="str">
        <x:v>Допущение QTO</x:v>
      </x:c>
    </x:row>
    <x:row r="32" ht="36" customHeight="1">
      <x:c r="A32" s="4" t="str">
        <x:v>lining_width</x:v>
      </x:c>
      <x:c r="B32" s="18" t="str">
        <x:v>Вагонка потолков: полезная ширина</x:v>
      </x:c>
      <x:c r="C32" s="15" t="n">
        <x:v>0.135</x:v>
      </x:c>
      <x:c r="D32" s="18" t="str">
        <x:v>м</x:v>
      </x:c>
      <x:c r="E32" s="18" t="str">
        <x:v>Сценарий</x:v>
      </x:c>
      <x:c r="F32" s="18" t="str">
        <x:v>Допущение QTO</x:v>
      </x:c>
    </x:row>
    <x:row r="33" ht="36" customHeight="1">
      <x:c r="A33" s="4" t="str">
        <x:v>lining_length</x:v>
      </x:c>
      <x:c r="B33" s="18" t="str">
        <x:v>Вагонка потолков: длина</x:v>
      </x:c>
      <x:c r="C33" s="15" t="n">
        <x:v>3</x:v>
      </x:c>
      <x:c r="D33" s="18" t="str">
        <x:v>м</x:v>
      </x:c>
      <x:c r="E33" s="18" t="str">
        <x:v>Сценарий</x:v>
      </x:c>
      <x:c r="F33" s="18" t="str">
        <x:v>Допущение QTO</x:v>
      </x:c>
    </x:row>
    <x:row r="34" ht="36" customHeight="1">
      <x:c r="A34" s="4" t="str">
        <x:v>bel_width</x:v>
      </x:c>
      <x:c r="B34" s="18" t="str">
        <x:v>БЕЛТЕРМО: расчётная ширина листа</x:v>
      </x:c>
      <x:c r="C34" s="15" t="n">
        <x:v>0.575</x:v>
      </x:c>
      <x:c r="D34" s="18" t="str">
        <x:v>м</x:v>
      </x:c>
      <x:c r="E34" s="18" t="str">
        <x:v>Каталожный размер; полезный размер уточнить</x:v>
      </x:c>
      <x:c r="F34" s="18" t="str">
        <x:v>БЕЛТЕРМО Ultra 80; марка не выбрана</x:v>
      </x:c>
    </x:row>
    <x:row r="35" ht="36" customHeight="1">
      <x:c r="A35" s="4" t="str">
        <x:v>bel_length</x:v>
      </x:c>
      <x:c r="B35" s="18" t="str">
        <x:v>БЕЛТЕРМО: расчётная длина листа</x:v>
      </x:c>
      <x:c r="C35" s="15" t="n">
        <x:v>1.875</x:v>
      </x:c>
      <x:c r="D35" s="18" t="str">
        <x:v>м</x:v>
      </x:c>
      <x:c r="E35" s="18" t="str">
        <x:v>Каталожный размер; полезный размер уточнить</x:v>
      </x:c>
      <x:c r="F35" s="18" t="str">
        <x:v>БЕЛТЕРМО Ultra 80; марка не выбрана</x:v>
      </x:c>
    </x:row>
    <x:row r="36" ht="36" customHeight="1">
      <x:c r="A36" s="4" t="str">
        <x:v>gkl_w</x:v>
      </x:c>
      <x:c r="B36" s="18" t="str">
        <x:v>ГКЛВ: ширина листа</x:v>
      </x:c>
      <x:c r="C36" s="15" t="n">
        <x:v>1.2</x:v>
      </x:c>
      <x:c r="D36" s="18" t="str">
        <x:v>м</x:v>
      </x:c>
      <x:c r="E36" s="18" t="str">
        <x:v>Сценарий формата</x:v>
      </x:c>
      <x:c r="F36" s="18" t="str">
        <x:v>Уточнить изделие</x:v>
      </x:c>
    </x:row>
    <x:row r="37" ht="36" customHeight="1">
      <x:c r="A37" s="4" t="str">
        <x:v>gkl_l</x:v>
      </x:c>
      <x:c r="B37" s="18" t="str">
        <x:v>ГКЛВ: длина листа</x:v>
      </x:c>
      <x:c r="C37" s="15" t="n">
        <x:v>3</x:v>
      </x:c>
      <x:c r="D37" s="18" t="str">
        <x:v>м</x:v>
      </x:c>
      <x:c r="E37" s="18" t="str">
        <x:v>Сценарий формата</x:v>
      </x:c>
      <x:c r="F37" s="18" t="str">
        <x:v>Уточнить изделие</x:v>
      </x:c>
    </x:row>
    <x:row r="38" ht="36" customHeight="1">
      <x:c r="A38" s="4" t="str">
        <x:v>gkl_layers</x:v>
      </x:c>
      <x:c r="B38" s="18" t="str">
        <x:v>ГКЛВ в санузлах: число слоёв</x:v>
      </x:c>
      <x:c r="C38" s="15" t="n">
        <x:v>2</x:v>
      </x:c>
      <x:c r="D38" s="18" t="str">
        <x:v>шт.</x:v>
      </x:c>
      <x:c r="E38" s="18" t="str">
        <x:v>Бюджетный сценарий, не монтажное решение</x:v>
      </x:c>
      <x:c r="F38" s="18" t="str">
        <x:v>Состав системы и шаг каркаса TBC</x:v>
      </x:c>
    </x:row>
    <x:row r="39" ht="36" customHeight="1">
      <x:c r="A39" s="4" t="str">
        <x:v>csp_w</x:v>
      </x:c>
      <x:c r="B39" s="18" t="str">
        <x:v>ЦСП: ширина листа</x:v>
      </x:c>
      <x:c r="C39" s="15" t="n">
        <x:v>1.25</x:v>
      </x:c>
      <x:c r="D39" s="18" t="str">
        <x:v>м</x:v>
      </x:c>
      <x:c r="E39" s="18" t="str">
        <x:v>Сценарий, только опция</x:v>
      </x:c>
      <x:c r="F39" s="18" t="str">
        <x:v>КП поставщика</x:v>
      </x:c>
    </x:row>
    <x:row r="40" ht="36" customHeight="1">
      <x:c r="A40" s="4" t="str">
        <x:v>csp_l</x:v>
      </x:c>
      <x:c r="B40" s="18" t="str">
        <x:v>ЦСП: длина листа</x:v>
      </x:c>
      <x:c r="C40" s="15" t="n">
        <x:v>3.2</x:v>
      </x:c>
      <x:c r="D40" s="18" t="str">
        <x:v>м</x:v>
      </x:c>
      <x:c r="E40" s="18" t="str">
        <x:v>Сценарий, только опция</x:v>
      </x:c>
      <x:c r="F40" s="18" t="str">
        <x:v>КП поставщика</x:v>
      </x:c>
    </x:row>
    <x:row r="41" ht="36" customHeight="1">
      <x:c r="A41" s="4" t="str">
        <x:v>csp_share</x:v>
      </x:c>
      <x:c r="B41" s="18" t="str">
        <x:v>Доля деревянных стен с ЦСП</x:v>
      </x:c>
      <x:c r="C41" s="15"/>
      <x:c r="D41" s="18" t="str">
        <x:v>доля</x:v>
      </x:c>
      <x:c r="E41" s="18" t="str">
        <x:v>Не выбрано; не включено в объём</x:v>
      </x:c>
      <x:c r="F41" s="18" t="str">
        <x:v>Alex: возможно локальное усиление</x:v>
      </x:c>
    </x:row>
    <x:row r="42" ht="36" customHeight="1">
      <x:c r="A42" s="4" t="str">
        <x:v>guest_tile_h</x:v>
      </x:c>
      <x:c r="B42" s="18" t="str">
        <x:v>Высота плитки в гостевом душе</x:v>
      </x:c>
      <x:c r="C42" s="15" t="n">
        <x:v>2.1</x:v>
      </x:c>
      <x:c r="D42" s="18" t="str">
        <x:v>м</x:v>
      </x:c>
      <x:c r="E42" s="18" t="str">
        <x:v>Предложение для сметы</x:v>
      </x:c>
      <x:c r="F42" s="18" t="str">
        <x:v>Угловая кабинка 1000×1000, высота TBC</x:v>
      </x:c>
    </x:row>
    <x:row r="43" ht="36" customHeight="1">
      <x:c r="A43" s="4" t="str">
        <x:v>kitchen_top</x:v>
      </x:c>
      <x:c r="B43" s="18" t="str">
        <x:v>Высота верха кухонной плитки</x:v>
      </x:c>
      <x:c r="C43" s="15" t="n">
        <x:v>1.6</x:v>
      </x:c>
      <x:c r="D43" s="18" t="str">
        <x:v>м</x:v>
      </x:c>
      <x:c r="E43" s="18" t="str">
        <x:v>Середина графического W06</x:v>
      </x:c>
      <x:c r="F43" s="18" t="str">
        <x:v>Alex: половина окна, до пола и до D02</x:v>
      </x:c>
    </x:row>
    <x:row r="44" ht="36" customHeight="1">
      <x:c r="A44" s="4" t="str">
        <x:v>water_upstand</x:v>
      </x:c>
      <x:c r="B44" s="18" t="str">
        <x:v>Заход гидроизоляции пола на стену</x:v>
      </x:c>
      <x:c r="C44" s="15" t="n">
        <x:v>0.15</x:v>
      </x:c>
      <x:c r="D44" s="18" t="str">
        <x:v>м</x:v>
      </x:c>
      <x:c r="E44" s="18" t="str">
        <x:v>Сценарий для количества; не норматив</x:v>
      </x:c>
      <x:c r="F44" s="18" t="str">
        <x:v>Системный узел TBC</x:v>
      </x:c>
    </x:row>
    <x:row r="45" ht="36" customHeight="1">
      <x:c r="A45" s="4" t="str">
        <x:v>water_rate</x:v>
      </x:c>
      <x:c r="B45" s="18" t="str">
        <x:v>Расход гидроизоляции за всю систему</x:v>
      </x:c>
      <x:c r="C45" s="15"/>
      <x:c r="D45" s="18" t="str">
        <x:v>кг/м²</x:v>
      </x:c>
      <x:c r="E45" s="18" t="str">
        <x:v>Указать по паспорту продукта</x:v>
      </x:c>
      <x:c r="F45" s="18" t="str">
        <x:v>Толщина/слои/плотность TBC</x:v>
      </x:c>
    </x:row>
    <x:row r="46" ht="36" customHeight="1">
      <x:c r="A46" s="4" t="str">
        <x:v>adhesive_rate</x:v>
      </x:c>
      <x:c r="B46" s="18" t="str">
        <x:v>Клей для плитки: расход</x:v>
      </x:c>
      <x:c r="C46" s="15"/>
      <x:c r="D46" s="18" t="str">
        <x:v>кг/м²</x:v>
      </x:c>
      <x:c r="E46" s="18" t="str">
        <x:v>Указать по формату/основанию/гребёнке</x:v>
      </x:c>
      <x:c r="F46" s="18" t="str">
        <x:v>Паспорт выбранного клея</x:v>
      </x:c>
    </x:row>
    <x:row r="47" ht="36" customHeight="1">
      <x:c r="A47" s="4" t="str">
        <x:v>grout_rate</x:v>
      </x:c>
      <x:c r="B47" s="18" t="str">
        <x:v>Затирка: расход</x:v>
      </x:c>
      <x:c r="C47" s="15"/>
      <x:c r="D47" s="18" t="str">
        <x:v>кг/м²</x:v>
      </x:c>
      <x:c r="E47" s="18" t="str">
        <x:v>Указать по толщине плитки и шву</x:v>
      </x:c>
      <x:c r="F47" s="18" t="str">
        <x:v>Паспорт выбранной затирки</x:v>
      </x:c>
    </x:row>
    <x:row r="48" ht="36" customHeight="1">
      <x:c r="A48" s="4" t="str">
        <x:v>paint_rate</x:v>
      </x:c>
      <x:c r="B48" s="18" t="str">
        <x:v>Краска стен: суммарный расход</x:v>
      </x:c>
      <x:c r="C48" s="15"/>
      <x:c r="D48" s="18" t="str">
        <x:v>л/м²</x:v>
      </x:c>
      <x:c r="E48" s="18" t="str">
        <x:v>Указать с учётом числа слоёв</x:v>
      </x:c>
      <x:c r="F48" s="18" t="str">
        <x:v>Паспорт выбранной краски</x:v>
      </x:c>
    </x:row>
    <x:row r="49" ht="36" customHeight="1">
      <x:c r="A49" s="4" t="str">
        <x:v>roof_insulation</x:v>
      </x:c>
      <x:c r="B49" s="18" t="str">
        <x:v>Утепление перекрытия/скатов: толщина</x:v>
      </x:c>
      <x:c r="C49" s="15"/>
      <x:c r="D49" s="18" t="str">
        <x:v>м</x:v>
      </x:c>
      <x:c r="E49" s="18" t="str">
        <x:v>Не назначено</x:v>
      </x:c>
      <x:c r="F49" s="18" t="str">
        <x:v>Нужен теплотехнический расчёт</x:v>
      </x:c>
    </x:row>
    <x:row r="50" ht="36" customHeight="1">
      <x:c r="A50" s="4" t="str">
        <x:v>reveal_depth</x:v>
      </x:c>
      <x:c r="B50" s="18" t="str">
        <x:v>Средняя глубина откосов</x:v>
      </x:c>
      <x:c r="C50" s="15"/>
      <x:c r="D50" s="18" t="str">
        <x:v>м</x:v>
      </x:c>
      <x:c r="E50" s="18" t="str">
        <x:v>Не измерено; добавка не включена</x:v>
      </x:c>
      <x:c r="F50" s="18" t="str">
        <x:v>Положение рам и обшивок TBC</x:v>
      </x:c>
    </x:row>
    <x:row r="51" ht="36" customHeight="1">
      <x:c r="A51" s="4" t="str">
        <x:v>lounge_h</x:v>
      </x:c>
      <x:c r="B51" s="18" t="str">
        <x:v>Высота глухой стены лаунджа</x:v>
      </x:c>
      <x:c r="C51" s="15" t="n">
        <x:v>2.94</x:v>
      </x:c>
      <x:c r="D51" s="18" t="str">
        <x:v>м</x:v>
      </x:c>
      <x:c r="E51" s="18" t="str">
        <x:v>Графический сценарий</x:v>
      </x:c>
      <x:c r="F51" s="18" t="str">
        <x:v>P81 lounge.graphic_panel_height_mm</x:v>
      </x:c>
    </x:row>
    <x:row r="52" ht="36" customHeight="1">
      <x:c r="A52" s="4" t="str">
        <x:v>deck_width</x:v>
      </x:c>
      <x:c r="B52" s="18" t="str">
        <x:v>Террасная доска: полезная ширина с зазором</x:v>
      </x:c>
      <x:c r="C52" s="15"/>
      <x:c r="D52" s="18" t="str">
        <x:v>м</x:v>
      </x:c>
      <x:c r="E52" s="18" t="str">
        <x:v>Не выбрано</x:v>
      </x:c>
      <x:c r="F52" s="18" t="str">
        <x:v>Профиль и зазоры TBC</x:v>
      </x:c>
    </x:row>
    <x:row r="53" ht="36" customHeight="1">
      <x:c r="A53" s="4" t="str">
        <x:v>currency</x:v>
      </x:c>
      <x:c r="B53" s="18" t="str">
        <x:v>Валюта сопоставления цен</x:v>
      </x:c>
      <x:c r="C53" s="15" t="str">
        <x:v>BYN</x:v>
      </x:c>
      <x:c r="D53" s="18" t="str">
        <x:v>код</x:v>
      </x:c>
      <x:c r="E53" s="18" t="str">
        <x:v>База файла; цены пока отсутствуют</x:v>
      </x:c>
      <x:c r="F53" s="18" t="str">
        <x:v>Не выполняется валютная конверсия</x:v>
      </x:c>
    </x:row>
    <x:row r="54" ht="23" customHeight="1">
      <x:c r="A54" s="4"/>
      <x:c r="B54" s="4"/>
      <x:c r="C54" s="4"/>
      <x:c r="D54" s="4"/>
      <x:c r="E54" s="4"/>
      <x:c r="F54" s="4"/>
    </x:row>
    <x:row r="55" ht="23" customHeight="1">
      <x:c r="A55" s="4"/>
      <x:c r="B55" s="4"/>
      <x:c r="C55" s="4"/>
      <x:c r="D55" s="4"/>
      <x:c r="E55" s="4"/>
      <x:c r="F55" s="4"/>
    </x:row>
    <x:row r="56" ht="23" customHeight="1">
      <x:c r="A56" s="4"/>
      <x:c r="B56" s="4"/>
      <x:c r="C56" s="4"/>
      <x:c r="D56" s="4"/>
      <x:c r="E56" s="4"/>
      <x:c r="F56" s="4"/>
    </x:row>
    <x:row r="57" ht="23" customHeight="1">
      <x:c r="A57" s="4"/>
      <x:c r="B57" s="4"/>
      <x:c r="C57" s="4"/>
      <x:c r="D57" s="4"/>
      <x:c r="E57" s="4"/>
      <x:c r="F57" s="4"/>
    </x:row>
    <x:row r="58" ht="23" customHeight="1">
      <x:c r="A58" s="4"/>
      <x:c r="B58" s="4"/>
      <x:c r="C58" s="4"/>
      <x:c r="D58" s="4"/>
      <x:c r="E58" s="4"/>
      <x:c r="F58" s="4"/>
    </x:row>
    <x:row r="59" ht="23" customHeight="1">
      <x:c r="A59" s="26" t="str">
        <x:v>Проёмы по плану. Высоты графические; размеры не для заказа.</x:v>
      </x:c>
      <x:c r="B59" s="4"/>
      <x:c r="C59" s="4"/>
      <x:c r="D59" s="4"/>
      <x:c r="E59" s="4"/>
      <x:c r="F59" s="4"/>
    </x:row>
    <x:row r="60" ht="32" customHeight="1">
      <x:c r="A60" s="12" t="str">
        <x:v>ID</x:v>
      </x:c>
      <x:c r="B60" s="12" t="str">
        <x:v>Сторона / тип</x:v>
      </x:c>
      <x:c r="C60" s="12" t="str">
        <x:v>Ширина, м</x:v>
      </x:c>
      <x:c r="D60" s="12" t="str">
        <x:v>Низ, м</x:v>
      </x:c>
      <x:c r="E60" s="12" t="str">
        <x:v>Верх, м</x:v>
      </x:c>
      <x:c r="F60" s="12" t="str">
        <x:v>Площадь, м²</x:v>
      </x:c>
    </x:row>
    <x:row r="61" ht="23" customHeight="1">
      <x:c r="A61" s="4" t="str">
        <x:v>D02</x:v>
      </x:c>
      <x:c r="B61" s="4" t="str">
        <x:v>north</x:v>
      </x:c>
      <x:c r="C61" s="25" t="n">
        <x:v>1.2</x:v>
      </x:c>
      <x:c r="D61" s="25" t="n">
        <x:v>0</x:v>
      </x:c>
      <x:c r="E61" s="25" t="n">
        <x:v>2.4</x:v>
      </x:c>
      <x:c r="F61" s="4" t="n">
        <x:f>C61*(E61-D61)</x:f>
        <x:v>2.88</x:v>
      </x:c>
    </x:row>
    <x:row r="62" ht="23" customHeight="1">
      <x:c r="A62" s="4" t="str">
        <x:v>W06</x:v>
      </x:c>
      <x:c r="B62" s="4" t="str">
        <x:v>north</x:v>
      </x:c>
      <x:c r="C62" s="25" t="n">
        <x:v>1.2</x:v>
      </x:c>
      <x:c r="D62" s="25" t="n">
        <x:v>1</x:v>
      </x:c>
      <x:c r="E62" s="25" t="n">
        <x:v>2.2</x:v>
      </x:c>
      <x:c r="F62" s="4" t="n">
        <x:f>C62*(E62-D62)</x:f>
        <x:v>1.4400000000000002</x:v>
      </x:c>
    </x:row>
    <x:row r="63" ht="23" customHeight="1">
      <x:c r="A63" s="4" t="str">
        <x:v>D01</x:v>
      </x:c>
      <x:c r="B63" s="4" t="str">
        <x:v>north</x:v>
      </x:c>
      <x:c r="C63" s="25" t="n">
        <x:v>0.9</x:v>
      </x:c>
      <x:c r="D63" s="25" t="n">
        <x:v>0</x:v>
      </x:c>
      <x:c r="E63" s="25" t="n">
        <x:v>2.4</x:v>
      </x:c>
      <x:c r="F63" s="4" t="n">
        <x:f>C63*(E63-D63)</x:f>
        <x:v>2.16</x:v>
      </x:c>
    </x:row>
    <x:row r="64" ht="23" customHeight="1">
      <x:c r="A64" s="4" t="str">
        <x:v>W03</x:v>
      </x:c>
      <x:c r="B64" s="4" t="str">
        <x:v>east</x:v>
      </x:c>
      <x:c r="C64" s="25" t="n">
        <x:v>0.8</x:v>
      </x:c>
      <x:c r="D64" s="25" t="n">
        <x:v>2</x:v>
      </x:c>
      <x:c r="E64" s="25" t="n">
        <x:v>2.9</x:v>
      </x:c>
      <x:c r="F64" s="4" t="n">
        <x:f>C64*(E64-D64)</x:f>
        <x:v>0.72</x:v>
      </x:c>
    </x:row>
    <x:row r="65" ht="23" customHeight="1">
      <x:c r="A65" s="4" t="str">
        <x:v>W04</x:v>
      </x:c>
      <x:c r="B65" s="4" t="str">
        <x:v>east</x:v>
      </x:c>
      <x:c r="C65" s="25" t="n">
        <x:v>0.8</x:v>
      </x:c>
      <x:c r="D65" s="25" t="n">
        <x:v>2</x:v>
      </x:c>
      <x:c r="E65" s="25" t="n">
        <x:v>2.9</x:v>
      </x:c>
      <x:c r="F65" s="4" t="n">
        <x:f>C65*(E65-D65)</x:f>
        <x:v>0.72</x:v>
      </x:c>
    </x:row>
    <x:row r="66" ht="23" customHeight="1">
      <x:c r="A66" s="4" t="str">
        <x:v>W05</x:v>
      </x:c>
      <x:c r="B66" s="4" t="str">
        <x:v>south</x:v>
      </x:c>
      <x:c r="C66" s="25" t="n">
        <x:v>1.6</x:v>
      </x:c>
      <x:c r="D66" s="25" t="n">
        <x:v>0</x:v>
      </x:c>
      <x:c r="E66" s="25" t="n">
        <x:v>2.4</x:v>
      </x:c>
      <x:c r="F66" s="4" t="n">
        <x:f>C66*(E66-D66)</x:f>
        <x:v>3.84</x:v>
      </x:c>
    </x:row>
    <x:row r="67" ht="23" customHeight="1">
      <x:c r="A67" s="4" t="str">
        <x:v>W02</x:v>
      </x:c>
      <x:c r="B67" s="4" t="str">
        <x:v>south</x:v>
      </x:c>
      <x:c r="C67" s="25" t="n">
        <x:v>1.6</x:v>
      </x:c>
      <x:c r="D67" s="25" t="n">
        <x:v>0</x:v>
      </x:c>
      <x:c r="E67" s="25" t="n">
        <x:v>2.4</x:v>
      </x:c>
      <x:c r="F67" s="4" t="n">
        <x:f>C67*(E67-D67)</x:f>
        <x:v>3.84</x:v>
      </x:c>
    </x:row>
    <x:row r="68" ht="23" customHeight="1">
      <x:c r="A68" s="4" t="str">
        <x:v>W01</x:v>
      </x:c>
      <x:c r="B68" s="4" t="str">
        <x:v>west</x:v>
      </x:c>
      <x:c r="C68" s="25" t="n">
        <x:v>6.7</x:v>
      </x:c>
      <x:c r="D68" s="25" t="n">
        <x:v>0</x:v>
      </x:c>
      <x:c r="E68" s="25" t="n">
        <x:v>3</x:v>
      </x:c>
      <x:c r="F68" s="4" t="n">
        <x:f>C68*(E68-D68)</x:f>
        <x:v>20.1</x:v>
      </x:c>
    </x:row>
    <x:row r="69" ht="23" customHeight="1">
      <x:c r="A69" s="4" t="str">
        <x:v>D03</x:v>
      </x:c>
      <x:c r="B69" s="4" t="str">
        <x:v>Внутренняя дверь</x:v>
      </x:c>
      <x:c r="C69" s="25" t="n">
        <x:v>0.9</x:v>
      </x:c>
      <x:c r="D69" s="25" t="n">
        <x:v>0</x:v>
      </x:c>
      <x:c r="E69" s="25" t="n">
        <x:v>2.1</x:v>
      </x:c>
      <x:c r="F69" s="4" t="n">
        <x:f>C69*(E69-D69)</x:f>
        <x:v>1.8900000000000001</x:v>
      </x:c>
    </x:row>
    <x:row r="70" ht="23" customHeight="1">
      <x:c r="A70" s="4" t="str">
        <x:v>D04</x:v>
      </x:c>
      <x:c r="B70" s="4" t="str">
        <x:v>Внутренняя дверь</x:v>
      </x:c>
      <x:c r="C70" s="25" t="n">
        <x:v>0.9</x:v>
      </x:c>
      <x:c r="D70" s="25" t="n">
        <x:v>0</x:v>
      </x:c>
      <x:c r="E70" s="25" t="n">
        <x:v>2.1</x:v>
      </x:c>
      <x:c r="F70" s="4" t="n">
        <x:f>C70*(E70-D70)</x:f>
        <x:v>1.8900000000000001</x:v>
      </x:c>
    </x:row>
    <x:row r="71" ht="23" customHeight="1">
      <x:c r="A71" s="4" t="str">
        <x:v>D05</x:v>
      </x:c>
      <x:c r="B71" s="4" t="str">
        <x:v>Внутренняя дверь</x:v>
      </x:c>
      <x:c r="C71" s="25" t="n">
        <x:v>0.9</x:v>
      </x:c>
      <x:c r="D71" s="25" t="n">
        <x:v>0</x:v>
      </x:c>
      <x:c r="E71" s="25" t="n">
        <x:v>2.1</x:v>
      </x:c>
      <x:c r="F71" s="4" t="n">
        <x:f>C71*(E71-D71)</x:f>
        <x:v>1.8900000000000001</x:v>
      </x:c>
    </x:row>
    <x:row r="72" ht="23" customHeight="1">
      <x:c r="A72" s="4" t="str">
        <x:v>D06</x:v>
      </x:c>
      <x:c r="B72" s="4" t="str">
        <x:v>Внутренняя дверь</x:v>
      </x:c>
      <x:c r="C72" s="25" t="n">
        <x:v>0.9</x:v>
      </x:c>
      <x:c r="D72" s="25" t="n">
        <x:v>0</x:v>
      </x:c>
      <x:c r="E72" s="25" t="n">
        <x:v>2.1</x:v>
      </x:c>
      <x:c r="F72" s="4" t="n">
        <x:f>C72*(E72-D72)</x:f>
        <x:v>1.8900000000000001</x:v>
      </x:c>
    </x:row>
    <x:row r="73" ht="23" customHeight="1">
      <x:c r="A73" s="4"/>
      <x:c r="B73" s="4"/>
      <x:c r="C73" s="4"/>
      <x:c r="D73" s="4"/>
      <x:c r="E73" s="4"/>
      <x:c r="F73" s="4"/>
    </x:row>
    <x:row r="74" ht="23" customHeight="1">
      <x:c r="A74" s="4"/>
      <x:c r="B74" s="4"/>
      <x:c r="C74" s="4"/>
      <x:c r="D74" s="4"/>
      <x:c r="E74" s="4"/>
      <x:c r="F74" s="4"/>
    </x:row>
    <x:row r="75" ht="23" customHeight="1">
      <x:c r="A75" s="4"/>
      <x:c r="B75" s="4"/>
      <x:c r="C75" s="4"/>
      <x:c r="D75" s="4"/>
      <x:c r="E75" s="4"/>
      <x:c r="F75" s="4"/>
    </x:row>
    <x:row r="76" ht="23" customHeight="1">
      <x:c r="A76" s="4"/>
      <x:c r="B76" s="4"/>
      <x:c r="C76" s="4"/>
      <x:c r="D76" s="4"/>
      <x:c r="E76" s="4"/>
      <x:c r="F76" s="4"/>
    </x:row>
    <x:row r="77" ht="23" customHeight="1">
      <x:c r="A77" s="4" t="str">
        <x:v>Что ещё необходимо измерить / выбрать</x:v>
      </x:c>
      <x:c r="B77" s="4"/>
      <x:c r="C77" s="4"/>
      <x:c r="D77" s="4"/>
      <x:c r="E77" s="4"/>
      <x:c r="F77" s="4"/>
    </x:row>
    <x:row r="78" ht="23" customHeight="1">
      <x:c r="A78" s="4" t="str">
        <x:v>Высоты 3.0 / 3.3 / 5.0 м взяты из графической модели. Это не обмер и не рабочие отметки.</x:v>
      </x:c>
      <x:c r="B78" s="4"/>
      <x:c r="C78" s="4"/>
      <x:c r="D78" s="4"/>
      <x:c r="E78" s="4"/>
      <x:c r="F78" s="4"/>
    </x:row>
    <x:row r="79" ht="23" customHeight="1">
      <x:c r="A79" s="4" t="str">
        <x:v>Внешняя стеновая оболочка включает два фронтона. При холодном чердаке состав и утепление фронтонов меняются.</x:v>
      </x:c>
      <x:c r="B79" s="4"/>
      <x:c r="C79" s="4"/>
      <x:c r="D79" s="4"/>
      <x:c r="E79" s="4"/>
      <x:c r="F79" s="4"/>
    </x:row>
    <x:row r="80" ht="23" customHeight="1">
      <x:c r="A80" s="4" t="str">
        <x:v>БЕЛТЕРМО с двух сторон и каркас 200 мм оставляют лишь 40 мм внутри резерва 400 мм на всё остальное.</x:v>
      </x:c>
      <x:c r="B80" s="4"/>
      <x:c r="C80" s="4"/>
      <x:c r="D80" s="4"/>
      <x:c r="E80" s="4"/>
      <x:c r="F80" s="4"/>
    </x:row>
    <x:row r="81" ht="23" customHeight="1">
      <x:c r="A81" s="4" t="str">
        <x:v>Нужен расчёт влагонакопления и непрерывный воздухоплотный контур. Нельзя автоматически поставить одинаковые плёнки с двух сторон.</x:v>
      </x:c>
      <x:c r="B81" s="4"/>
      <x:c r="C81" s="4"/>
      <x:c r="D81" s="4"/>
      <x:c r="E81" s="4"/>
      <x:c r="F81" s="4"/>
    </x:row>
    <x:row r="82" ht="23" customHeight="1">
      <x:c r="A82" s="4" t="str">
        <x:v>ГКЛВ механически крепится к каркасу. Влагостойкость листа не заменяет гидроизоляцию и проверку веса плитки.</x:v>
      </x:c>
      <x:c r="B82" s="4"/>
      <x:c r="C82" s="4"/>
      <x:c r="D82" s="4"/>
      <x:c r="E82" s="4"/>
      <x:c r="F82" s="4"/>
    </x:row>
    <x:row r="83" ht="23" customHeight="1">
      <x:c r="A83" s="4" t="str">
        <x:v>ЦСП посчитана как опция с незаполненной долей. Несущая обшивка, связи, анкеры и крепления требуют конструктивного проекта.</x:v>
      </x:c>
      <x:c r="B83" s="4"/>
      <x:c r="C83" s="4"/>
      <x:c r="D83" s="4"/>
      <x:c r="E83" s="4"/>
      <x:c r="F83" s="4"/>
    </x:row>
    <x:row r="84" ht="23" customHeight="1">
      <x:c r="A84" s="4" t="str">
        <x:v>Не заданы расход клея, затирки, праймера, краски, гидроизоляции, упаковка эковаты, эффективные размеры плит.</x:v>
      </x:c>
      <x:c r="B84" s="4"/>
      <x:c r="C84" s="4"/>
      <x:c r="D84" s="4"/>
      <x:c r="E84" s="4"/>
      <x:c r="F84" s="4"/>
    </x:row>
    <x:row r="85" ht="23" customHeight="1">
      <x:c r="A85" s="4" t="str">
        <x:v>Не заданы глубины откосов и возвратов, доборы дверей, наличники, плинтусы, теневые профили, вентиляция софитов.</x:v>
      </x:c>
      <x:c r="B85" s="4"/>
      <x:c r="C85" s="4"/>
      <x:c r="D85" s="4"/>
      <x:c r="E85" s="4"/>
      <x:c r="F85" s="4"/>
    </x:row>
    <x:row r="86" ht="23" customHeight="1">
      <x:c r="A86" s="4" t="str">
        <x:v>Каркас стен в штуках/м³, обрешётка, крепёж, закладные, мембраны крыши, утепление крыши и плиты пока без спецификации.</x:v>
      </x:c>
      <x:c r="B86" s="4"/>
      <x:c r="C86" s="4"/>
      <x:c r="D86" s="4"/>
      <x:c r="E86" s="4"/>
      <x:c r="F86" s="4"/>
    </x:row>
    <x:row r="87" ht="23" customHeight="1">
      <x:c r="A87" s="4" t="str">
        <x:v>Лаундж 41.16 м² измерен по граничному прямоугольнику: после выбора стоек и глухой стены чистая площадь уменьшится.</x:v>
      </x:c>
      <x:c r="B87" s="4"/>
      <x:c r="C87" s="4"/>
      <x:c r="D87" s="4"/>
      <x:c r="E87" s="4"/>
      <x:c r="F87" s="4"/>
    </x:row>
    <x:row r="88" ht="23" customHeight="1">
      <x:c r="A88" s="4" t="str">
        <x:v>Ровно 1 м² каждого душа выделено из крупной напольной плитки. Наклон и фактическую облицовку трапа уточнить.</x:v>
      </x:c>
      <x:c r="B88" s="4"/>
      <x:c r="C88" s="4"/>
      <x:c r="D88" s="4"/>
      <x:c r="E88" s="4"/>
      <x:c r="F88" s="4"/>
    </x:row>
    <x:row r="89" ht="23" customHeight="1">
      <x:c r="A89" s="4" t="str">
        <x:v>Кухонная плитка 8.464 м² — две стены до середины W06, от пола до 1.6 м, включая скрытые участки за мебелью.</x:v>
      </x:c>
      <x:c r="B89" s="4"/>
      <x:c r="C89" s="4"/>
      <x:c r="D89" s="4"/>
      <x:c r="E89" s="4"/>
      <x:c r="F89" s="4"/>
    </x:row>
    <x:row r="90" ht="23" customHeight="1">
      <x:c r="A90" s="4" t="str">
        <x:v>Расходы без выбранного продукта не превращаются в ноль. Цена и упаковка — редактируемые поля, а не полученные КП.</x:v>
      </x:c>
      <x:c r="B90" s="4"/>
      <x:c r="C90" s="4"/>
      <x:c r="D90" s="4"/>
      <x:c r="E90" s="4"/>
      <x:c r="F90" s="4"/>
    </x:row>
    <x:row r="91" ht="23" customHeight="1">
      <x:c r="A91" s="4" t="str">
        <x:v>Пример раскладок: пол 600×600, стены 1200×600, шов 2 мм. Изменение формата требует новой графической раскладки.</x:v>
      </x:c>
      <x:c r="B91" s="4"/>
      <x:c r="C91" s="4"/>
      <x:c r="D91" s="4"/>
      <x:c r="E91" s="4"/>
      <x:c r="F91" s="4"/>
    </x:row>
    <x:row r="92" ht="23" customHeight="1">
      <x:c r="A92" s="4" t="str">
        <x:v>Запас 10% для плитки/доски/листов, 15% для полотен, 5% для эковаты — явные сценарии сметы, не нормы производителя.</x:v>
      </x:c>
      <x:c r="B92" s="4"/>
      <x:c r="C92" s="4"/>
      <x:c r="D92" s="4"/>
      <x:c r="E92" s="4"/>
      <x:c r="F92" s="4"/>
    </x:row>
    <x:row r="93" ht="23" customHeight="1">
      <x:c r="A93" s="4" t="str">
        <x:v>Площадь деревянных стен — лицевая. Оборотная грунтовка, торцы, откосы и сложный профиль не включены в литры.</x:v>
      </x:c>
      <x:c r="B93" s="4"/>
      <x:c r="C93" s="4"/>
      <x:c r="D93" s="4"/>
      <x:c r="E93" s="4"/>
      <x:c r="F93" s="4"/>
    </x:row>
    <x:row r="94" ht="23" customHeight="1">
      <x:c r="A94" s="4" t="str">
        <x:v>Гидроизоляция пола: кухня и оба санузла. Заходы на стены и манжеты следует добавить по утверждённому системному узлу.</x:v>
      </x:c>
      <x:c r="B94" s="4"/>
      <x:c r="C94" s="4"/>
      <x:c r="D94" s="4"/>
      <x:c r="E94" s="4"/>
      <x:c r="F94" s="4"/>
    </x:row>
    <x:row r="95" ht="23" customHeight="1">
      <x:c r="A95" s="4" t="str">
        <x:v>Гостевой санузел: окраска вне душевой. За раковиной подобрать стойкую моющуюся систему или отдельный фартук.</x:v>
      </x:c>
      <x:c r="B95" s="4"/>
      <x:c r="C95" s="4"/>
      <x:c r="D95" s="4"/>
      <x:c r="E95" s="4"/>
      <x:c r="F95" s="4"/>
    </x:row>
    <x:row r="96" ht="23" customHeight="1">
      <x:c r="A96" s="4"/>
      <x:c r="B96" s="4"/>
      <x:c r="C96" s="4"/>
      <x:c r="D96" s="4"/>
      <x:c r="E96" s="4"/>
      <x:c r="F96" s="4"/>
    </x:row>
    <x:row r="97" ht="23" customHeight="1">
      <x:c r="A97" s="4"/>
      <x:c r="B97" s="4"/>
      <x:c r="C97" s="4"/>
      <x:c r="D97" s="4"/>
      <x:c r="E97" s="4"/>
      <x:c r="F97" s="4"/>
    </x:row>
    <x:row r="98" ht="23" customHeight="1">
      <x:c r="A98" s="4"/>
      <x:c r="B98" s="4"/>
      <x:c r="C98" s="4"/>
      <x:c r="D98" s="4"/>
      <x:c r="E98" s="4"/>
      <x:c r="F98" s="4"/>
    </x:row>
    <x:row r="99" ht="23" customHeight="1">
      <x:c r="A99" s="26" t="str">
        <x:v>Источники и контрольные SHA-256</x:v>
      </x:c>
      <x:c r="B99" s="4"/>
      <x:c r="C99" s="4"/>
      <x:c r="D99" s="4"/>
      <x:c r="E99" s="4"/>
      <x:c r="F99" s="4"/>
    </x:row>
    <x:row r="100" ht="23" customHeight="1">
      <x:c r="A100" s="6" t="str">
        <x:v>G1 — P81 / P82 copy: architecture-P81.json</x:v>
      </x:c>
      <x:c r="B100" s="6"/>
      <x:c r="C100" s="6"/>
      <x:c r="D100" s="6"/>
      <x:c r="E100" s="6"/>
      <x:c r="F100" s="6"/>
    </x:row>
    <x:row r="101" ht="23" customHeight="1">
      <x:c r="A101" s="6" t="str">
        <x:v>SHA-256 8d42d7f5e001671ede53108e4d4fa6238470ee0bf66893007bda98100c66a334</x:v>
      </x:c>
      <x:c r="B101" s="6"/>
      <x:c r="C101" s="6"/>
      <x:c r="D101" s="6"/>
      <x:c r="E101" s="6"/>
      <x:c r="F101" s="6"/>
    </x:row>
    <x:row r="102" ht="23" customHeight="1">
      <x:c r="A102" s="6" t="str">
        <x:v>G2 — P89: p89-consolidated-design-plan.json</x:v>
      </x:c>
      <x:c r="B102" s="6"/>
      <x:c r="C102" s="6"/>
      <x:c r="D102" s="6"/>
      <x:c r="E102" s="6"/>
      <x:c r="F102" s="6"/>
    </x:row>
    <x:row r="103" ht="23" customHeight="1">
      <x:c r="A103" s="6" t="str">
        <x:v>SHA-256 6237c4eabf5a0b06fd08cbfe67e606c08c1fbd9ebd4856f44ab220543b6e08d2</x:v>
      </x:c>
      <x:c r="B103" s="6"/>
      <x:c r="C103" s="6"/>
      <x:c r="D103" s="6"/>
      <x:c r="E103" s="6"/>
      <x:c r="F103" s="6"/>
    </x:row>
    <x:row r="104" ht="23" customHeight="1">
      <x:c r="A104" s="6" t="str">
        <x:v>G3 — WEB-WET-2026-09-15: wet-update.json</x:v>
      </x:c>
      <x:c r="B104" s="6"/>
      <x:c r="C104" s="6"/>
      <x:c r="D104" s="6"/>
      <x:c r="E104" s="6"/>
      <x:c r="F104" s="6"/>
    </x:row>
    <x:row r="105" ht="23" customHeight="1">
      <x:c r="A105" s="6" t="str">
        <x:v>SHA-256 f3b0bd4337c8b4c567ed5262deaf6612183f5cf6b6826985fc7dfda5dadc20fd</x:v>
      </x:c>
      <x:c r="B105" s="6"/>
      <x:c r="C105" s="6"/>
      <x:c r="D105" s="6"/>
      <x:c r="E105" s="6"/>
      <x:c r="F105" s="6"/>
    </x:row>
    <x:row r="106" ht="23" customHeight="1">
      <x:c r="A106" s="6" t="str">
        <x:v>U1 — 2026-09-15: client-confirmation.json</x:v>
      </x:c>
      <x:c r="B106" s="6"/>
      <x:c r="C106" s="6"/>
      <x:c r="D106" s="6"/>
      <x:c r="E106" s="6"/>
      <x:c r="F106" s="6"/>
    </x:row>
    <x:row r="107" ht="23" customHeight="1">
      <x:c r="A107" s="6" t="str">
        <x:v>SHA-256 8092200c24cab9036f3b58c01229125d5306c5f434beb65cb5cd4c03d7aa36d1</x:v>
      </x:c>
      <x:c r="B107" s="6"/>
      <x:c r="C107" s="6"/>
      <x:c r="D107" s="6"/>
      <x:c r="E107" s="6"/>
      <x:c r="F107" s="6"/>
    </x:row>
    <x:row r="108" ht="23" customHeight="1">
      <x:c r="A108" s="6" t="str">
        <x:v>R1 — accessed 2026-09-15: https://beltermo.ru/catalog/beltermo-ultra-180-kg-m-/</x:v>
      </x:c>
      <x:c r="B108" s="6"/>
      <x:c r="C108" s="6"/>
      <x:c r="D108" s="6"/>
      <x:c r="E108" s="6"/>
      <x:c r="F108" s="6"/>
    </x:row>
    <x:row r="109">
      <x:c r="A109" s="27" t="str">
        <x:v>R2 — accessed 2026-09-15: https://www.isocell.com/fileadmin/pim_copy/LOESUNG/LOESUNG_ZE_oberste_Geschossdecke_nicht_begehbar_EN.pdf</x:v>
      </x:c>
      <x:c r="B109" s="27"/>
      <x:c r="C109" s="27"/>
      <x:c r="D109" s="27"/>
      <x:c r="E109" s="27"/>
      <x:c r="F109" s="27"/>
    </x:row>
    <x:row r="110">
      <x:c r="A110" s="27" t="str">
        <x:v>R3 — accessed 2026-09-15: https://knauf.com/api/download-center/v1/assets/4fe6a7ed-822b-4785-9e70-7809c6ba5b97?download=true</x:v>
      </x:c>
      <x:c r="B110" s="27"/>
      <x:c r="C110" s="27"/>
      <x:c r="D110" s="27"/>
      <x:c r="E110" s="27"/>
      <x:c r="F110" s="27"/>
    </x:row>
    <x:row r="111">
      <x:c r="A111" s="27"/>
      <x:c r="B111" s="27"/>
      <x:c r="C111" s="27"/>
      <x:c r="D111" s="27"/>
      <x:c r="E111" s="27"/>
      <x:c r="F111" s="27"/>
    </x:row>
  </x:sheetData>
  <x:pageMargins left="0.7" right="0.7" top="0.75" bottom="0.75" header="0.3" footer="0.3"/>
</x:worksheet>
</file>