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3.xml" ContentType="application/vnd.ms-excel.person+xml"/>
  <Override PartName="/xl/persons/person4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28c5da1fbdec5db/Documentos/Cecnor/expensas/2023/"/>
    </mc:Choice>
  </mc:AlternateContent>
  <xr:revisionPtr revIDLastSave="6" documentId="8_{2FD92BEA-E51C-465B-8800-9A43576E21CD}" xr6:coauthVersionLast="47" xr6:coauthVersionMax="47" xr10:uidLastSave="{71293E81-7D55-4C61-8354-4FC410486752}"/>
  <bookViews>
    <workbookView xWindow="-110" yWindow="-110" windowWidth="19420" windowHeight="10300" firstSheet="3" activeTab="9" xr2:uid="{00000000-000D-0000-FFFF-FFFF00000000}"/>
  </bookViews>
  <sheets>
    <sheet name="Premisas" sheetId="2" state="hidden" r:id="rId1"/>
    <sheet name="enero" sheetId="77" r:id="rId2"/>
    <sheet name="febrero" sheetId="79" r:id="rId3"/>
    <sheet name="marzo" sheetId="80" r:id="rId4"/>
    <sheet name="abril" sheetId="81" r:id="rId5"/>
    <sheet name="mayo" sheetId="82" r:id="rId6"/>
    <sheet name="junio" sheetId="83" r:id="rId7"/>
    <sheet name="julio" sheetId="84" r:id="rId8"/>
    <sheet name="agosto" sheetId="85" r:id="rId9"/>
    <sheet name="locales desocupados" sheetId="3" r:id="rId10"/>
    <sheet name="Hoja1" sheetId="53" state="hidden" r:id="rId11"/>
  </sheets>
  <definedNames>
    <definedName name="_xlnm.Print_Area" localSheetId="9">'locales desocupados'!$B$2:$O$14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J5" i="3"/>
  <c r="Q5" i="85"/>
  <c r="T9" i="85"/>
  <c r="X115" i="85"/>
  <c r="H113" i="85"/>
  <c r="L113" i="85" s="1"/>
  <c r="H112" i="85"/>
  <c r="L112" i="85" s="1"/>
  <c r="H111" i="85"/>
  <c r="L111" i="85" s="1"/>
  <c r="H110" i="85"/>
  <c r="L110" i="85" s="1"/>
  <c r="H109" i="85"/>
  <c r="L109" i="85" s="1"/>
  <c r="H108" i="85"/>
  <c r="L108" i="85" s="1"/>
  <c r="H107" i="85"/>
  <c r="L107" i="85" s="1"/>
  <c r="H106" i="85"/>
  <c r="L106" i="85" s="1"/>
  <c r="H105" i="85"/>
  <c r="L105" i="85" s="1"/>
  <c r="H104" i="85"/>
  <c r="L104" i="85" s="1"/>
  <c r="H103" i="85"/>
  <c r="L103" i="85" s="1"/>
  <c r="H102" i="85"/>
  <c r="L102" i="85" s="1"/>
  <c r="H101" i="85"/>
  <c r="L101" i="85" s="1"/>
  <c r="H100" i="85"/>
  <c r="L100" i="85" s="1"/>
  <c r="H99" i="85"/>
  <c r="L99" i="85" s="1"/>
  <c r="H98" i="85"/>
  <c r="L98" i="85" s="1"/>
  <c r="H97" i="85"/>
  <c r="L97" i="85" s="1"/>
  <c r="H96" i="85"/>
  <c r="L96" i="85" s="1"/>
  <c r="H95" i="85"/>
  <c r="L95" i="85" s="1"/>
  <c r="H94" i="85"/>
  <c r="L94" i="85" s="1"/>
  <c r="H93" i="85"/>
  <c r="L93" i="85" s="1"/>
  <c r="H92" i="85"/>
  <c r="L92" i="85" s="1"/>
  <c r="H91" i="85"/>
  <c r="L91" i="85" s="1"/>
  <c r="K89" i="85"/>
  <c r="L89" i="85" s="1"/>
  <c r="H89" i="85"/>
  <c r="K88" i="85"/>
  <c r="H88" i="85"/>
  <c r="L88" i="85" s="1"/>
  <c r="K87" i="85"/>
  <c r="H87" i="85"/>
  <c r="L87" i="85" s="1"/>
  <c r="K86" i="85"/>
  <c r="H86" i="85"/>
  <c r="L86" i="85" s="1"/>
  <c r="K85" i="85"/>
  <c r="E85" i="85"/>
  <c r="H85" i="85" s="1"/>
  <c r="L85" i="85" s="1"/>
  <c r="K84" i="85"/>
  <c r="H84" i="85"/>
  <c r="L84" i="85" s="1"/>
  <c r="E84" i="85"/>
  <c r="K83" i="85"/>
  <c r="H83" i="85"/>
  <c r="L83" i="85" s="1"/>
  <c r="L82" i="85"/>
  <c r="K82" i="85"/>
  <c r="H82" i="85"/>
  <c r="K81" i="85"/>
  <c r="H81" i="85"/>
  <c r="L81" i="85" s="1"/>
  <c r="K80" i="85"/>
  <c r="H80" i="85"/>
  <c r="L80" i="85" s="1"/>
  <c r="L79" i="85"/>
  <c r="K79" i="85"/>
  <c r="H79" i="85"/>
  <c r="K78" i="85"/>
  <c r="H78" i="85"/>
  <c r="L78" i="85" s="1"/>
  <c r="K77" i="85"/>
  <c r="H77" i="85"/>
  <c r="L77" i="85" s="1"/>
  <c r="L76" i="85"/>
  <c r="K76" i="85"/>
  <c r="H76" i="85"/>
  <c r="E76" i="85"/>
  <c r="K75" i="85"/>
  <c r="L75" i="85" s="1"/>
  <c r="H75" i="85"/>
  <c r="K74" i="85"/>
  <c r="H74" i="85"/>
  <c r="L74" i="85" s="1"/>
  <c r="K73" i="85"/>
  <c r="L73" i="85" s="1"/>
  <c r="H73" i="85"/>
  <c r="K72" i="85"/>
  <c r="L72" i="85" s="1"/>
  <c r="H72" i="85"/>
  <c r="K71" i="85"/>
  <c r="H71" i="85"/>
  <c r="L71" i="85" s="1"/>
  <c r="K70" i="85"/>
  <c r="L70" i="85" s="1"/>
  <c r="H70" i="85"/>
  <c r="K69" i="85"/>
  <c r="L69" i="85" s="1"/>
  <c r="H69" i="85"/>
  <c r="K68" i="85"/>
  <c r="H68" i="85"/>
  <c r="L68" i="85" s="1"/>
  <c r="K67" i="85"/>
  <c r="L67" i="85" s="1"/>
  <c r="H67" i="85"/>
  <c r="K66" i="85"/>
  <c r="L66" i="85" s="1"/>
  <c r="H66" i="85"/>
  <c r="K65" i="85"/>
  <c r="H65" i="85"/>
  <c r="L65" i="85" s="1"/>
  <c r="E65" i="85"/>
  <c r="K64" i="85"/>
  <c r="E64" i="85"/>
  <c r="H64" i="85" s="1"/>
  <c r="L64" i="85" s="1"/>
  <c r="K63" i="85"/>
  <c r="H63" i="85"/>
  <c r="L63" i="85" s="1"/>
  <c r="L62" i="85"/>
  <c r="K62" i="85"/>
  <c r="H62" i="85"/>
  <c r="K61" i="85"/>
  <c r="H61" i="85"/>
  <c r="L61" i="85" s="1"/>
  <c r="K60" i="85"/>
  <c r="H60" i="85"/>
  <c r="L60" i="85" s="1"/>
  <c r="L59" i="85"/>
  <c r="K59" i="85"/>
  <c r="H59" i="85"/>
  <c r="K58" i="85"/>
  <c r="H58" i="85"/>
  <c r="L58" i="85" s="1"/>
  <c r="K57" i="85"/>
  <c r="H57" i="85"/>
  <c r="L57" i="85" s="1"/>
  <c r="L56" i="85"/>
  <c r="K56" i="85"/>
  <c r="H56" i="85"/>
  <c r="K55" i="85"/>
  <c r="L55" i="85" s="1"/>
  <c r="H55" i="85"/>
  <c r="K54" i="85"/>
  <c r="E54" i="85"/>
  <c r="H54" i="85" s="1"/>
  <c r="L54" i="85" s="1"/>
  <c r="K53" i="85"/>
  <c r="H53" i="85"/>
  <c r="L53" i="85" s="1"/>
  <c r="L52" i="85"/>
  <c r="K52" i="85"/>
  <c r="H52" i="85"/>
  <c r="E52" i="85"/>
  <c r="L51" i="85"/>
  <c r="K51" i="85"/>
  <c r="H51" i="85"/>
  <c r="K50" i="85"/>
  <c r="H50" i="85"/>
  <c r="L50" i="85" s="1"/>
  <c r="E50" i="85"/>
  <c r="K49" i="85"/>
  <c r="H49" i="85"/>
  <c r="L49" i="85" s="1"/>
  <c r="K48" i="85"/>
  <c r="E48" i="85"/>
  <c r="H48" i="85" s="1"/>
  <c r="L48" i="85" s="1"/>
  <c r="K47" i="85"/>
  <c r="E47" i="85"/>
  <c r="H47" i="85" s="1"/>
  <c r="L47" i="85" s="1"/>
  <c r="K46" i="85"/>
  <c r="L46" i="85" s="1"/>
  <c r="H46" i="85"/>
  <c r="K45" i="85"/>
  <c r="E45" i="85"/>
  <c r="H45" i="85" s="1"/>
  <c r="L45" i="85" s="1"/>
  <c r="K44" i="85"/>
  <c r="E44" i="85"/>
  <c r="H44" i="85" s="1"/>
  <c r="L44" i="85" s="1"/>
  <c r="K43" i="85"/>
  <c r="H43" i="85"/>
  <c r="L43" i="85" s="1"/>
  <c r="K42" i="85"/>
  <c r="H42" i="85"/>
  <c r="L42" i="85" s="1"/>
  <c r="L41" i="85"/>
  <c r="K41" i="85"/>
  <c r="H41" i="85"/>
  <c r="K40" i="85"/>
  <c r="H40" i="85"/>
  <c r="L40" i="85" s="1"/>
  <c r="K39" i="85"/>
  <c r="H39" i="85"/>
  <c r="L39" i="85" s="1"/>
  <c r="L38" i="85"/>
  <c r="K38" i="85"/>
  <c r="H38" i="85"/>
  <c r="K37" i="85"/>
  <c r="H37" i="85"/>
  <c r="L37" i="85" s="1"/>
  <c r="K36" i="85"/>
  <c r="H36" i="85"/>
  <c r="L36" i="85" s="1"/>
  <c r="L35" i="85"/>
  <c r="K35" i="85"/>
  <c r="H35" i="85"/>
  <c r="K34" i="85"/>
  <c r="H34" i="85"/>
  <c r="L34" i="85" s="1"/>
  <c r="K33" i="85"/>
  <c r="H33" i="85"/>
  <c r="L33" i="85" s="1"/>
  <c r="L32" i="85"/>
  <c r="K32" i="85"/>
  <c r="H32" i="85"/>
  <c r="K31" i="85"/>
  <c r="H31" i="85"/>
  <c r="L31" i="85" s="1"/>
  <c r="K30" i="85"/>
  <c r="E30" i="85"/>
  <c r="H30" i="85" s="1"/>
  <c r="L30" i="85" s="1"/>
  <c r="K29" i="85"/>
  <c r="H29" i="85"/>
  <c r="L29" i="85" s="1"/>
  <c r="K28" i="85"/>
  <c r="H28" i="85"/>
  <c r="L28" i="85" s="1"/>
  <c r="L27" i="85"/>
  <c r="H27" i="85"/>
  <c r="K26" i="85"/>
  <c r="E26" i="85"/>
  <c r="H26" i="85" s="1"/>
  <c r="L26" i="85" s="1"/>
  <c r="K25" i="85"/>
  <c r="H25" i="85"/>
  <c r="L25" i="85" s="1"/>
  <c r="L24" i="85"/>
  <c r="K24" i="85"/>
  <c r="H24" i="85"/>
  <c r="K23" i="85"/>
  <c r="H23" i="85"/>
  <c r="L23" i="85" s="1"/>
  <c r="K22" i="85"/>
  <c r="H22" i="85"/>
  <c r="L22" i="85" s="1"/>
  <c r="L21" i="85"/>
  <c r="K21" i="85"/>
  <c r="H21" i="85"/>
  <c r="K20" i="85"/>
  <c r="H20" i="85"/>
  <c r="L20" i="85" s="1"/>
  <c r="K19" i="85"/>
  <c r="H19" i="85"/>
  <c r="L19" i="85" s="1"/>
  <c r="L18" i="85"/>
  <c r="K18" i="85"/>
  <c r="H18" i="85"/>
  <c r="K17" i="85"/>
  <c r="H17" i="85"/>
  <c r="L17" i="85" s="1"/>
  <c r="K16" i="85"/>
  <c r="H16" i="85"/>
  <c r="L16" i="85" s="1"/>
  <c r="L15" i="85"/>
  <c r="K15" i="85"/>
  <c r="H15" i="85"/>
  <c r="E15" i="85"/>
  <c r="E115" i="85" s="1"/>
  <c r="K14" i="85"/>
  <c r="L14" i="85" s="1"/>
  <c r="H14" i="85"/>
  <c r="T7" i="85"/>
  <c r="T2" i="85"/>
  <c r="T10" i="85" s="1"/>
  <c r="Q2" i="85" s="1"/>
  <c r="Q10" i="85" s="1"/>
  <c r="P12" i="85" s="1"/>
  <c r="I12" i="3"/>
  <c r="I10" i="3"/>
  <c r="I9" i="3"/>
  <c r="I8" i="3"/>
  <c r="I5" i="3"/>
  <c r="P66" i="85" l="1"/>
  <c r="P111" i="85"/>
  <c r="U112" i="85"/>
  <c r="P108" i="85"/>
  <c r="P106" i="85"/>
  <c r="P37" i="85"/>
  <c r="P77" i="85"/>
  <c r="P28" i="85"/>
  <c r="P68" i="85"/>
  <c r="P65" i="85"/>
  <c r="P24" i="85"/>
  <c r="N85" i="85"/>
  <c r="P85" i="85" s="1"/>
  <c r="N30" i="85"/>
  <c r="P30" i="85" s="1"/>
  <c r="N60" i="85"/>
  <c r="P60" i="85" s="1"/>
  <c r="N36" i="85"/>
  <c r="P36" i="85" s="1"/>
  <c r="N20" i="85"/>
  <c r="P20" i="85" s="1"/>
  <c r="N92" i="85"/>
  <c r="P92" i="85" s="1"/>
  <c r="Q119" i="85"/>
  <c r="N91" i="85"/>
  <c r="P91" i="85" s="1"/>
  <c r="N86" i="85"/>
  <c r="P86" i="85" s="1"/>
  <c r="N51" i="85"/>
  <c r="P51" i="85" s="1"/>
  <c r="Q51" i="85" s="1"/>
  <c r="N54" i="85"/>
  <c r="P54" i="85" s="1"/>
  <c r="N25" i="85"/>
  <c r="P25" i="85" s="1"/>
  <c r="N68" i="85"/>
  <c r="N96" i="85"/>
  <c r="P96" i="85" s="1"/>
  <c r="N46" i="85"/>
  <c r="P46" i="85" s="1"/>
  <c r="N93" i="85"/>
  <c r="P93" i="85" s="1"/>
  <c r="N108" i="85"/>
  <c r="N16" i="85"/>
  <c r="P16" i="85" s="1"/>
  <c r="N83" i="85"/>
  <c r="P83" i="85" s="1"/>
  <c r="N97" i="85"/>
  <c r="P97" i="85" s="1"/>
  <c r="N109" i="85"/>
  <c r="P109" i="85" s="1"/>
  <c r="N41" i="85"/>
  <c r="P41" i="85" s="1"/>
  <c r="N18" i="85"/>
  <c r="P18" i="85" s="1"/>
  <c r="N27" i="85"/>
  <c r="P27" i="85" s="1"/>
  <c r="N44" i="85"/>
  <c r="P44" i="85" s="1"/>
  <c r="N52" i="85"/>
  <c r="P52" i="85" s="1"/>
  <c r="N76" i="85"/>
  <c r="P76" i="85" s="1"/>
  <c r="N77" i="85"/>
  <c r="N59" i="85"/>
  <c r="P59" i="85" s="1"/>
  <c r="N65" i="85"/>
  <c r="N70" i="85"/>
  <c r="P70" i="85" s="1"/>
  <c r="N75" i="85"/>
  <c r="P75" i="85" s="1"/>
  <c r="N99" i="85"/>
  <c r="P99" i="85" s="1"/>
  <c r="N111" i="85"/>
  <c r="N15" i="85"/>
  <c r="P15" i="85" s="1"/>
  <c r="N38" i="85"/>
  <c r="P38" i="85" s="1"/>
  <c r="N73" i="85"/>
  <c r="P73" i="85" s="1"/>
  <c r="N94" i="85"/>
  <c r="P94" i="85" s="1"/>
  <c r="N31" i="85"/>
  <c r="P31" i="85" s="1"/>
  <c r="N43" i="85"/>
  <c r="P43" i="85" s="1"/>
  <c r="N74" i="85"/>
  <c r="P74" i="85" s="1"/>
  <c r="N28" i="85"/>
  <c r="N84" i="85"/>
  <c r="P84" i="85" s="1"/>
  <c r="N100" i="85"/>
  <c r="P100" i="85" s="1"/>
  <c r="N112" i="85"/>
  <c r="P112" i="85" s="1"/>
  <c r="N29" i="85"/>
  <c r="P29" i="85" s="1"/>
  <c r="N62" i="85"/>
  <c r="P62" i="85" s="1"/>
  <c r="N55" i="85"/>
  <c r="P55" i="85" s="1"/>
  <c r="Q55" i="85" s="1"/>
  <c r="N22" i="85"/>
  <c r="P22" i="85" s="1"/>
  <c r="N106" i="85"/>
  <c r="Q118" i="85"/>
  <c r="L115" i="85"/>
  <c r="N23" i="85" s="1"/>
  <c r="P23" i="85" s="1"/>
  <c r="N24" i="85"/>
  <c r="N37" i="85"/>
  <c r="N50" i="85"/>
  <c r="P50" i="85" s="1"/>
  <c r="N58" i="85"/>
  <c r="P58" i="85" s="1"/>
  <c r="N71" i="85"/>
  <c r="P71" i="85" s="1"/>
  <c r="N80" i="85"/>
  <c r="P80" i="85" s="1"/>
  <c r="N113" i="85"/>
  <c r="P113" i="85" s="1"/>
  <c r="N66" i="85"/>
  <c r="Q5" i="84"/>
  <c r="X115" i="84"/>
  <c r="H113" i="84"/>
  <c r="L113" i="84" s="1"/>
  <c r="L112" i="84"/>
  <c r="H112" i="84"/>
  <c r="H111" i="84"/>
  <c r="L111" i="84" s="1"/>
  <c r="L110" i="84"/>
  <c r="H110" i="84"/>
  <c r="H109" i="84"/>
  <c r="L109" i="84" s="1"/>
  <c r="L108" i="84"/>
  <c r="H108" i="84"/>
  <c r="H107" i="84"/>
  <c r="L107" i="84" s="1"/>
  <c r="L106" i="84"/>
  <c r="H106" i="84"/>
  <c r="H105" i="84"/>
  <c r="L105" i="84" s="1"/>
  <c r="L104" i="84"/>
  <c r="H104" i="84"/>
  <c r="H103" i="84"/>
  <c r="L103" i="84" s="1"/>
  <c r="L102" i="84"/>
  <c r="H102" i="84"/>
  <c r="H101" i="84"/>
  <c r="L101" i="84" s="1"/>
  <c r="L100" i="84"/>
  <c r="H100" i="84"/>
  <c r="H99" i="84"/>
  <c r="L99" i="84" s="1"/>
  <c r="L98" i="84"/>
  <c r="H98" i="84"/>
  <c r="H97" i="84"/>
  <c r="L97" i="84" s="1"/>
  <c r="L96" i="84"/>
  <c r="H96" i="84"/>
  <c r="H95" i="84"/>
  <c r="L95" i="84" s="1"/>
  <c r="L94" i="84"/>
  <c r="H94" i="84"/>
  <c r="H93" i="84"/>
  <c r="L93" i="84" s="1"/>
  <c r="L92" i="84"/>
  <c r="H92" i="84"/>
  <c r="H91" i="84"/>
  <c r="L91" i="84" s="1"/>
  <c r="L89" i="84"/>
  <c r="K89" i="84"/>
  <c r="H89" i="84"/>
  <c r="K88" i="84"/>
  <c r="H88" i="84"/>
  <c r="L88" i="84" s="1"/>
  <c r="K87" i="84"/>
  <c r="H87" i="84"/>
  <c r="L87" i="84" s="1"/>
  <c r="L86" i="84"/>
  <c r="K86" i="84"/>
  <c r="H86" i="84"/>
  <c r="K85" i="84"/>
  <c r="H85" i="84"/>
  <c r="L85" i="84" s="1"/>
  <c r="E85" i="84"/>
  <c r="K84" i="84"/>
  <c r="E84" i="84"/>
  <c r="H84" i="84" s="1"/>
  <c r="L84" i="84" s="1"/>
  <c r="L83" i="84"/>
  <c r="K83" i="84"/>
  <c r="H83" i="84"/>
  <c r="L82" i="84"/>
  <c r="K82" i="84"/>
  <c r="H82" i="84"/>
  <c r="K81" i="84"/>
  <c r="H81" i="84"/>
  <c r="L81" i="84" s="1"/>
  <c r="L80" i="84"/>
  <c r="K80" i="84"/>
  <c r="H80" i="84"/>
  <c r="K79" i="84"/>
  <c r="L79" i="84" s="1"/>
  <c r="H79" i="84"/>
  <c r="K78" i="84"/>
  <c r="H78" i="84"/>
  <c r="L78" i="84" s="1"/>
  <c r="L77" i="84"/>
  <c r="K77" i="84"/>
  <c r="H77" i="84"/>
  <c r="K76" i="84"/>
  <c r="L76" i="84" s="1"/>
  <c r="H76" i="84"/>
  <c r="E76" i="84"/>
  <c r="K75" i="84"/>
  <c r="H75" i="84"/>
  <c r="L75" i="84" s="1"/>
  <c r="K74" i="84"/>
  <c r="H74" i="84"/>
  <c r="L74" i="84" s="1"/>
  <c r="L73" i="84"/>
  <c r="K73" i="84"/>
  <c r="H73" i="84"/>
  <c r="K72" i="84"/>
  <c r="L72" i="84" s="1"/>
  <c r="H72" i="84"/>
  <c r="K71" i="84"/>
  <c r="H71" i="84"/>
  <c r="L71" i="84" s="1"/>
  <c r="L70" i="84"/>
  <c r="K70" i="84"/>
  <c r="H70" i="84"/>
  <c r="L69" i="84"/>
  <c r="K69" i="84"/>
  <c r="H69" i="84"/>
  <c r="K68" i="84"/>
  <c r="H68" i="84"/>
  <c r="L68" i="84" s="1"/>
  <c r="L67" i="84"/>
  <c r="K67" i="84"/>
  <c r="H67" i="84"/>
  <c r="K66" i="84"/>
  <c r="H66" i="84"/>
  <c r="L66" i="84" s="1"/>
  <c r="K65" i="84"/>
  <c r="E65" i="84"/>
  <c r="H65" i="84" s="1"/>
  <c r="L65" i="84" s="1"/>
  <c r="K64" i="84"/>
  <c r="L64" i="84" s="1"/>
  <c r="H64" i="84"/>
  <c r="E64" i="84"/>
  <c r="K63" i="84"/>
  <c r="H63" i="84"/>
  <c r="L63" i="84" s="1"/>
  <c r="K62" i="84"/>
  <c r="H62" i="84"/>
  <c r="L62" i="84" s="1"/>
  <c r="L61" i="84"/>
  <c r="K61" i="84"/>
  <c r="H61" i="84"/>
  <c r="K60" i="84"/>
  <c r="H60" i="84"/>
  <c r="L60" i="84" s="1"/>
  <c r="K59" i="84"/>
  <c r="H59" i="84"/>
  <c r="L59" i="84" s="1"/>
  <c r="L58" i="84"/>
  <c r="K58" i="84"/>
  <c r="H58" i="84"/>
  <c r="L57" i="84"/>
  <c r="K57" i="84"/>
  <c r="H57" i="84"/>
  <c r="K56" i="84"/>
  <c r="H56" i="84"/>
  <c r="L56" i="84" s="1"/>
  <c r="L55" i="84"/>
  <c r="K55" i="84"/>
  <c r="H55" i="84"/>
  <c r="K54" i="84"/>
  <c r="L54" i="84" s="1"/>
  <c r="H54" i="84"/>
  <c r="E54" i="84"/>
  <c r="L53" i="84"/>
  <c r="K53" i="84"/>
  <c r="H53" i="84"/>
  <c r="K52" i="84"/>
  <c r="E52" i="84"/>
  <c r="H52" i="84" s="1"/>
  <c r="L52" i="84" s="1"/>
  <c r="K51" i="84"/>
  <c r="H51" i="84"/>
  <c r="L51" i="84" s="1"/>
  <c r="L50" i="84"/>
  <c r="K50" i="84"/>
  <c r="H50" i="84"/>
  <c r="E50" i="84"/>
  <c r="L49" i="84"/>
  <c r="K49" i="84"/>
  <c r="H49" i="84"/>
  <c r="K48" i="84"/>
  <c r="E48" i="84"/>
  <c r="H48" i="84" s="1"/>
  <c r="L48" i="84" s="1"/>
  <c r="K47" i="84"/>
  <c r="E47" i="84"/>
  <c r="H47" i="84" s="1"/>
  <c r="L47" i="84" s="1"/>
  <c r="L46" i="84"/>
  <c r="K46" i="84"/>
  <c r="H46" i="84"/>
  <c r="K45" i="84"/>
  <c r="E45" i="84"/>
  <c r="H45" i="84" s="1"/>
  <c r="L45" i="84" s="1"/>
  <c r="K44" i="84"/>
  <c r="E44" i="84"/>
  <c r="H44" i="84" s="1"/>
  <c r="L44" i="84" s="1"/>
  <c r="L43" i="84"/>
  <c r="K43" i="84"/>
  <c r="H43" i="84"/>
  <c r="K42" i="84"/>
  <c r="L42" i="84" s="1"/>
  <c r="H42" i="84"/>
  <c r="K41" i="84"/>
  <c r="H41" i="84"/>
  <c r="L41" i="84" s="1"/>
  <c r="L40" i="84"/>
  <c r="K40" i="84"/>
  <c r="H40" i="84"/>
  <c r="L39" i="84"/>
  <c r="K39" i="84"/>
  <c r="H39" i="84"/>
  <c r="K38" i="84"/>
  <c r="H38" i="84"/>
  <c r="L38" i="84" s="1"/>
  <c r="L37" i="84"/>
  <c r="K37" i="84"/>
  <c r="H37" i="84"/>
  <c r="K36" i="84"/>
  <c r="H36" i="84"/>
  <c r="L36" i="84" s="1"/>
  <c r="K35" i="84"/>
  <c r="H35" i="84"/>
  <c r="L35" i="84" s="1"/>
  <c r="L34" i="84"/>
  <c r="K34" i="84"/>
  <c r="H34" i="84"/>
  <c r="K33" i="84"/>
  <c r="H33" i="84"/>
  <c r="L33" i="84" s="1"/>
  <c r="K32" i="84"/>
  <c r="H32" i="84"/>
  <c r="L32" i="84" s="1"/>
  <c r="L31" i="84"/>
  <c r="K31" i="84"/>
  <c r="H31" i="84"/>
  <c r="K30" i="84"/>
  <c r="H30" i="84"/>
  <c r="L30" i="84" s="1"/>
  <c r="E30" i="84"/>
  <c r="K29" i="84"/>
  <c r="H29" i="84"/>
  <c r="L29" i="84" s="1"/>
  <c r="L28" i="84"/>
  <c r="K28" i="84"/>
  <c r="H28" i="84"/>
  <c r="H27" i="84"/>
  <c r="L27" i="84" s="1"/>
  <c r="K26" i="84"/>
  <c r="H26" i="84"/>
  <c r="L26" i="84" s="1"/>
  <c r="E26" i="84"/>
  <c r="L25" i="84"/>
  <c r="K25" i="84"/>
  <c r="H25" i="84"/>
  <c r="L24" i="84"/>
  <c r="K24" i="84"/>
  <c r="H24" i="84"/>
  <c r="K23" i="84"/>
  <c r="H23" i="84"/>
  <c r="L23" i="84" s="1"/>
  <c r="L22" i="84"/>
  <c r="K22" i="84"/>
  <c r="H22" i="84"/>
  <c r="K21" i="84"/>
  <c r="L21" i="84" s="1"/>
  <c r="H21" i="84"/>
  <c r="K20" i="84"/>
  <c r="H20" i="84"/>
  <c r="L20" i="84" s="1"/>
  <c r="L19" i="84"/>
  <c r="K19" i="84"/>
  <c r="H19" i="84"/>
  <c r="K18" i="84"/>
  <c r="L18" i="84" s="1"/>
  <c r="H18" i="84"/>
  <c r="K17" i="84"/>
  <c r="H17" i="84"/>
  <c r="L17" i="84" s="1"/>
  <c r="L16" i="84"/>
  <c r="K16" i="84"/>
  <c r="H16" i="84"/>
  <c r="K15" i="84"/>
  <c r="E15" i="84"/>
  <c r="K14" i="84"/>
  <c r="H14" i="84"/>
  <c r="L14" i="84" s="1"/>
  <c r="T10" i="84"/>
  <c r="Q2" i="84" s="1"/>
  <c r="T7" i="84"/>
  <c r="T2" i="84"/>
  <c r="V113" i="85" l="1"/>
  <c r="Q113" i="85"/>
  <c r="V112" i="85"/>
  <c r="Q112" i="85"/>
  <c r="R112" i="85"/>
  <c r="V100" i="85"/>
  <c r="Q100" i="85"/>
  <c r="Y22" i="85"/>
  <c r="V22" i="85"/>
  <c r="Q22" i="85"/>
  <c r="Y73" i="85"/>
  <c r="V73" i="85"/>
  <c r="Q73" i="85"/>
  <c r="Y44" i="85"/>
  <c r="V44" i="85"/>
  <c r="Q44" i="85"/>
  <c r="Y85" i="85"/>
  <c r="V85" i="85"/>
  <c r="Q85" i="85"/>
  <c r="Y38" i="85"/>
  <c r="V38" i="85"/>
  <c r="Q38" i="85"/>
  <c r="V27" i="85"/>
  <c r="Q27" i="85"/>
  <c r="Y27" i="85"/>
  <c r="Y25" i="85"/>
  <c r="V25" i="85"/>
  <c r="Q25" i="85"/>
  <c r="V15" i="85"/>
  <c r="Q15" i="85"/>
  <c r="Y15" i="85"/>
  <c r="V18" i="85"/>
  <c r="Q18" i="85"/>
  <c r="Y18" i="85"/>
  <c r="Q54" i="85"/>
  <c r="V54" i="85"/>
  <c r="Y54" i="85"/>
  <c r="Y80" i="85"/>
  <c r="V80" i="85"/>
  <c r="Q80" i="85"/>
  <c r="Q29" i="85"/>
  <c r="Y29" i="85"/>
  <c r="V29" i="85"/>
  <c r="Y41" i="85"/>
  <c r="V41" i="85"/>
  <c r="Q41" i="85"/>
  <c r="Y71" i="85"/>
  <c r="V71" i="85"/>
  <c r="Q71" i="85"/>
  <c r="V109" i="85"/>
  <c r="Q109" i="85"/>
  <c r="V97" i="85"/>
  <c r="Q97" i="85"/>
  <c r="Y84" i="85"/>
  <c r="V84" i="85"/>
  <c r="Q84" i="85"/>
  <c r="V83" i="85"/>
  <c r="Q83" i="85"/>
  <c r="V92" i="85"/>
  <c r="Q92" i="85"/>
  <c r="V99" i="85"/>
  <c r="Q99" i="85"/>
  <c r="Q75" i="85"/>
  <c r="V75" i="85"/>
  <c r="Y75" i="85"/>
  <c r="V50" i="85"/>
  <c r="Q50" i="85"/>
  <c r="Y50" i="85"/>
  <c r="Y70" i="85"/>
  <c r="V70" i="85"/>
  <c r="Q70" i="85"/>
  <c r="Y16" i="85"/>
  <c r="Q16" i="85"/>
  <c r="V16" i="85"/>
  <c r="Y74" i="85"/>
  <c r="V74" i="85"/>
  <c r="Q74" i="85"/>
  <c r="Y59" i="85"/>
  <c r="V59" i="85"/>
  <c r="Q59" i="85"/>
  <c r="Y20" i="85"/>
  <c r="V20" i="85"/>
  <c r="Q20" i="85"/>
  <c r="V86" i="85"/>
  <c r="Q86" i="85"/>
  <c r="Y86" i="85"/>
  <c r="V58" i="85"/>
  <c r="Q58" i="85"/>
  <c r="Y58" i="85"/>
  <c r="Q23" i="85"/>
  <c r="Y23" i="85"/>
  <c r="V23" i="85"/>
  <c r="V43" i="85"/>
  <c r="Q43" i="85"/>
  <c r="Y43" i="85"/>
  <c r="V93" i="85"/>
  <c r="Q93" i="85"/>
  <c r="Y36" i="85"/>
  <c r="V36" i="85"/>
  <c r="Q36" i="85"/>
  <c r="V31" i="85"/>
  <c r="Q31" i="85"/>
  <c r="Y31" i="85"/>
  <c r="Y76" i="85"/>
  <c r="V76" i="85"/>
  <c r="Q76" i="85"/>
  <c r="Y46" i="85"/>
  <c r="V46" i="85"/>
  <c r="Q46" i="85"/>
  <c r="Y60" i="85"/>
  <c r="Q60" i="85"/>
  <c r="V60" i="85"/>
  <c r="Y62" i="85"/>
  <c r="V62" i="85"/>
  <c r="Q62" i="85"/>
  <c r="V91" i="85"/>
  <c r="Q91" i="85"/>
  <c r="V94" i="85"/>
  <c r="Q94" i="85"/>
  <c r="V52" i="85"/>
  <c r="Q52" i="85"/>
  <c r="Y52" i="85"/>
  <c r="V96" i="85"/>
  <c r="Q96" i="85"/>
  <c r="Y30" i="85"/>
  <c r="Q30" i="85"/>
  <c r="V30" i="85"/>
  <c r="Y28" i="85"/>
  <c r="V28" i="85"/>
  <c r="Q28" i="85"/>
  <c r="Y65" i="85"/>
  <c r="V65" i="85"/>
  <c r="Q65" i="85"/>
  <c r="N104" i="85"/>
  <c r="P104" i="85" s="1"/>
  <c r="Y68" i="85"/>
  <c r="V68" i="85"/>
  <c r="Q68" i="85"/>
  <c r="N63" i="85"/>
  <c r="P63" i="85" s="1"/>
  <c r="N33" i="85"/>
  <c r="P33" i="85" s="1"/>
  <c r="N88" i="85"/>
  <c r="P88" i="85" s="1"/>
  <c r="N57" i="85"/>
  <c r="P57" i="85" s="1"/>
  <c r="N49" i="85"/>
  <c r="P49" i="85" s="1"/>
  <c r="N17" i="85"/>
  <c r="P17" i="85" s="1"/>
  <c r="N53" i="85"/>
  <c r="P53" i="85" s="1"/>
  <c r="Q53" i="85" s="1"/>
  <c r="N47" i="85"/>
  <c r="P47" i="85" s="1"/>
  <c r="N110" i="85"/>
  <c r="P110" i="85" s="1"/>
  <c r="N69" i="85"/>
  <c r="P69" i="85" s="1"/>
  <c r="N107" i="85"/>
  <c r="P107" i="85" s="1"/>
  <c r="N72" i="85"/>
  <c r="P72" i="85" s="1"/>
  <c r="N39" i="85"/>
  <c r="P39" i="85" s="1"/>
  <c r="Q66" i="85"/>
  <c r="V66" i="85"/>
  <c r="Y66" i="85"/>
  <c r="N102" i="85"/>
  <c r="P102" i="85" s="1"/>
  <c r="N14" i="85"/>
  <c r="N45" i="85"/>
  <c r="P45" i="85" s="1"/>
  <c r="N103" i="85"/>
  <c r="P103" i="85" s="1"/>
  <c r="N98" i="85"/>
  <c r="P98" i="85" s="1"/>
  <c r="N56" i="85"/>
  <c r="P56" i="85" s="1"/>
  <c r="N95" i="85"/>
  <c r="P95" i="85" s="1"/>
  <c r="N67" i="85"/>
  <c r="P67" i="85" s="1"/>
  <c r="V111" i="85"/>
  <c r="Q111" i="85"/>
  <c r="V108" i="85"/>
  <c r="Q108" i="85"/>
  <c r="N89" i="85"/>
  <c r="P89" i="85" s="1"/>
  <c r="Q120" i="85"/>
  <c r="S120" i="85" s="1"/>
  <c r="N32" i="85"/>
  <c r="P32" i="85" s="1"/>
  <c r="N21" i="85"/>
  <c r="P21" i="85" s="1"/>
  <c r="N61" i="85"/>
  <c r="P61" i="85" s="1"/>
  <c r="N35" i="85"/>
  <c r="P35" i="85" s="1"/>
  <c r="N82" i="85"/>
  <c r="P82" i="85" s="1"/>
  <c r="N34" i="85"/>
  <c r="P34" i="85" s="1"/>
  <c r="V37" i="85"/>
  <c r="Q37" i="85"/>
  <c r="Y37" i="85"/>
  <c r="N78" i="85"/>
  <c r="P78" i="85" s="1"/>
  <c r="N81" i="85"/>
  <c r="P81" i="85" s="1"/>
  <c r="V106" i="85"/>
  <c r="Q106" i="85"/>
  <c r="Y77" i="85"/>
  <c r="V77" i="85"/>
  <c r="Q77" i="85"/>
  <c r="N64" i="85"/>
  <c r="P64" i="85" s="1"/>
  <c r="N42" i="85"/>
  <c r="P42" i="85" s="1"/>
  <c r="V24" i="85"/>
  <c r="Q24" i="85"/>
  <c r="Y24" i="85"/>
  <c r="N101" i="85"/>
  <c r="P101" i="85" s="1"/>
  <c r="N105" i="85"/>
  <c r="P105" i="85" s="1"/>
  <c r="N19" i="85"/>
  <c r="P19" i="85" s="1"/>
  <c r="N79" i="85"/>
  <c r="P79" i="85" s="1"/>
  <c r="N40" i="85"/>
  <c r="P40" i="85" s="1"/>
  <c r="N87" i="85"/>
  <c r="P87" i="85" s="1"/>
  <c r="N48" i="85"/>
  <c r="P48" i="85" s="1"/>
  <c r="N26" i="85"/>
  <c r="P26" i="85" s="1"/>
  <c r="Q10" i="84"/>
  <c r="P12" i="84" s="1"/>
  <c r="U112" i="84" s="1"/>
  <c r="Q119" i="84"/>
  <c r="Q118" i="84"/>
  <c r="Q120" i="84" s="1"/>
  <c r="S120" i="84" s="1"/>
  <c r="E115" i="84"/>
  <c r="H15" i="84"/>
  <c r="L15" i="84" s="1"/>
  <c r="Y81" i="85" l="1"/>
  <c r="V81" i="85"/>
  <c r="Q81" i="85"/>
  <c r="Y78" i="85"/>
  <c r="V78" i="85"/>
  <c r="Q78" i="85"/>
  <c r="Y57" i="85"/>
  <c r="V57" i="85"/>
  <c r="Q57" i="85"/>
  <c r="V88" i="85"/>
  <c r="Q88" i="85"/>
  <c r="V105" i="85"/>
  <c r="Q105" i="85"/>
  <c r="Y33" i="85"/>
  <c r="Q33" i="85"/>
  <c r="V33" i="85"/>
  <c r="Q45" i="85"/>
  <c r="Y45" i="85"/>
  <c r="V45" i="85"/>
  <c r="Y19" i="85"/>
  <c r="V19" i="85"/>
  <c r="Q19" i="85"/>
  <c r="Y89" i="85"/>
  <c r="V89" i="85"/>
  <c r="Q89" i="85"/>
  <c r="Y63" i="85"/>
  <c r="Q63" i="85"/>
  <c r="V63" i="85"/>
  <c r="Y39" i="85"/>
  <c r="Q39" i="85"/>
  <c r="V39" i="85"/>
  <c r="Y42" i="85"/>
  <c r="Q42" i="85"/>
  <c r="V42" i="85"/>
  <c r="V34" i="85"/>
  <c r="Q34" i="85"/>
  <c r="Y34" i="85"/>
  <c r="Y67" i="85"/>
  <c r="V67" i="85"/>
  <c r="Q67" i="85"/>
  <c r="Q72" i="85"/>
  <c r="V72" i="85"/>
  <c r="Y72" i="85"/>
  <c r="Y17" i="85"/>
  <c r="V17" i="85"/>
  <c r="Q17" i="85"/>
  <c r="Y26" i="85"/>
  <c r="V26" i="85"/>
  <c r="Q26" i="85"/>
  <c r="Y64" i="85"/>
  <c r="Q64" i="85"/>
  <c r="V64" i="85"/>
  <c r="Y82" i="85"/>
  <c r="V82" i="85"/>
  <c r="Q82" i="85"/>
  <c r="V95" i="85"/>
  <c r="Q95" i="85"/>
  <c r="V107" i="85"/>
  <c r="Q107" i="85"/>
  <c r="Q49" i="85"/>
  <c r="V49" i="85"/>
  <c r="V101" i="85"/>
  <c r="Q101" i="85"/>
  <c r="Y48" i="85"/>
  <c r="V48" i="85"/>
  <c r="Q48" i="85"/>
  <c r="Y35" i="85"/>
  <c r="V35" i="85"/>
  <c r="Q35" i="85"/>
  <c r="Y56" i="85"/>
  <c r="V56" i="85"/>
  <c r="Q56" i="85"/>
  <c r="Q69" i="85"/>
  <c r="V69" i="85"/>
  <c r="Y69" i="85"/>
  <c r="Y79" i="85"/>
  <c r="V79" i="85"/>
  <c r="Q79" i="85"/>
  <c r="N115" i="85"/>
  <c r="P14" i="85"/>
  <c r="V110" i="85"/>
  <c r="Q110" i="85"/>
  <c r="Y32" i="85"/>
  <c r="V32" i="85"/>
  <c r="Q32" i="85"/>
  <c r="V102" i="85"/>
  <c r="Q102" i="85"/>
  <c r="Y87" i="85"/>
  <c r="V87" i="85"/>
  <c r="Q87" i="85"/>
  <c r="V61" i="85"/>
  <c r="Q61" i="85"/>
  <c r="Y61" i="85"/>
  <c r="V98" i="85"/>
  <c r="Q98" i="85"/>
  <c r="V104" i="85"/>
  <c r="Q104" i="85"/>
  <c r="V40" i="85"/>
  <c r="Q40" i="85"/>
  <c r="Y40" i="85"/>
  <c r="V21" i="85"/>
  <c r="Q21" i="85"/>
  <c r="Y21" i="85"/>
  <c r="V103" i="85"/>
  <c r="Q103" i="85"/>
  <c r="Y47" i="85"/>
  <c r="V47" i="85"/>
  <c r="Q47" i="85"/>
  <c r="L115" i="84"/>
  <c r="Q14" i="85" l="1"/>
  <c r="P115" i="85"/>
  <c r="V14" i="85"/>
  <c r="Y14" i="85"/>
  <c r="Y115" i="85" s="1"/>
  <c r="N112" i="84"/>
  <c r="P112" i="84" s="1"/>
  <c r="N110" i="84"/>
  <c r="P110" i="84" s="1"/>
  <c r="N108" i="84"/>
  <c r="P108" i="84" s="1"/>
  <c r="N106" i="84"/>
  <c r="P106" i="84" s="1"/>
  <c r="N104" i="84"/>
  <c r="P104" i="84" s="1"/>
  <c r="N98" i="84"/>
  <c r="P98" i="84" s="1"/>
  <c r="N96" i="84"/>
  <c r="P96" i="84" s="1"/>
  <c r="N92" i="84"/>
  <c r="P92" i="84" s="1"/>
  <c r="N89" i="84"/>
  <c r="P89" i="84" s="1"/>
  <c r="N83" i="84"/>
  <c r="P83" i="84" s="1"/>
  <c r="N80" i="84"/>
  <c r="P80" i="84" s="1"/>
  <c r="N77" i="84"/>
  <c r="P77" i="84" s="1"/>
  <c r="N53" i="84"/>
  <c r="P53" i="84" s="1"/>
  <c r="Q53" i="84" s="1"/>
  <c r="N28" i="84"/>
  <c r="P28" i="84" s="1"/>
  <c r="N25" i="84"/>
  <c r="P25" i="84" s="1"/>
  <c r="N22" i="84"/>
  <c r="P22" i="84" s="1"/>
  <c r="N19" i="84"/>
  <c r="P19" i="84" s="1"/>
  <c r="N16" i="84"/>
  <c r="P16" i="84" s="1"/>
  <c r="N82" i="84"/>
  <c r="P82" i="84" s="1"/>
  <c r="N39" i="84"/>
  <c r="P39" i="84" s="1"/>
  <c r="N49" i="84"/>
  <c r="P49" i="84" s="1"/>
  <c r="N55" i="84"/>
  <c r="P55" i="84" s="1"/>
  <c r="Q55" i="84" s="1"/>
  <c r="N64" i="84"/>
  <c r="P64" i="84" s="1"/>
  <c r="N78" i="84"/>
  <c r="P78" i="84" s="1"/>
  <c r="N68" i="84"/>
  <c r="P68" i="84" s="1"/>
  <c r="N62" i="84"/>
  <c r="P62" i="84" s="1"/>
  <c r="N44" i="84"/>
  <c r="P44" i="84" s="1"/>
  <c r="N73" i="84"/>
  <c r="P73" i="84" s="1"/>
  <c r="N87" i="84"/>
  <c r="P87" i="84" s="1"/>
  <c r="N74" i="84"/>
  <c r="P74" i="84" s="1"/>
  <c r="N100" i="84"/>
  <c r="P100" i="84" s="1"/>
  <c r="N21" i="84"/>
  <c r="P21" i="84" s="1"/>
  <c r="N72" i="84"/>
  <c r="P72" i="84" s="1"/>
  <c r="N94" i="84"/>
  <c r="P94" i="84" s="1"/>
  <c r="N58" i="84"/>
  <c r="P58" i="84" s="1"/>
  <c r="N91" i="84"/>
  <c r="P91" i="84" s="1"/>
  <c r="N99" i="84"/>
  <c r="P99" i="84" s="1"/>
  <c r="N20" i="84"/>
  <c r="P20" i="84" s="1"/>
  <c r="N46" i="84"/>
  <c r="P46" i="84" s="1"/>
  <c r="N111" i="84"/>
  <c r="P111" i="84" s="1"/>
  <c r="N43" i="84"/>
  <c r="P43" i="84" s="1"/>
  <c r="N66" i="84"/>
  <c r="P66" i="84" s="1"/>
  <c r="N31" i="84"/>
  <c r="P31" i="84" s="1"/>
  <c r="N85" i="84"/>
  <c r="P85" i="84" s="1"/>
  <c r="N17" i="84"/>
  <c r="P17" i="84" s="1"/>
  <c r="N51" i="84"/>
  <c r="P51" i="84" s="1"/>
  <c r="Q51" i="84" s="1"/>
  <c r="N14" i="84"/>
  <c r="N50" i="84"/>
  <c r="P50" i="84" s="1"/>
  <c r="N59" i="84"/>
  <c r="P59" i="84" s="1"/>
  <c r="N70" i="84"/>
  <c r="P70" i="84" s="1"/>
  <c r="N57" i="84"/>
  <c r="P57" i="84" s="1"/>
  <c r="N84" i="84"/>
  <c r="P84" i="84" s="1"/>
  <c r="N71" i="84"/>
  <c r="P71" i="84" s="1"/>
  <c r="N38" i="84"/>
  <c r="P38" i="84" s="1"/>
  <c r="N95" i="84"/>
  <c r="P95" i="84" s="1"/>
  <c r="N69" i="84"/>
  <c r="P69" i="84" s="1"/>
  <c r="N42" i="84"/>
  <c r="P42" i="84" s="1"/>
  <c r="N67" i="84"/>
  <c r="P67" i="84" s="1"/>
  <c r="N60" i="84"/>
  <c r="P60" i="84" s="1"/>
  <c r="N97" i="84"/>
  <c r="P97" i="84" s="1"/>
  <c r="N81" i="84"/>
  <c r="P81" i="84" s="1"/>
  <c r="N103" i="84"/>
  <c r="P103" i="84" s="1"/>
  <c r="N33" i="84"/>
  <c r="P33" i="84" s="1"/>
  <c r="N24" i="84"/>
  <c r="P24" i="84" s="1"/>
  <c r="N75" i="84"/>
  <c r="P75" i="84" s="1"/>
  <c r="N105" i="84"/>
  <c r="P105" i="84" s="1"/>
  <c r="N86" i="84"/>
  <c r="P86" i="84" s="1"/>
  <c r="N37" i="84"/>
  <c r="P37" i="84" s="1"/>
  <c r="N63" i="84"/>
  <c r="P63" i="84" s="1"/>
  <c r="N30" i="84"/>
  <c r="P30" i="84" s="1"/>
  <c r="N76" i="84"/>
  <c r="P76" i="84" s="1"/>
  <c r="N34" i="84"/>
  <c r="P34" i="84" s="1"/>
  <c r="N41" i="84"/>
  <c r="P41" i="84" s="1"/>
  <c r="N93" i="84"/>
  <c r="P93" i="84" s="1"/>
  <c r="N32" i="84"/>
  <c r="P32" i="84" s="1"/>
  <c r="N27" i="84"/>
  <c r="P27" i="84" s="1"/>
  <c r="N29" i="84"/>
  <c r="P29" i="84" s="1"/>
  <c r="N109" i="84"/>
  <c r="P109" i="84" s="1"/>
  <c r="N47" i="84"/>
  <c r="P47" i="84" s="1"/>
  <c r="N79" i="84"/>
  <c r="P79" i="84" s="1"/>
  <c r="N56" i="84"/>
  <c r="P56" i="84" s="1"/>
  <c r="N18" i="84"/>
  <c r="P18" i="84" s="1"/>
  <c r="N88" i="84"/>
  <c r="P88" i="84" s="1"/>
  <c r="N107" i="84"/>
  <c r="P107" i="84" s="1"/>
  <c r="N113" i="84"/>
  <c r="P113" i="84" s="1"/>
  <c r="N48" i="84"/>
  <c r="P48" i="84" s="1"/>
  <c r="N54" i="84"/>
  <c r="P54" i="84" s="1"/>
  <c r="N65" i="84"/>
  <c r="P65" i="84" s="1"/>
  <c r="N61" i="84"/>
  <c r="P61" i="84" s="1"/>
  <c r="N23" i="84"/>
  <c r="P23" i="84" s="1"/>
  <c r="N45" i="84"/>
  <c r="P45" i="84" s="1"/>
  <c r="N102" i="84"/>
  <c r="P102" i="84" s="1"/>
  <c r="N35" i="84"/>
  <c r="P35" i="84" s="1"/>
  <c r="N101" i="84"/>
  <c r="P101" i="84" s="1"/>
  <c r="N52" i="84"/>
  <c r="P52" i="84" s="1"/>
  <c r="N36" i="84"/>
  <c r="P36" i="84" s="1"/>
  <c r="N40" i="84"/>
  <c r="P40" i="84" s="1"/>
  <c r="N26" i="84"/>
  <c r="P26" i="84" s="1"/>
  <c r="N15" i="84"/>
  <c r="P15" i="84" s="1"/>
  <c r="Y34" i="84" l="1"/>
  <c r="Q34" i="84"/>
  <c r="V34" i="84"/>
  <c r="V91" i="84"/>
  <c r="Q91" i="84"/>
  <c r="V52" i="84"/>
  <c r="Y52" i="84"/>
  <c r="Q52" i="84"/>
  <c r="Y60" i="84"/>
  <c r="V60" i="84"/>
  <c r="Q60" i="84"/>
  <c r="Y64" i="84"/>
  <c r="V64" i="84"/>
  <c r="Q64" i="84"/>
  <c r="V101" i="84"/>
  <c r="Q101" i="84"/>
  <c r="Y67" i="84"/>
  <c r="Q67" i="84"/>
  <c r="V67" i="84"/>
  <c r="Y56" i="84"/>
  <c r="V56" i="84"/>
  <c r="Q56" i="84"/>
  <c r="Q17" i="84"/>
  <c r="Y17" i="84"/>
  <c r="V17" i="84"/>
  <c r="Y89" i="84"/>
  <c r="V89" i="84"/>
  <c r="Q89" i="84"/>
  <c r="Q37" i="84"/>
  <c r="V37" i="84"/>
  <c r="Y37" i="84"/>
  <c r="Y21" i="84"/>
  <c r="V21" i="84"/>
  <c r="Q21" i="84"/>
  <c r="V45" i="84"/>
  <c r="Q45" i="84"/>
  <c r="Y45" i="84"/>
  <c r="V95" i="84"/>
  <c r="Q95" i="84"/>
  <c r="Y82" i="84"/>
  <c r="V82" i="84"/>
  <c r="Q82" i="84"/>
  <c r="V109" i="84"/>
  <c r="Q109" i="84"/>
  <c r="Q74" i="84"/>
  <c r="V74" i="84"/>
  <c r="Y74" i="84"/>
  <c r="Y61" i="84"/>
  <c r="V61" i="84"/>
  <c r="Q61" i="84"/>
  <c r="Y43" i="84"/>
  <c r="V43" i="84"/>
  <c r="Q43" i="84"/>
  <c r="Y19" i="84"/>
  <c r="V19" i="84"/>
  <c r="Q19" i="84"/>
  <c r="V24" i="84"/>
  <c r="Y24" i="84"/>
  <c r="Q24" i="84"/>
  <c r="Y73" i="84"/>
  <c r="V73" i="84"/>
  <c r="Q73" i="84"/>
  <c r="Q22" i="84"/>
  <c r="Y22" i="84"/>
  <c r="V22" i="84"/>
  <c r="Y32" i="84"/>
  <c r="V32" i="84"/>
  <c r="Q32" i="84"/>
  <c r="Y57" i="84"/>
  <c r="Q57" i="84"/>
  <c r="V57" i="84"/>
  <c r="Y46" i="84"/>
  <c r="Q46" i="84"/>
  <c r="V46" i="84"/>
  <c r="V44" i="84"/>
  <c r="Q44" i="84"/>
  <c r="Y44" i="84"/>
  <c r="Q25" i="84"/>
  <c r="Y25" i="84"/>
  <c r="V25" i="84"/>
  <c r="V108" i="84"/>
  <c r="Q108" i="84"/>
  <c r="Y36" i="84"/>
  <c r="Q36" i="84"/>
  <c r="V36" i="84"/>
  <c r="V97" i="84"/>
  <c r="Q97" i="84"/>
  <c r="Q78" i="84"/>
  <c r="Y78" i="84"/>
  <c r="V78" i="84"/>
  <c r="Q88" i="84"/>
  <c r="V88" i="84"/>
  <c r="N115" i="84"/>
  <c r="P14" i="84"/>
  <c r="V80" i="84"/>
  <c r="Q80" i="84"/>
  <c r="Y80" i="84"/>
  <c r="Y30" i="84"/>
  <c r="V30" i="84"/>
  <c r="Q30" i="84"/>
  <c r="Q94" i="84"/>
  <c r="V94" i="84"/>
  <c r="Y35" i="84"/>
  <c r="V35" i="84"/>
  <c r="Q35" i="84"/>
  <c r="Y42" i="84"/>
  <c r="V42" i="84"/>
  <c r="Q42" i="84"/>
  <c r="Q49" i="84"/>
  <c r="V49" i="84"/>
  <c r="Y79" i="84"/>
  <c r="V79" i="84"/>
  <c r="Q79" i="84"/>
  <c r="Y85" i="84"/>
  <c r="V85" i="84"/>
  <c r="Q85" i="84"/>
  <c r="V92" i="84"/>
  <c r="Q92" i="84"/>
  <c r="Y86" i="84"/>
  <c r="V86" i="84"/>
  <c r="Q86" i="84"/>
  <c r="Q100" i="84"/>
  <c r="V100" i="84"/>
  <c r="Q23" i="84"/>
  <c r="Y23" i="84"/>
  <c r="V23" i="84"/>
  <c r="Y38" i="84"/>
  <c r="V38" i="84"/>
  <c r="Q38" i="84"/>
  <c r="Q16" i="84"/>
  <c r="Y16" i="84"/>
  <c r="V16" i="84"/>
  <c r="Q29" i="84"/>
  <c r="Y29" i="84"/>
  <c r="V29" i="84"/>
  <c r="V75" i="84"/>
  <c r="Q75" i="84"/>
  <c r="Y75" i="84"/>
  <c r="Y87" i="84"/>
  <c r="V87" i="84"/>
  <c r="Q87" i="84"/>
  <c r="Q65" i="84"/>
  <c r="Y65" i="84"/>
  <c r="V65" i="84"/>
  <c r="Q84" i="84"/>
  <c r="Y84" i="84"/>
  <c r="V84" i="84"/>
  <c r="V111" i="84"/>
  <c r="Q111" i="84"/>
  <c r="Q106" i="84"/>
  <c r="V106" i="84"/>
  <c r="Y15" i="84"/>
  <c r="V15" i="84"/>
  <c r="Q15" i="84"/>
  <c r="V54" i="84"/>
  <c r="Q54" i="84"/>
  <c r="Y54" i="84"/>
  <c r="Y33" i="84"/>
  <c r="Q33" i="84"/>
  <c r="V33" i="84"/>
  <c r="Y26" i="84"/>
  <c r="V26" i="84"/>
  <c r="Q26" i="84"/>
  <c r="Y48" i="84"/>
  <c r="V48" i="84"/>
  <c r="Q48" i="84"/>
  <c r="V93" i="84"/>
  <c r="Q93" i="84"/>
  <c r="V103" i="84"/>
  <c r="Q103" i="84"/>
  <c r="Y70" i="84"/>
  <c r="Q70" i="84"/>
  <c r="V70" i="84"/>
  <c r="Q20" i="84"/>
  <c r="Y20" i="84"/>
  <c r="V20" i="84"/>
  <c r="Y62" i="84"/>
  <c r="V62" i="84"/>
  <c r="Q62" i="84"/>
  <c r="Y28" i="84"/>
  <c r="V28" i="84"/>
  <c r="Q28" i="84"/>
  <c r="Q110" i="84"/>
  <c r="V110" i="84"/>
  <c r="V107" i="84"/>
  <c r="Q107" i="84"/>
  <c r="Q50" i="84"/>
  <c r="Y50" i="84"/>
  <c r="V50" i="84"/>
  <c r="V77" i="84"/>
  <c r="Y77" i="84"/>
  <c r="Q77" i="84"/>
  <c r="V76" i="84"/>
  <c r="Y76" i="84"/>
  <c r="Q76" i="84"/>
  <c r="Y58" i="84"/>
  <c r="V58" i="84"/>
  <c r="Q58" i="84"/>
  <c r="Y18" i="84"/>
  <c r="V18" i="84"/>
  <c r="Q18" i="84"/>
  <c r="Q83" i="84"/>
  <c r="V83" i="84"/>
  <c r="Y63" i="84"/>
  <c r="Q63" i="84"/>
  <c r="V63" i="84"/>
  <c r="V72" i="84"/>
  <c r="Q72" i="84"/>
  <c r="Y72" i="84"/>
  <c r="Q102" i="84"/>
  <c r="V102" i="84"/>
  <c r="V69" i="84"/>
  <c r="Q69" i="84"/>
  <c r="Y69" i="84"/>
  <c r="Y39" i="84"/>
  <c r="V39" i="84"/>
  <c r="Q39" i="84"/>
  <c r="Q47" i="84"/>
  <c r="Y47" i="84"/>
  <c r="V47" i="84"/>
  <c r="Y31" i="84"/>
  <c r="Q31" i="84"/>
  <c r="V31" i="84"/>
  <c r="V96" i="84"/>
  <c r="Q96" i="84"/>
  <c r="V105" i="84"/>
  <c r="Q105" i="84"/>
  <c r="V66" i="84"/>
  <c r="Q66" i="84"/>
  <c r="Y66" i="84"/>
  <c r="Q98" i="84"/>
  <c r="V98" i="84"/>
  <c r="Q71" i="84"/>
  <c r="Y71" i="84"/>
  <c r="V71" i="84"/>
  <c r="Q104" i="84"/>
  <c r="V104" i="84"/>
  <c r="Y27" i="84"/>
  <c r="V27" i="84"/>
  <c r="Q27" i="84"/>
  <c r="Y40" i="84"/>
  <c r="V40" i="84"/>
  <c r="Q40" i="84"/>
  <c r="V113" i="84"/>
  <c r="Q113" i="84"/>
  <c r="Y41" i="84"/>
  <c r="V41" i="84"/>
  <c r="Q41" i="84"/>
  <c r="Q81" i="84"/>
  <c r="Y81" i="84"/>
  <c r="V81" i="84"/>
  <c r="Y59" i="84"/>
  <c r="V59" i="84"/>
  <c r="Q59" i="84"/>
  <c r="V99" i="84"/>
  <c r="Q99" i="84"/>
  <c r="Q68" i="84"/>
  <c r="V68" i="84"/>
  <c r="Y68" i="84"/>
  <c r="V112" i="84"/>
  <c r="Q112" i="84"/>
  <c r="R112" i="84"/>
  <c r="V14" i="84" l="1"/>
  <c r="Q14" i="84"/>
  <c r="Y14" i="84"/>
  <c r="Y115" i="84" s="1"/>
  <c r="P115" i="84"/>
  <c r="Q5" i="83" l="1"/>
  <c r="X115" i="83"/>
  <c r="L113" i="83"/>
  <c r="H113" i="83"/>
  <c r="H112" i="83"/>
  <c r="L112" i="83" s="1"/>
  <c r="L111" i="83"/>
  <c r="H111" i="83"/>
  <c r="H110" i="83"/>
  <c r="L110" i="83" s="1"/>
  <c r="H109" i="83"/>
  <c r="L109" i="83" s="1"/>
  <c r="H108" i="83"/>
  <c r="L108" i="83" s="1"/>
  <c r="H107" i="83"/>
  <c r="L107" i="83" s="1"/>
  <c r="L106" i="83"/>
  <c r="H106" i="83"/>
  <c r="H105" i="83"/>
  <c r="L105" i="83" s="1"/>
  <c r="H104" i="83"/>
  <c r="L104" i="83" s="1"/>
  <c r="H103" i="83"/>
  <c r="L103" i="83" s="1"/>
  <c r="H102" i="83"/>
  <c r="L102" i="83" s="1"/>
  <c r="H101" i="83"/>
  <c r="L101" i="83" s="1"/>
  <c r="H100" i="83"/>
  <c r="L100" i="83" s="1"/>
  <c r="L99" i="83"/>
  <c r="H99" i="83"/>
  <c r="H98" i="83"/>
  <c r="L98" i="83" s="1"/>
  <c r="L97" i="83"/>
  <c r="H97" i="83"/>
  <c r="H96" i="83"/>
  <c r="L96" i="83" s="1"/>
  <c r="H95" i="83"/>
  <c r="L95" i="83" s="1"/>
  <c r="L94" i="83"/>
  <c r="H94" i="83"/>
  <c r="H93" i="83"/>
  <c r="L93" i="83" s="1"/>
  <c r="H92" i="83"/>
  <c r="L92" i="83" s="1"/>
  <c r="H91" i="83"/>
  <c r="L91" i="83" s="1"/>
  <c r="L89" i="83"/>
  <c r="K89" i="83"/>
  <c r="H89" i="83"/>
  <c r="L88" i="83"/>
  <c r="K88" i="83"/>
  <c r="H88" i="83"/>
  <c r="L87" i="83"/>
  <c r="K87" i="83"/>
  <c r="H87" i="83"/>
  <c r="K86" i="83"/>
  <c r="H86" i="83"/>
  <c r="L86" i="83" s="1"/>
  <c r="K85" i="83"/>
  <c r="E85" i="83"/>
  <c r="H85" i="83" s="1"/>
  <c r="L85" i="83" s="1"/>
  <c r="L84" i="83"/>
  <c r="K84" i="83"/>
  <c r="H84" i="83"/>
  <c r="E84" i="83"/>
  <c r="K83" i="83"/>
  <c r="H83" i="83"/>
  <c r="L83" i="83" s="1"/>
  <c r="K82" i="83"/>
  <c r="H82" i="83"/>
  <c r="L82" i="83" s="1"/>
  <c r="K81" i="83"/>
  <c r="H81" i="83"/>
  <c r="K80" i="83"/>
  <c r="H80" i="83"/>
  <c r="L80" i="83" s="1"/>
  <c r="K79" i="83"/>
  <c r="H79" i="83"/>
  <c r="L79" i="83" s="1"/>
  <c r="K78" i="83"/>
  <c r="H78" i="83"/>
  <c r="L78" i="83" s="1"/>
  <c r="K77" i="83"/>
  <c r="H77" i="83"/>
  <c r="L77" i="83" s="1"/>
  <c r="K76" i="83"/>
  <c r="E76" i="83"/>
  <c r="H76" i="83" s="1"/>
  <c r="L76" i="83" s="1"/>
  <c r="K75" i="83"/>
  <c r="H75" i="83"/>
  <c r="L75" i="83" s="1"/>
  <c r="L74" i="83"/>
  <c r="K74" i="83"/>
  <c r="H74" i="83"/>
  <c r="K73" i="83"/>
  <c r="H73" i="83"/>
  <c r="L73" i="83" s="1"/>
  <c r="L72" i="83"/>
  <c r="K72" i="83"/>
  <c r="H72" i="83"/>
  <c r="K71" i="83"/>
  <c r="H71" i="83"/>
  <c r="L71" i="83" s="1"/>
  <c r="K70" i="83"/>
  <c r="H70" i="83"/>
  <c r="L70" i="83" s="1"/>
  <c r="K69" i="83"/>
  <c r="H69" i="83"/>
  <c r="L69" i="83" s="1"/>
  <c r="L68" i="83"/>
  <c r="K68" i="83"/>
  <c r="H68" i="83"/>
  <c r="K67" i="83"/>
  <c r="H67" i="83"/>
  <c r="L67" i="83" s="1"/>
  <c r="K66" i="83"/>
  <c r="H66" i="83"/>
  <c r="L66" i="83" s="1"/>
  <c r="K65" i="83"/>
  <c r="E65" i="83"/>
  <c r="H65" i="83" s="1"/>
  <c r="L65" i="83" s="1"/>
  <c r="K64" i="83"/>
  <c r="E64" i="83"/>
  <c r="H64" i="83" s="1"/>
  <c r="L64" i="83" s="1"/>
  <c r="L63" i="83"/>
  <c r="K63" i="83"/>
  <c r="H63" i="83"/>
  <c r="K62" i="83"/>
  <c r="H62" i="83"/>
  <c r="L62" i="83" s="1"/>
  <c r="K61" i="83"/>
  <c r="H61" i="83"/>
  <c r="L61" i="83" s="1"/>
  <c r="L60" i="83"/>
  <c r="K60" i="83"/>
  <c r="H60" i="83"/>
  <c r="K59" i="83"/>
  <c r="H59" i="83"/>
  <c r="L59" i="83" s="1"/>
  <c r="L58" i="83"/>
  <c r="K58" i="83"/>
  <c r="H58" i="83"/>
  <c r="L57" i="83"/>
  <c r="K57" i="83"/>
  <c r="H57" i="83"/>
  <c r="K56" i="83"/>
  <c r="H56" i="83"/>
  <c r="L56" i="83" s="1"/>
  <c r="K55" i="83"/>
  <c r="H55" i="83"/>
  <c r="L55" i="83" s="1"/>
  <c r="K54" i="83"/>
  <c r="H54" i="83"/>
  <c r="L54" i="83" s="1"/>
  <c r="E54" i="83"/>
  <c r="K53" i="83"/>
  <c r="L53" i="83" s="1"/>
  <c r="H53" i="83"/>
  <c r="K52" i="83"/>
  <c r="E52" i="83"/>
  <c r="H52" i="83" s="1"/>
  <c r="L52" i="83" s="1"/>
  <c r="L51" i="83"/>
  <c r="K51" i="83"/>
  <c r="H51" i="83"/>
  <c r="K50" i="83"/>
  <c r="E50" i="83"/>
  <c r="H50" i="83" s="1"/>
  <c r="L50" i="83" s="1"/>
  <c r="L49" i="83"/>
  <c r="K49" i="83"/>
  <c r="H49" i="83"/>
  <c r="L48" i="83"/>
  <c r="K48" i="83"/>
  <c r="H48" i="83"/>
  <c r="E48" i="83"/>
  <c r="K47" i="83"/>
  <c r="E47" i="83"/>
  <c r="H47" i="83" s="1"/>
  <c r="L47" i="83" s="1"/>
  <c r="K46" i="83"/>
  <c r="H46" i="83"/>
  <c r="L46" i="83" s="1"/>
  <c r="L45" i="83"/>
  <c r="K45" i="83"/>
  <c r="H45" i="83"/>
  <c r="E45" i="83"/>
  <c r="K44" i="83"/>
  <c r="E44" i="83"/>
  <c r="H44" i="83" s="1"/>
  <c r="L44" i="83" s="1"/>
  <c r="L43" i="83"/>
  <c r="K43" i="83"/>
  <c r="H43" i="83"/>
  <c r="L42" i="83"/>
  <c r="K42" i="83"/>
  <c r="H42" i="83"/>
  <c r="K41" i="83"/>
  <c r="H41" i="83"/>
  <c r="L41" i="83" s="1"/>
  <c r="L40" i="83"/>
  <c r="K40" i="83"/>
  <c r="H40" i="83"/>
  <c r="K39" i="83"/>
  <c r="H39" i="83"/>
  <c r="L39" i="83" s="1"/>
  <c r="K38" i="83"/>
  <c r="H38" i="83"/>
  <c r="L38" i="83" s="1"/>
  <c r="K37" i="83"/>
  <c r="L37" i="83" s="1"/>
  <c r="H37" i="83"/>
  <c r="K36" i="83"/>
  <c r="H36" i="83"/>
  <c r="L36" i="83" s="1"/>
  <c r="K35" i="83"/>
  <c r="H35" i="83"/>
  <c r="L35" i="83" s="1"/>
  <c r="K34" i="83"/>
  <c r="H34" i="83"/>
  <c r="L34" i="83" s="1"/>
  <c r="K33" i="83"/>
  <c r="H33" i="83"/>
  <c r="L33" i="83" s="1"/>
  <c r="K32" i="83"/>
  <c r="H32" i="83"/>
  <c r="L32" i="83" s="1"/>
  <c r="K31" i="83"/>
  <c r="H31" i="83"/>
  <c r="L31" i="83" s="1"/>
  <c r="K30" i="83"/>
  <c r="E30" i="83"/>
  <c r="H30" i="83" s="1"/>
  <c r="L30" i="83" s="1"/>
  <c r="K29" i="83"/>
  <c r="H29" i="83"/>
  <c r="L29" i="83" s="1"/>
  <c r="K28" i="83"/>
  <c r="L28" i="83" s="1"/>
  <c r="H28" i="83"/>
  <c r="H27" i="83"/>
  <c r="L27" i="83" s="1"/>
  <c r="K26" i="83"/>
  <c r="H26" i="83"/>
  <c r="L26" i="83" s="1"/>
  <c r="E26" i="83"/>
  <c r="K25" i="83"/>
  <c r="H25" i="83"/>
  <c r="K24" i="83"/>
  <c r="H24" i="83"/>
  <c r="L24" i="83" s="1"/>
  <c r="K23" i="83"/>
  <c r="H23" i="83"/>
  <c r="L23" i="83" s="1"/>
  <c r="K22" i="83"/>
  <c r="H22" i="83"/>
  <c r="L22" i="83" s="1"/>
  <c r="K21" i="83"/>
  <c r="H21" i="83"/>
  <c r="K20" i="83"/>
  <c r="L20" i="83" s="1"/>
  <c r="H20" i="83"/>
  <c r="K19" i="83"/>
  <c r="H19" i="83"/>
  <c r="L19" i="83" s="1"/>
  <c r="K18" i="83"/>
  <c r="H18" i="83"/>
  <c r="K17" i="83"/>
  <c r="H17" i="83"/>
  <c r="L17" i="83" s="1"/>
  <c r="L16" i="83"/>
  <c r="K16" i="83"/>
  <c r="H16" i="83"/>
  <c r="K15" i="83"/>
  <c r="H15" i="83"/>
  <c r="E15" i="83"/>
  <c r="K14" i="83"/>
  <c r="H14" i="83"/>
  <c r="L14" i="83" s="1"/>
  <c r="T7" i="83"/>
  <c r="T2" i="83"/>
  <c r="T10" i="83" s="1"/>
  <c r="Q2" i="83" s="1"/>
  <c r="Q10" i="83" s="1"/>
  <c r="P12" i="83" s="1"/>
  <c r="H6" i="3"/>
  <c r="H8" i="3"/>
  <c r="G8" i="3"/>
  <c r="G6" i="3"/>
  <c r="H10" i="3"/>
  <c r="H9" i="3"/>
  <c r="G10" i="3"/>
  <c r="G9" i="3"/>
  <c r="H7" i="3"/>
  <c r="H5" i="3"/>
  <c r="L18" i="83" l="1"/>
  <c r="U112" i="83"/>
  <c r="L15" i="83"/>
  <c r="L115" i="83" s="1"/>
  <c r="E115" i="83"/>
  <c r="L25" i="83"/>
  <c r="L81" i="83"/>
  <c r="Q119" i="83"/>
  <c r="L21" i="83"/>
  <c r="H12" i="3"/>
  <c r="T9" i="82"/>
  <c r="G7" i="3"/>
  <c r="G5" i="3"/>
  <c r="G12" i="3" s="1"/>
  <c r="Q5" i="82"/>
  <c r="X115" i="82"/>
  <c r="H113" i="82"/>
  <c r="L113" i="82" s="1"/>
  <c r="H112" i="82"/>
  <c r="L112" i="82" s="1"/>
  <c r="H111" i="82"/>
  <c r="L111" i="82" s="1"/>
  <c r="H110" i="82"/>
  <c r="L110" i="82" s="1"/>
  <c r="H109" i="82"/>
  <c r="L109" i="82" s="1"/>
  <c r="H108" i="82"/>
  <c r="L108" i="82" s="1"/>
  <c r="H107" i="82"/>
  <c r="L107" i="82" s="1"/>
  <c r="L106" i="82"/>
  <c r="H106" i="82"/>
  <c r="H105" i="82"/>
  <c r="L105" i="82" s="1"/>
  <c r="H104" i="82"/>
  <c r="L104" i="82" s="1"/>
  <c r="H103" i="82"/>
  <c r="L103" i="82" s="1"/>
  <c r="H102" i="82"/>
  <c r="L102" i="82" s="1"/>
  <c r="H101" i="82"/>
  <c r="L101" i="82" s="1"/>
  <c r="H100" i="82"/>
  <c r="L100" i="82" s="1"/>
  <c r="H99" i="82"/>
  <c r="L99" i="82" s="1"/>
  <c r="H98" i="82"/>
  <c r="L98" i="82" s="1"/>
  <c r="H97" i="82"/>
  <c r="L97" i="82" s="1"/>
  <c r="L96" i="82"/>
  <c r="H96" i="82"/>
  <c r="H95" i="82"/>
  <c r="L95" i="82" s="1"/>
  <c r="H94" i="82"/>
  <c r="L94" i="82" s="1"/>
  <c r="H93" i="82"/>
  <c r="L93" i="82" s="1"/>
  <c r="L92" i="82"/>
  <c r="H92" i="82"/>
  <c r="H91" i="82"/>
  <c r="L91" i="82" s="1"/>
  <c r="L89" i="82"/>
  <c r="K89" i="82"/>
  <c r="H89" i="82"/>
  <c r="K88" i="82"/>
  <c r="H88" i="82"/>
  <c r="L88" i="82" s="1"/>
  <c r="K87" i="82"/>
  <c r="H87" i="82"/>
  <c r="L87" i="82" s="1"/>
  <c r="K86" i="82"/>
  <c r="L86" i="82" s="1"/>
  <c r="H86" i="82"/>
  <c r="K85" i="82"/>
  <c r="E85" i="82"/>
  <c r="H85" i="82" s="1"/>
  <c r="L85" i="82" s="1"/>
  <c r="K84" i="82"/>
  <c r="E84" i="82"/>
  <c r="H84" i="82" s="1"/>
  <c r="L84" i="82" s="1"/>
  <c r="L83" i="82"/>
  <c r="K83" i="82"/>
  <c r="H83" i="82"/>
  <c r="K82" i="82"/>
  <c r="L82" i="82" s="1"/>
  <c r="H82" i="82"/>
  <c r="K81" i="82"/>
  <c r="H81" i="82"/>
  <c r="L81" i="82" s="1"/>
  <c r="L80" i="82"/>
  <c r="K80" i="82"/>
  <c r="H80" i="82"/>
  <c r="L79" i="82"/>
  <c r="K79" i="82"/>
  <c r="H79" i="82"/>
  <c r="K78" i="82"/>
  <c r="H78" i="82"/>
  <c r="L78" i="82" s="1"/>
  <c r="L77" i="82"/>
  <c r="K77" i="82"/>
  <c r="H77" i="82"/>
  <c r="K76" i="82"/>
  <c r="E76" i="82"/>
  <c r="H76" i="82" s="1"/>
  <c r="L76" i="82" s="1"/>
  <c r="K75" i="82"/>
  <c r="H75" i="82"/>
  <c r="L75" i="82" s="1"/>
  <c r="K74" i="82"/>
  <c r="L74" i="82" s="1"/>
  <c r="H74" i="82"/>
  <c r="K73" i="82"/>
  <c r="H73" i="82"/>
  <c r="L73" i="82" s="1"/>
  <c r="K72" i="82"/>
  <c r="H72" i="82"/>
  <c r="L72" i="82" s="1"/>
  <c r="K71" i="82"/>
  <c r="L71" i="82" s="1"/>
  <c r="H71" i="82"/>
  <c r="K70" i="82"/>
  <c r="H70" i="82"/>
  <c r="L70" i="82" s="1"/>
  <c r="K69" i="82"/>
  <c r="H69" i="82"/>
  <c r="L69" i="82" s="1"/>
  <c r="K68" i="82"/>
  <c r="L68" i="82" s="1"/>
  <c r="H68" i="82"/>
  <c r="K67" i="82"/>
  <c r="H67" i="82"/>
  <c r="L67" i="82" s="1"/>
  <c r="K66" i="82"/>
  <c r="H66" i="82"/>
  <c r="L66" i="82" s="1"/>
  <c r="K65" i="82"/>
  <c r="E65" i="82"/>
  <c r="H65" i="82" s="1"/>
  <c r="L65" i="82" s="1"/>
  <c r="L64" i="82"/>
  <c r="K64" i="82"/>
  <c r="H64" i="82"/>
  <c r="E64" i="82"/>
  <c r="K63" i="82"/>
  <c r="H63" i="82"/>
  <c r="L63" i="82" s="1"/>
  <c r="K62" i="82"/>
  <c r="H62" i="82"/>
  <c r="L62" i="82" s="1"/>
  <c r="K61" i="82"/>
  <c r="L61" i="82" s="1"/>
  <c r="H61" i="82"/>
  <c r="K60" i="82"/>
  <c r="H60" i="82"/>
  <c r="L60" i="82" s="1"/>
  <c r="K59" i="82"/>
  <c r="H59" i="82"/>
  <c r="L59" i="82" s="1"/>
  <c r="K58" i="82"/>
  <c r="L58" i="82" s="1"/>
  <c r="H58" i="82"/>
  <c r="K57" i="82"/>
  <c r="H57" i="82"/>
  <c r="L57" i="82" s="1"/>
  <c r="K56" i="82"/>
  <c r="H56" i="82"/>
  <c r="L56" i="82" s="1"/>
  <c r="K55" i="82"/>
  <c r="H55" i="82"/>
  <c r="L55" i="82" s="1"/>
  <c r="K54" i="82"/>
  <c r="E54" i="82"/>
  <c r="H54" i="82" s="1"/>
  <c r="L54" i="82" s="1"/>
  <c r="L53" i="82"/>
  <c r="K53" i="82"/>
  <c r="H53" i="82"/>
  <c r="K52" i="82"/>
  <c r="E52" i="82"/>
  <c r="H52" i="82" s="1"/>
  <c r="L52" i="82" s="1"/>
  <c r="K51" i="82"/>
  <c r="H51" i="82"/>
  <c r="L51" i="82" s="1"/>
  <c r="L50" i="82"/>
  <c r="K50" i="82"/>
  <c r="H50" i="82"/>
  <c r="E50" i="82"/>
  <c r="K49" i="82"/>
  <c r="H49" i="82"/>
  <c r="L49" i="82" s="1"/>
  <c r="K48" i="82"/>
  <c r="E48" i="82"/>
  <c r="H48" i="82" s="1"/>
  <c r="L48" i="82" s="1"/>
  <c r="L47" i="82"/>
  <c r="K47" i="82"/>
  <c r="H47" i="82"/>
  <c r="E47" i="82"/>
  <c r="K46" i="82"/>
  <c r="H46" i="82"/>
  <c r="L46" i="82" s="1"/>
  <c r="K45" i="82"/>
  <c r="E45" i="82"/>
  <c r="H45" i="82" s="1"/>
  <c r="L45" i="82" s="1"/>
  <c r="K44" i="82"/>
  <c r="E44" i="82"/>
  <c r="H44" i="82" s="1"/>
  <c r="L44" i="82" s="1"/>
  <c r="L43" i="82"/>
  <c r="K43" i="82"/>
  <c r="H43" i="82"/>
  <c r="K42" i="82"/>
  <c r="H42" i="82"/>
  <c r="L42" i="82" s="1"/>
  <c r="K41" i="82"/>
  <c r="H41" i="82"/>
  <c r="L41" i="82" s="1"/>
  <c r="L40" i="82"/>
  <c r="K40" i="82"/>
  <c r="H40" i="82"/>
  <c r="K39" i="82"/>
  <c r="H39" i="82"/>
  <c r="K38" i="82"/>
  <c r="H38" i="82"/>
  <c r="L38" i="82" s="1"/>
  <c r="K37" i="82"/>
  <c r="L37" i="82" s="1"/>
  <c r="H37" i="82"/>
  <c r="K36" i="82"/>
  <c r="H36" i="82"/>
  <c r="L36" i="82" s="1"/>
  <c r="K35" i="82"/>
  <c r="H35" i="82"/>
  <c r="L35" i="82" s="1"/>
  <c r="K34" i="82"/>
  <c r="L34" i="82" s="1"/>
  <c r="H34" i="82"/>
  <c r="K33" i="82"/>
  <c r="H33" i="82"/>
  <c r="L33" i="82" s="1"/>
  <c r="K32" i="82"/>
  <c r="H32" i="82"/>
  <c r="L32" i="82" s="1"/>
  <c r="K31" i="82"/>
  <c r="L31" i="82" s="1"/>
  <c r="H31" i="82"/>
  <c r="K30" i="82"/>
  <c r="E30" i="82"/>
  <c r="H30" i="82" s="1"/>
  <c r="L30" i="82" s="1"/>
  <c r="K29" i="82"/>
  <c r="H29" i="82"/>
  <c r="L29" i="82" s="1"/>
  <c r="L28" i="82"/>
  <c r="K28" i="82"/>
  <c r="H28" i="82"/>
  <c r="H27" i="82"/>
  <c r="L27" i="82" s="1"/>
  <c r="K26" i="82"/>
  <c r="E26" i="82"/>
  <c r="H26" i="82" s="1"/>
  <c r="L26" i="82" s="1"/>
  <c r="L25" i="82"/>
  <c r="K25" i="82"/>
  <c r="H25" i="82"/>
  <c r="K24" i="82"/>
  <c r="L24" i="82" s="1"/>
  <c r="H24" i="82"/>
  <c r="K23" i="82"/>
  <c r="H23" i="82"/>
  <c r="L23" i="82" s="1"/>
  <c r="L22" i="82"/>
  <c r="K22" i="82"/>
  <c r="H22" i="82"/>
  <c r="L21" i="82"/>
  <c r="K21" i="82"/>
  <c r="H21" i="82"/>
  <c r="K20" i="82"/>
  <c r="H20" i="82"/>
  <c r="L20" i="82" s="1"/>
  <c r="L19" i="82"/>
  <c r="K19" i="82"/>
  <c r="H19" i="82"/>
  <c r="K18" i="82"/>
  <c r="H18" i="82"/>
  <c r="L18" i="82" s="1"/>
  <c r="K17" i="82"/>
  <c r="H17" i="82"/>
  <c r="L17" i="82" s="1"/>
  <c r="L16" i="82"/>
  <c r="K16" i="82"/>
  <c r="H16" i="82"/>
  <c r="K15" i="82"/>
  <c r="E15" i="82"/>
  <c r="H15" i="82" s="1"/>
  <c r="L15" i="82" s="1"/>
  <c r="K14" i="82"/>
  <c r="H14" i="82"/>
  <c r="L14" i="82" s="1"/>
  <c r="T7" i="82"/>
  <c r="T10" i="82" s="1"/>
  <c r="Q2" i="82" s="1"/>
  <c r="Q10" i="82" s="1"/>
  <c r="P12" i="82" s="1"/>
  <c r="T2" i="82"/>
  <c r="T9" i="81"/>
  <c r="X115" i="81"/>
  <c r="H113" i="81"/>
  <c r="L113" i="81" s="1"/>
  <c r="H112" i="81"/>
  <c r="L112" i="81" s="1"/>
  <c r="H111" i="81"/>
  <c r="L111" i="81" s="1"/>
  <c r="H110" i="81"/>
  <c r="L110" i="81" s="1"/>
  <c r="H109" i="81"/>
  <c r="L109" i="81" s="1"/>
  <c r="H108" i="81"/>
  <c r="L108" i="81" s="1"/>
  <c r="H107" i="81"/>
  <c r="L107" i="81" s="1"/>
  <c r="H106" i="81"/>
  <c r="L106" i="81" s="1"/>
  <c r="H105" i="81"/>
  <c r="L105" i="81" s="1"/>
  <c r="H104" i="81"/>
  <c r="L104" i="81" s="1"/>
  <c r="H103" i="81"/>
  <c r="L103" i="81" s="1"/>
  <c r="H102" i="81"/>
  <c r="L102" i="81" s="1"/>
  <c r="H101" i="81"/>
  <c r="L101" i="81" s="1"/>
  <c r="H100" i="81"/>
  <c r="L100" i="81" s="1"/>
  <c r="H99" i="81"/>
  <c r="L99" i="81" s="1"/>
  <c r="H98" i="81"/>
  <c r="L98" i="81" s="1"/>
  <c r="H97" i="81"/>
  <c r="L97" i="81" s="1"/>
  <c r="H96" i="81"/>
  <c r="L96" i="81" s="1"/>
  <c r="H95" i="81"/>
  <c r="L95" i="81" s="1"/>
  <c r="H94" i="81"/>
  <c r="L94" i="81" s="1"/>
  <c r="H93" i="81"/>
  <c r="L93" i="81" s="1"/>
  <c r="H92" i="81"/>
  <c r="L92" i="81" s="1"/>
  <c r="H91" i="81"/>
  <c r="L91" i="81" s="1"/>
  <c r="K89" i="81"/>
  <c r="H89" i="81"/>
  <c r="L89" i="81" s="1"/>
  <c r="K88" i="81"/>
  <c r="H88" i="81"/>
  <c r="L88" i="81" s="1"/>
  <c r="K87" i="81"/>
  <c r="H87" i="81"/>
  <c r="L87" i="81" s="1"/>
  <c r="K86" i="81"/>
  <c r="H86" i="81"/>
  <c r="K85" i="81"/>
  <c r="H85" i="81"/>
  <c r="E85" i="81"/>
  <c r="K84" i="81"/>
  <c r="E84" i="81"/>
  <c r="H84" i="81" s="1"/>
  <c r="L84" i="81" s="1"/>
  <c r="K83" i="81"/>
  <c r="H83" i="81"/>
  <c r="L83" i="81" s="1"/>
  <c r="K82" i="81"/>
  <c r="H82" i="81"/>
  <c r="K81" i="81"/>
  <c r="H81" i="81"/>
  <c r="K80" i="81"/>
  <c r="H80" i="81"/>
  <c r="K79" i="81"/>
  <c r="H79" i="81"/>
  <c r="K78" i="81"/>
  <c r="H78" i="81"/>
  <c r="L78" i="81" s="1"/>
  <c r="K77" i="81"/>
  <c r="H77" i="81"/>
  <c r="L77" i="81" s="1"/>
  <c r="K76" i="81"/>
  <c r="H76" i="81"/>
  <c r="E76" i="81"/>
  <c r="L75" i="81"/>
  <c r="K75" i="81"/>
  <c r="H75" i="81"/>
  <c r="K74" i="81"/>
  <c r="H74" i="81"/>
  <c r="L74" i="81" s="1"/>
  <c r="K73" i="81"/>
  <c r="H73" i="81"/>
  <c r="L73" i="81" s="1"/>
  <c r="K72" i="81"/>
  <c r="H72" i="81"/>
  <c r="L72" i="81" s="1"/>
  <c r="K71" i="81"/>
  <c r="H71" i="81"/>
  <c r="L70" i="81"/>
  <c r="K70" i="81"/>
  <c r="H70" i="81"/>
  <c r="K69" i="81"/>
  <c r="H69" i="81"/>
  <c r="L69" i="81" s="1"/>
  <c r="K68" i="81"/>
  <c r="H68" i="81"/>
  <c r="L68" i="81" s="1"/>
  <c r="K67" i="81"/>
  <c r="H67" i="81"/>
  <c r="L67" i="81" s="1"/>
  <c r="L66" i="81"/>
  <c r="K66" i="81"/>
  <c r="H66" i="81"/>
  <c r="K65" i="81"/>
  <c r="E65" i="81"/>
  <c r="H65" i="81" s="1"/>
  <c r="L65" i="81" s="1"/>
  <c r="K64" i="81"/>
  <c r="H64" i="81"/>
  <c r="L64" i="81" s="1"/>
  <c r="E64" i="81"/>
  <c r="K63" i="81"/>
  <c r="H63" i="81"/>
  <c r="K62" i="81"/>
  <c r="H62" i="81"/>
  <c r="K61" i="81"/>
  <c r="H61" i="81"/>
  <c r="K60" i="81"/>
  <c r="H60" i="81"/>
  <c r="L60" i="81" s="1"/>
  <c r="K59" i="81"/>
  <c r="H59" i="81"/>
  <c r="L59" i="81" s="1"/>
  <c r="K58" i="81"/>
  <c r="L58" i="81" s="1"/>
  <c r="H58" i="81"/>
  <c r="K57" i="81"/>
  <c r="H57" i="81"/>
  <c r="K56" i="81"/>
  <c r="H56" i="81"/>
  <c r="K55" i="81"/>
  <c r="H55" i="81"/>
  <c r="L55" i="81" s="1"/>
  <c r="K54" i="81"/>
  <c r="E54" i="81"/>
  <c r="H54" i="81" s="1"/>
  <c r="L54" i="81" s="1"/>
  <c r="K53" i="81"/>
  <c r="H53" i="81"/>
  <c r="L53" i="81" s="1"/>
  <c r="K52" i="81"/>
  <c r="H52" i="81"/>
  <c r="E52" i="81"/>
  <c r="K51" i="81"/>
  <c r="H51" i="81"/>
  <c r="K50" i="81"/>
  <c r="E50" i="81"/>
  <c r="H50" i="81" s="1"/>
  <c r="L50" i="81" s="1"/>
  <c r="K49" i="81"/>
  <c r="H49" i="81"/>
  <c r="L49" i="81" s="1"/>
  <c r="K48" i="81"/>
  <c r="E48" i="81"/>
  <c r="H48" i="81" s="1"/>
  <c r="L48" i="81" s="1"/>
  <c r="K47" i="81"/>
  <c r="E47" i="81"/>
  <c r="H47" i="81" s="1"/>
  <c r="L47" i="81" s="1"/>
  <c r="L46" i="81"/>
  <c r="K46" i="81"/>
  <c r="H46" i="81"/>
  <c r="K45" i="81"/>
  <c r="E45" i="81"/>
  <c r="H45" i="81" s="1"/>
  <c r="K44" i="81"/>
  <c r="E44" i="81"/>
  <c r="H44" i="81" s="1"/>
  <c r="L44" i="81" s="1"/>
  <c r="K43" i="81"/>
  <c r="H43" i="81"/>
  <c r="K42" i="81"/>
  <c r="H42" i="81"/>
  <c r="L42" i="81" s="1"/>
  <c r="K41" i="81"/>
  <c r="H41" i="81"/>
  <c r="K40" i="81"/>
  <c r="L40" i="81" s="1"/>
  <c r="H40" i="81"/>
  <c r="K39" i="81"/>
  <c r="H39" i="81"/>
  <c r="L39" i="81" s="1"/>
  <c r="K38" i="81"/>
  <c r="H38" i="81"/>
  <c r="L38" i="81" s="1"/>
  <c r="K37" i="81"/>
  <c r="H37" i="81"/>
  <c r="K36" i="81"/>
  <c r="H36" i="81"/>
  <c r="L36" i="81" s="1"/>
  <c r="K35" i="81"/>
  <c r="H35" i="81"/>
  <c r="K34" i="81"/>
  <c r="L34" i="81" s="1"/>
  <c r="H34" i="81"/>
  <c r="K33" i="81"/>
  <c r="H33" i="81"/>
  <c r="L33" i="81" s="1"/>
  <c r="K32" i="81"/>
  <c r="H32" i="81"/>
  <c r="L32" i="81" s="1"/>
  <c r="K31" i="81"/>
  <c r="H31" i="81"/>
  <c r="K30" i="81"/>
  <c r="E30" i="81"/>
  <c r="H30" i="81" s="1"/>
  <c r="L30" i="81" s="1"/>
  <c r="K29" i="81"/>
  <c r="H29" i="81"/>
  <c r="K28" i="81"/>
  <c r="H28" i="81"/>
  <c r="L28" i="81" s="1"/>
  <c r="H27" i="81"/>
  <c r="L27" i="81" s="1"/>
  <c r="K26" i="81"/>
  <c r="E26" i="81"/>
  <c r="H26" i="81" s="1"/>
  <c r="L26" i="81" s="1"/>
  <c r="K25" i="81"/>
  <c r="H25" i="81"/>
  <c r="K24" i="81"/>
  <c r="H24" i="81"/>
  <c r="L24" i="81" s="1"/>
  <c r="K23" i="81"/>
  <c r="H23" i="81"/>
  <c r="K22" i="81"/>
  <c r="H22" i="81"/>
  <c r="L22" i="81" s="1"/>
  <c r="K21" i="81"/>
  <c r="H21" i="81"/>
  <c r="K20" i="81"/>
  <c r="H20" i="81"/>
  <c r="L20" i="81" s="1"/>
  <c r="K19" i="81"/>
  <c r="H19" i="81"/>
  <c r="K18" i="81"/>
  <c r="H18" i="81"/>
  <c r="L18" i="81" s="1"/>
  <c r="K17" i="81"/>
  <c r="H17" i="81"/>
  <c r="K16" i="81"/>
  <c r="H16" i="81"/>
  <c r="L16" i="81" s="1"/>
  <c r="K15" i="81"/>
  <c r="E15" i="81"/>
  <c r="K14" i="81"/>
  <c r="L14" i="81" s="1"/>
  <c r="H14" i="81"/>
  <c r="Q5" i="81"/>
  <c r="T2" i="81"/>
  <c r="Q5" i="80"/>
  <c r="X115" i="80"/>
  <c r="H113" i="80"/>
  <c r="L113" i="80" s="1"/>
  <c r="H112" i="80"/>
  <c r="L112" i="80" s="1"/>
  <c r="H111" i="80"/>
  <c r="L111" i="80" s="1"/>
  <c r="H110" i="80"/>
  <c r="L110" i="80" s="1"/>
  <c r="H109" i="80"/>
  <c r="L109" i="80" s="1"/>
  <c r="H108" i="80"/>
  <c r="L108" i="80" s="1"/>
  <c r="H107" i="80"/>
  <c r="L107" i="80" s="1"/>
  <c r="H106" i="80"/>
  <c r="L106" i="80" s="1"/>
  <c r="H105" i="80"/>
  <c r="L105" i="80" s="1"/>
  <c r="H104" i="80"/>
  <c r="L104" i="80" s="1"/>
  <c r="H103" i="80"/>
  <c r="L103" i="80" s="1"/>
  <c r="H102" i="80"/>
  <c r="L102" i="80" s="1"/>
  <c r="H101" i="80"/>
  <c r="L101" i="80" s="1"/>
  <c r="H100" i="80"/>
  <c r="L100" i="80" s="1"/>
  <c r="H99" i="80"/>
  <c r="L99" i="80" s="1"/>
  <c r="H98" i="80"/>
  <c r="L98" i="80" s="1"/>
  <c r="H97" i="80"/>
  <c r="L97" i="80" s="1"/>
  <c r="H96" i="80"/>
  <c r="L96" i="80" s="1"/>
  <c r="H95" i="80"/>
  <c r="L95" i="80" s="1"/>
  <c r="H94" i="80"/>
  <c r="L94" i="80" s="1"/>
  <c r="H93" i="80"/>
  <c r="L93" i="80" s="1"/>
  <c r="H92" i="80"/>
  <c r="L92" i="80" s="1"/>
  <c r="H91" i="80"/>
  <c r="L91" i="80" s="1"/>
  <c r="K89" i="80"/>
  <c r="H89" i="80"/>
  <c r="L89" i="80" s="1"/>
  <c r="K88" i="80"/>
  <c r="H88" i="80"/>
  <c r="L88" i="80" s="1"/>
  <c r="K87" i="80"/>
  <c r="H87" i="80"/>
  <c r="K86" i="80"/>
  <c r="L86" i="80" s="1"/>
  <c r="H86" i="80"/>
  <c r="K85" i="80"/>
  <c r="E85" i="80"/>
  <c r="H85" i="80" s="1"/>
  <c r="L85" i="80" s="1"/>
  <c r="K84" i="80"/>
  <c r="E84" i="80"/>
  <c r="H84" i="80" s="1"/>
  <c r="L84" i="80" s="1"/>
  <c r="K83" i="80"/>
  <c r="L83" i="80" s="1"/>
  <c r="H83" i="80"/>
  <c r="K82" i="80"/>
  <c r="H82" i="80"/>
  <c r="L82" i="80" s="1"/>
  <c r="K81" i="80"/>
  <c r="H81" i="80"/>
  <c r="K80" i="80"/>
  <c r="H80" i="80"/>
  <c r="L80" i="80" s="1"/>
  <c r="K79" i="80"/>
  <c r="H79" i="80"/>
  <c r="L79" i="80" s="1"/>
  <c r="K78" i="80"/>
  <c r="H78" i="80"/>
  <c r="L78" i="80" s="1"/>
  <c r="K77" i="80"/>
  <c r="H77" i="80"/>
  <c r="L77" i="80" s="1"/>
  <c r="K76" i="80"/>
  <c r="E76" i="80"/>
  <c r="H76" i="80" s="1"/>
  <c r="L76" i="80" s="1"/>
  <c r="K75" i="80"/>
  <c r="H75" i="80"/>
  <c r="L75" i="80" s="1"/>
  <c r="K74" i="80"/>
  <c r="L74" i="80" s="1"/>
  <c r="H74" i="80"/>
  <c r="K73" i="80"/>
  <c r="H73" i="80"/>
  <c r="L73" i="80" s="1"/>
  <c r="K72" i="80"/>
  <c r="H72" i="80"/>
  <c r="L72" i="80" s="1"/>
  <c r="K71" i="80"/>
  <c r="L71" i="80" s="1"/>
  <c r="H71" i="80"/>
  <c r="K70" i="80"/>
  <c r="H70" i="80"/>
  <c r="K69" i="80"/>
  <c r="H69" i="80"/>
  <c r="L69" i="80" s="1"/>
  <c r="K68" i="80"/>
  <c r="H68" i="80"/>
  <c r="L68" i="80" s="1"/>
  <c r="K67" i="80"/>
  <c r="H67" i="80"/>
  <c r="L67" i="80" s="1"/>
  <c r="K66" i="80"/>
  <c r="H66" i="80"/>
  <c r="L66" i="80" s="1"/>
  <c r="K65" i="80"/>
  <c r="E65" i="80"/>
  <c r="H65" i="80" s="1"/>
  <c r="K64" i="80"/>
  <c r="E64" i="80"/>
  <c r="H64" i="80" s="1"/>
  <c r="L64" i="80" s="1"/>
  <c r="K63" i="80"/>
  <c r="H63" i="80"/>
  <c r="K62" i="80"/>
  <c r="H62" i="80"/>
  <c r="L62" i="80" s="1"/>
  <c r="K61" i="80"/>
  <c r="L61" i="80" s="1"/>
  <c r="H61" i="80"/>
  <c r="K60" i="80"/>
  <c r="H60" i="80"/>
  <c r="L60" i="80" s="1"/>
  <c r="K59" i="80"/>
  <c r="H59" i="80"/>
  <c r="K58" i="80"/>
  <c r="H58" i="80"/>
  <c r="K57" i="80"/>
  <c r="H57" i="80"/>
  <c r="L57" i="80" s="1"/>
  <c r="K56" i="80"/>
  <c r="H56" i="80"/>
  <c r="L56" i="80" s="1"/>
  <c r="K55" i="80"/>
  <c r="H55" i="80"/>
  <c r="K54" i="80"/>
  <c r="E54" i="80"/>
  <c r="H54" i="80" s="1"/>
  <c r="L54" i="80" s="1"/>
  <c r="L53" i="80"/>
  <c r="K53" i="80"/>
  <c r="H53" i="80"/>
  <c r="K52" i="80"/>
  <c r="E52" i="80"/>
  <c r="H52" i="80" s="1"/>
  <c r="L52" i="80" s="1"/>
  <c r="K51" i="80"/>
  <c r="H51" i="80"/>
  <c r="L51" i="80" s="1"/>
  <c r="K50" i="80"/>
  <c r="H50" i="80"/>
  <c r="E50" i="80"/>
  <c r="K49" i="80"/>
  <c r="H49" i="80"/>
  <c r="L49" i="80" s="1"/>
  <c r="K48" i="80"/>
  <c r="E48" i="80"/>
  <c r="H48" i="80" s="1"/>
  <c r="K47" i="80"/>
  <c r="H47" i="80"/>
  <c r="L47" i="80" s="1"/>
  <c r="E47" i="80"/>
  <c r="K46" i="80"/>
  <c r="H46" i="80"/>
  <c r="L46" i="80" s="1"/>
  <c r="K45" i="80"/>
  <c r="E45" i="80"/>
  <c r="H45" i="80" s="1"/>
  <c r="L45" i="80" s="1"/>
  <c r="K44" i="80"/>
  <c r="E44" i="80"/>
  <c r="H44" i="80" s="1"/>
  <c r="K43" i="80"/>
  <c r="L43" i="80" s="1"/>
  <c r="H43" i="80"/>
  <c r="K42" i="80"/>
  <c r="H42" i="80"/>
  <c r="L42" i="80" s="1"/>
  <c r="K41" i="80"/>
  <c r="H41" i="80"/>
  <c r="L41" i="80" s="1"/>
  <c r="K40" i="80"/>
  <c r="H40" i="80"/>
  <c r="K39" i="80"/>
  <c r="H39" i="80"/>
  <c r="L39" i="80" s="1"/>
  <c r="K38" i="80"/>
  <c r="H38" i="80"/>
  <c r="K37" i="80"/>
  <c r="L37" i="80" s="1"/>
  <c r="H37" i="80"/>
  <c r="K36" i="80"/>
  <c r="H36" i="80"/>
  <c r="K35" i="80"/>
  <c r="H35" i="80"/>
  <c r="L35" i="80" s="1"/>
  <c r="K34" i="80"/>
  <c r="L34" i="80" s="1"/>
  <c r="H34" i="80"/>
  <c r="K33" i="80"/>
  <c r="L33" i="80" s="1"/>
  <c r="H33" i="80"/>
  <c r="K32" i="80"/>
  <c r="H32" i="80"/>
  <c r="K31" i="80"/>
  <c r="H31" i="80"/>
  <c r="K30" i="80"/>
  <c r="E30" i="80"/>
  <c r="H30" i="80" s="1"/>
  <c r="L30" i="80" s="1"/>
  <c r="K29" i="80"/>
  <c r="H29" i="80"/>
  <c r="K28" i="80"/>
  <c r="H28" i="80"/>
  <c r="L28" i="80" s="1"/>
  <c r="H27" i="80"/>
  <c r="L27" i="80" s="1"/>
  <c r="K26" i="80"/>
  <c r="E26" i="80"/>
  <c r="H26" i="80" s="1"/>
  <c r="K25" i="80"/>
  <c r="H25" i="80"/>
  <c r="L25" i="80" s="1"/>
  <c r="K24" i="80"/>
  <c r="H24" i="80"/>
  <c r="L24" i="80" s="1"/>
  <c r="K23" i="80"/>
  <c r="H23" i="80"/>
  <c r="K22" i="80"/>
  <c r="L22" i="80" s="1"/>
  <c r="H22" i="80"/>
  <c r="K21" i="80"/>
  <c r="H21" i="80"/>
  <c r="K20" i="80"/>
  <c r="H20" i="80"/>
  <c r="L20" i="80" s="1"/>
  <c r="K19" i="80"/>
  <c r="H19" i="80"/>
  <c r="L19" i="80" s="1"/>
  <c r="K18" i="80"/>
  <c r="H18" i="80"/>
  <c r="K17" i="80"/>
  <c r="H17" i="80"/>
  <c r="L17" i="80" s="1"/>
  <c r="L16" i="80"/>
  <c r="K16" i="80"/>
  <c r="H16" i="80"/>
  <c r="K15" i="80"/>
  <c r="E15" i="80"/>
  <c r="K14" i="80"/>
  <c r="H14" i="80"/>
  <c r="L14" i="80" s="1"/>
  <c r="T2" i="80"/>
  <c r="O12" i="3"/>
  <c r="Q5" i="79"/>
  <c r="K88" i="79"/>
  <c r="H88" i="79"/>
  <c r="N88" i="83" l="1"/>
  <c r="P88" i="83" s="1"/>
  <c r="N16" i="83"/>
  <c r="P16" i="83" s="1"/>
  <c r="N82" i="83"/>
  <c r="P82" i="83" s="1"/>
  <c r="N99" i="83"/>
  <c r="P99" i="83" s="1"/>
  <c r="N51" i="83"/>
  <c r="P51" i="83" s="1"/>
  <c r="Q51" i="83" s="1"/>
  <c r="N60" i="83"/>
  <c r="P60" i="83" s="1"/>
  <c r="N48" i="83"/>
  <c r="P48" i="83" s="1"/>
  <c r="N89" i="83"/>
  <c r="P89" i="83" s="1"/>
  <c r="N72" i="83"/>
  <c r="P72" i="83" s="1"/>
  <c r="N63" i="83"/>
  <c r="P63" i="83" s="1"/>
  <c r="N111" i="83"/>
  <c r="P111" i="83" s="1"/>
  <c r="N20" i="83"/>
  <c r="P20" i="83" s="1"/>
  <c r="N102" i="83"/>
  <c r="P102" i="83" s="1"/>
  <c r="N112" i="83"/>
  <c r="P112" i="83" s="1"/>
  <c r="N113" i="83"/>
  <c r="P113" i="83" s="1"/>
  <c r="N17" i="83"/>
  <c r="P17" i="83" s="1"/>
  <c r="N66" i="83"/>
  <c r="P66" i="83" s="1"/>
  <c r="N100" i="83"/>
  <c r="P100" i="83" s="1"/>
  <c r="N110" i="83"/>
  <c r="P110" i="83" s="1"/>
  <c r="N26" i="83"/>
  <c r="P26" i="83" s="1"/>
  <c r="N14" i="83"/>
  <c r="N94" i="83"/>
  <c r="P94" i="83" s="1"/>
  <c r="N83" i="83"/>
  <c r="P83" i="83" s="1"/>
  <c r="N97" i="83"/>
  <c r="P97" i="83" s="1"/>
  <c r="N57" i="83"/>
  <c r="P57" i="83" s="1"/>
  <c r="N70" i="83"/>
  <c r="P70" i="83" s="1"/>
  <c r="N27" i="83"/>
  <c r="P27" i="83" s="1"/>
  <c r="N35" i="83"/>
  <c r="P35" i="83" s="1"/>
  <c r="N96" i="83"/>
  <c r="P96" i="83" s="1"/>
  <c r="N71" i="83"/>
  <c r="P71" i="83" s="1"/>
  <c r="N65" i="83"/>
  <c r="P65" i="83" s="1"/>
  <c r="N109" i="83"/>
  <c r="P109" i="83" s="1"/>
  <c r="N47" i="83"/>
  <c r="P47" i="83" s="1"/>
  <c r="N43" i="83"/>
  <c r="P43" i="83" s="1"/>
  <c r="N38" i="83"/>
  <c r="P38" i="83" s="1"/>
  <c r="N19" i="83"/>
  <c r="P19" i="83" s="1"/>
  <c r="N68" i="83"/>
  <c r="P68" i="83" s="1"/>
  <c r="N56" i="83"/>
  <c r="P56" i="83" s="1"/>
  <c r="N84" i="83"/>
  <c r="P84" i="83" s="1"/>
  <c r="N95" i="83"/>
  <c r="P95" i="83" s="1"/>
  <c r="N50" i="83"/>
  <c r="P50" i="83" s="1"/>
  <c r="N45" i="83"/>
  <c r="P45" i="83" s="1"/>
  <c r="N37" i="83"/>
  <c r="P37" i="83" s="1"/>
  <c r="N78" i="83"/>
  <c r="P78" i="83" s="1"/>
  <c r="N24" i="83"/>
  <c r="P24" i="83" s="1"/>
  <c r="N22" i="83"/>
  <c r="P22" i="83" s="1"/>
  <c r="N103" i="83"/>
  <c r="P103" i="83" s="1"/>
  <c r="N30" i="83"/>
  <c r="P30" i="83" s="1"/>
  <c r="N107" i="83"/>
  <c r="P107" i="83" s="1"/>
  <c r="N69" i="83"/>
  <c r="P69" i="83" s="1"/>
  <c r="N74" i="83"/>
  <c r="P74" i="83" s="1"/>
  <c r="N41" i="83"/>
  <c r="P41" i="83" s="1"/>
  <c r="N64" i="83"/>
  <c r="P64" i="83" s="1"/>
  <c r="N62" i="83"/>
  <c r="P62" i="83" s="1"/>
  <c r="N46" i="83"/>
  <c r="P46" i="83" s="1"/>
  <c r="N28" i="83"/>
  <c r="P28" i="83" s="1"/>
  <c r="N33" i="83"/>
  <c r="P33" i="83" s="1"/>
  <c r="N108" i="83"/>
  <c r="P108" i="83" s="1"/>
  <c r="N104" i="83"/>
  <c r="P104" i="83" s="1"/>
  <c r="N67" i="83"/>
  <c r="P67" i="83" s="1"/>
  <c r="N39" i="83"/>
  <c r="P39" i="83" s="1"/>
  <c r="N101" i="83"/>
  <c r="P101" i="83" s="1"/>
  <c r="N32" i="83"/>
  <c r="P32" i="83" s="1"/>
  <c r="N55" i="83"/>
  <c r="P55" i="83" s="1"/>
  <c r="Q55" i="83" s="1"/>
  <c r="N75" i="83"/>
  <c r="P75" i="83" s="1"/>
  <c r="N36" i="83"/>
  <c r="P36" i="83" s="1"/>
  <c r="N79" i="83"/>
  <c r="P79" i="83" s="1"/>
  <c r="N52" i="83"/>
  <c r="P52" i="83" s="1"/>
  <c r="N85" i="83"/>
  <c r="P85" i="83" s="1"/>
  <c r="N73" i="83"/>
  <c r="P73" i="83" s="1"/>
  <c r="N98" i="83"/>
  <c r="P98" i="83" s="1"/>
  <c r="N76" i="83"/>
  <c r="P76" i="83" s="1"/>
  <c r="N23" i="83"/>
  <c r="P23" i="83" s="1"/>
  <c r="N80" i="83"/>
  <c r="P80" i="83" s="1"/>
  <c r="N87" i="83"/>
  <c r="P87" i="83" s="1"/>
  <c r="N31" i="83"/>
  <c r="P31" i="83" s="1"/>
  <c r="N61" i="83"/>
  <c r="P61" i="83" s="1"/>
  <c r="N105" i="83"/>
  <c r="P105" i="83" s="1"/>
  <c r="N42" i="83"/>
  <c r="P42" i="83" s="1"/>
  <c r="N40" i="83"/>
  <c r="P40" i="83" s="1"/>
  <c r="N58" i="83"/>
  <c r="P58" i="83" s="1"/>
  <c r="N86" i="83"/>
  <c r="P86" i="83" s="1"/>
  <c r="N53" i="83"/>
  <c r="P53" i="83" s="1"/>
  <c r="Q53" i="83" s="1"/>
  <c r="N92" i="83"/>
  <c r="P92" i="83" s="1"/>
  <c r="N44" i="83"/>
  <c r="P44" i="83" s="1"/>
  <c r="N59" i="83"/>
  <c r="P59" i="83" s="1"/>
  <c r="N77" i="83"/>
  <c r="P77" i="83" s="1"/>
  <c r="N106" i="83"/>
  <c r="P106" i="83" s="1"/>
  <c r="N91" i="83"/>
  <c r="P91" i="83" s="1"/>
  <c r="N34" i="83"/>
  <c r="P34" i="83" s="1"/>
  <c r="N29" i="83"/>
  <c r="P29" i="83" s="1"/>
  <c r="N93" i="83"/>
  <c r="P93" i="83" s="1"/>
  <c r="N49" i="83"/>
  <c r="P49" i="83" s="1"/>
  <c r="N54" i="83"/>
  <c r="P54" i="83" s="1"/>
  <c r="N81" i="83"/>
  <c r="P81" i="83" s="1"/>
  <c r="N25" i="83"/>
  <c r="P25" i="83" s="1"/>
  <c r="N15" i="83"/>
  <c r="P15" i="83" s="1"/>
  <c r="Q118" i="83"/>
  <c r="Q120" i="83" s="1"/>
  <c r="S120" i="83" s="1"/>
  <c r="N18" i="83"/>
  <c r="P18" i="83" s="1"/>
  <c r="N21" i="83"/>
  <c r="P21" i="83" s="1"/>
  <c r="U112" i="82"/>
  <c r="L39" i="82"/>
  <c r="L115" i="82" s="1"/>
  <c r="E115" i="82"/>
  <c r="Q119" i="82"/>
  <c r="L31" i="81"/>
  <c r="L21" i="80"/>
  <c r="L26" i="80"/>
  <c r="L32" i="80"/>
  <c r="L58" i="80"/>
  <c r="L70" i="80"/>
  <c r="L61" i="81"/>
  <c r="L80" i="81"/>
  <c r="L85" i="81"/>
  <c r="L38" i="80"/>
  <c r="L48" i="80"/>
  <c r="L59" i="80"/>
  <c r="L81" i="80"/>
  <c r="L17" i="81"/>
  <c r="L23" i="81"/>
  <c r="L29" i="81"/>
  <c r="L51" i="81"/>
  <c r="L56" i="81"/>
  <c r="L62" i="81"/>
  <c r="L88" i="79"/>
  <c r="L44" i="80"/>
  <c r="L65" i="80"/>
  <c r="L87" i="80"/>
  <c r="L35" i="81"/>
  <c r="L41" i="81"/>
  <c r="L71" i="81"/>
  <c r="L81" i="81"/>
  <c r="L86" i="81"/>
  <c r="L57" i="81"/>
  <c r="L63" i="81"/>
  <c r="L18" i="80"/>
  <c r="L23" i="80"/>
  <c r="L55" i="80"/>
  <c r="L19" i="81"/>
  <c r="L25" i="81"/>
  <c r="L52" i="81"/>
  <c r="L76" i="81"/>
  <c r="L82" i="81"/>
  <c r="E115" i="81"/>
  <c r="L40" i="80"/>
  <c r="L43" i="81"/>
  <c r="L36" i="80"/>
  <c r="L63" i="80"/>
  <c r="H15" i="81"/>
  <c r="L15" i="81" s="1"/>
  <c r="L115" i="81" s="1"/>
  <c r="L21" i="81"/>
  <c r="Q118" i="81" s="1"/>
  <c r="Q120" i="81" s="1"/>
  <c r="S120" i="81" s="1"/>
  <c r="L50" i="80"/>
  <c r="L45" i="81"/>
  <c r="L37" i="81"/>
  <c r="L31" i="80"/>
  <c r="L79" i="81"/>
  <c r="Q119" i="81"/>
  <c r="E115" i="80"/>
  <c r="Q119" i="80"/>
  <c r="H15" i="80"/>
  <c r="L15" i="80" s="1"/>
  <c r="L29" i="80"/>
  <c r="E44" i="79"/>
  <c r="H44" i="79" s="1"/>
  <c r="H112" i="79"/>
  <c r="L112" i="79" s="1"/>
  <c r="X115" i="79"/>
  <c r="H113" i="79"/>
  <c r="L113" i="79" s="1"/>
  <c r="H111" i="79"/>
  <c r="L111" i="79" s="1"/>
  <c r="H110" i="79"/>
  <c r="L110" i="79" s="1"/>
  <c r="H109" i="79"/>
  <c r="L109" i="79" s="1"/>
  <c r="H108" i="79"/>
  <c r="L108" i="79" s="1"/>
  <c r="H107" i="79"/>
  <c r="L107" i="79" s="1"/>
  <c r="H106" i="79"/>
  <c r="L106" i="79" s="1"/>
  <c r="H105" i="79"/>
  <c r="L105" i="79" s="1"/>
  <c r="H104" i="79"/>
  <c r="L104" i="79" s="1"/>
  <c r="H103" i="79"/>
  <c r="L103" i="79" s="1"/>
  <c r="H102" i="79"/>
  <c r="L102" i="79" s="1"/>
  <c r="H101" i="79"/>
  <c r="L101" i="79" s="1"/>
  <c r="H100" i="79"/>
  <c r="L100" i="79" s="1"/>
  <c r="H99" i="79"/>
  <c r="L99" i="79" s="1"/>
  <c r="H98" i="79"/>
  <c r="L98" i="79" s="1"/>
  <c r="H97" i="79"/>
  <c r="L97" i="79" s="1"/>
  <c r="H96" i="79"/>
  <c r="L96" i="79" s="1"/>
  <c r="H95" i="79"/>
  <c r="L95" i="79" s="1"/>
  <c r="H94" i="79"/>
  <c r="L94" i="79" s="1"/>
  <c r="H93" i="79"/>
  <c r="L93" i="79" s="1"/>
  <c r="H92" i="79"/>
  <c r="L92" i="79" s="1"/>
  <c r="H91" i="79"/>
  <c r="L91" i="79" s="1"/>
  <c r="K89" i="79"/>
  <c r="H89" i="79"/>
  <c r="K87" i="79"/>
  <c r="H87" i="79"/>
  <c r="L87" i="79" s="1"/>
  <c r="K86" i="79"/>
  <c r="H86" i="79"/>
  <c r="K85" i="79"/>
  <c r="E85" i="79"/>
  <c r="H85" i="79" s="1"/>
  <c r="K84" i="79"/>
  <c r="E84" i="79"/>
  <c r="H84" i="79" s="1"/>
  <c r="K83" i="79"/>
  <c r="H83" i="79"/>
  <c r="K82" i="79"/>
  <c r="H82" i="79"/>
  <c r="K81" i="79"/>
  <c r="H81" i="79"/>
  <c r="K80" i="79"/>
  <c r="H80" i="79"/>
  <c r="L80" i="79" s="1"/>
  <c r="K79" i="79"/>
  <c r="H79" i="79"/>
  <c r="K78" i="79"/>
  <c r="H78" i="79"/>
  <c r="K77" i="79"/>
  <c r="H77" i="79"/>
  <c r="L77" i="79" s="1"/>
  <c r="K76" i="79"/>
  <c r="E76" i="79"/>
  <c r="H76" i="79" s="1"/>
  <c r="K75" i="79"/>
  <c r="H75" i="79"/>
  <c r="L75" i="79" s="1"/>
  <c r="K74" i="79"/>
  <c r="H74" i="79"/>
  <c r="K73" i="79"/>
  <c r="H73" i="79"/>
  <c r="K72" i="79"/>
  <c r="H72" i="79"/>
  <c r="K71" i="79"/>
  <c r="H71" i="79"/>
  <c r="L71" i="79" s="1"/>
  <c r="K70" i="79"/>
  <c r="H70" i="79"/>
  <c r="K69" i="79"/>
  <c r="H69" i="79"/>
  <c r="L69" i="79" s="1"/>
  <c r="K68" i="79"/>
  <c r="H68" i="79"/>
  <c r="K67" i="79"/>
  <c r="H67" i="79"/>
  <c r="K66" i="79"/>
  <c r="H66" i="79"/>
  <c r="K65" i="79"/>
  <c r="E65" i="79"/>
  <c r="H65" i="79" s="1"/>
  <c r="K64" i="79"/>
  <c r="E64" i="79"/>
  <c r="H64" i="79" s="1"/>
  <c r="K63" i="79"/>
  <c r="H63" i="79"/>
  <c r="K62" i="79"/>
  <c r="H62" i="79"/>
  <c r="L62" i="79" s="1"/>
  <c r="K61" i="79"/>
  <c r="H61" i="79"/>
  <c r="K60" i="79"/>
  <c r="H60" i="79"/>
  <c r="K59" i="79"/>
  <c r="H59" i="79"/>
  <c r="K58" i="79"/>
  <c r="H58" i="79"/>
  <c r="K57" i="79"/>
  <c r="H57" i="79"/>
  <c r="L57" i="79" s="1"/>
  <c r="K56" i="79"/>
  <c r="H56" i="79"/>
  <c r="L56" i="79" s="1"/>
  <c r="K55" i="79"/>
  <c r="H55" i="79"/>
  <c r="K54" i="79"/>
  <c r="E54" i="79"/>
  <c r="H54" i="79" s="1"/>
  <c r="K53" i="79"/>
  <c r="H53" i="79"/>
  <c r="L53" i="79" s="1"/>
  <c r="K52" i="79"/>
  <c r="E52" i="79"/>
  <c r="H52" i="79" s="1"/>
  <c r="L52" i="79" s="1"/>
  <c r="K51" i="79"/>
  <c r="H51" i="79"/>
  <c r="L51" i="79" s="1"/>
  <c r="K50" i="79"/>
  <c r="E50" i="79"/>
  <c r="H50" i="79" s="1"/>
  <c r="L50" i="79" s="1"/>
  <c r="K49" i="79"/>
  <c r="H49" i="79"/>
  <c r="K48" i="79"/>
  <c r="E48" i="79"/>
  <c r="H48" i="79" s="1"/>
  <c r="K47" i="79"/>
  <c r="E47" i="79"/>
  <c r="H47" i="79" s="1"/>
  <c r="L47" i="79" s="1"/>
  <c r="K46" i="79"/>
  <c r="H46" i="79"/>
  <c r="K45" i="79"/>
  <c r="E45" i="79"/>
  <c r="H45" i="79" s="1"/>
  <c r="L45" i="79" s="1"/>
  <c r="K44" i="79"/>
  <c r="K43" i="79"/>
  <c r="H43" i="79"/>
  <c r="K42" i="79"/>
  <c r="H42" i="79"/>
  <c r="K41" i="79"/>
  <c r="H41" i="79"/>
  <c r="K40" i="79"/>
  <c r="H40" i="79"/>
  <c r="K39" i="79"/>
  <c r="H39" i="79"/>
  <c r="K38" i="79"/>
  <c r="H38" i="79"/>
  <c r="K37" i="79"/>
  <c r="H37" i="79"/>
  <c r="K36" i="79"/>
  <c r="H36" i="79"/>
  <c r="K35" i="79"/>
  <c r="H35" i="79"/>
  <c r="K34" i="79"/>
  <c r="H34" i="79"/>
  <c r="K33" i="79"/>
  <c r="H33" i="79"/>
  <c r="K32" i="79"/>
  <c r="H32" i="79"/>
  <c r="K31" i="79"/>
  <c r="H31" i="79"/>
  <c r="K30" i="79"/>
  <c r="E30" i="79"/>
  <c r="H30" i="79" s="1"/>
  <c r="K29" i="79"/>
  <c r="H29" i="79"/>
  <c r="K28" i="79"/>
  <c r="H28" i="79"/>
  <c r="H27" i="79"/>
  <c r="L27" i="79" s="1"/>
  <c r="K26" i="79"/>
  <c r="E26" i="79"/>
  <c r="H26" i="79" s="1"/>
  <c r="K25" i="79"/>
  <c r="H25" i="79"/>
  <c r="L25" i="79" s="1"/>
  <c r="K24" i="79"/>
  <c r="H24" i="79"/>
  <c r="K23" i="79"/>
  <c r="H23" i="79"/>
  <c r="K22" i="79"/>
  <c r="H22" i="79"/>
  <c r="K21" i="79"/>
  <c r="H21" i="79"/>
  <c r="K20" i="79"/>
  <c r="H20" i="79"/>
  <c r="K19" i="79"/>
  <c r="H19" i="79"/>
  <c r="K18" i="79"/>
  <c r="H18" i="79"/>
  <c r="K17" i="79"/>
  <c r="H17" i="79"/>
  <c r="K16" i="79"/>
  <c r="H16" i="79"/>
  <c r="K15" i="79"/>
  <c r="E15" i="79"/>
  <c r="H15" i="79" s="1"/>
  <c r="L15" i="79" s="1"/>
  <c r="K14" i="79"/>
  <c r="H14" i="79"/>
  <c r="T2" i="79"/>
  <c r="Q67" i="83" l="1"/>
  <c r="Y67" i="83"/>
  <c r="V67" i="83"/>
  <c r="Q98" i="83"/>
  <c r="V98" i="83"/>
  <c r="Q92" i="83"/>
  <c r="V92" i="83"/>
  <c r="V19" i="83"/>
  <c r="Y19" i="83"/>
  <c r="Q19" i="83"/>
  <c r="Q111" i="83"/>
  <c r="V111" i="83"/>
  <c r="V22" i="83"/>
  <c r="Q22" i="83"/>
  <c r="Y22" i="83"/>
  <c r="Q94" i="83"/>
  <c r="V94" i="83"/>
  <c r="Q58" i="83"/>
  <c r="Y58" i="83"/>
  <c r="V58" i="83"/>
  <c r="Q24" i="83"/>
  <c r="Y24" i="83"/>
  <c r="V24" i="83"/>
  <c r="N115" i="83"/>
  <c r="P14" i="83"/>
  <c r="Y52" i="83"/>
  <c r="V52" i="83"/>
  <c r="Q52" i="83"/>
  <c r="Q109" i="83"/>
  <c r="V109" i="83"/>
  <c r="V29" i="83"/>
  <c r="Q29" i="83"/>
  <c r="Y29" i="83"/>
  <c r="Y46" i="83"/>
  <c r="V46" i="83"/>
  <c r="Q46" i="83"/>
  <c r="Q48" i="83"/>
  <c r="Y48" i="83"/>
  <c r="V48" i="83"/>
  <c r="V105" i="83"/>
  <c r="Q105" i="83"/>
  <c r="Y71" i="83"/>
  <c r="V71" i="83"/>
  <c r="Q71" i="83"/>
  <c r="Q61" i="83"/>
  <c r="Y61" i="83"/>
  <c r="V61" i="83"/>
  <c r="Q50" i="83"/>
  <c r="Y50" i="83"/>
  <c r="V50" i="83"/>
  <c r="Q96" i="83"/>
  <c r="V96" i="83"/>
  <c r="V66" i="83"/>
  <c r="Q66" i="83"/>
  <c r="Y66" i="83"/>
  <c r="Y21" i="83"/>
  <c r="V21" i="83"/>
  <c r="Q21" i="83"/>
  <c r="Q106" i="83"/>
  <c r="V106" i="83"/>
  <c r="Q31" i="83"/>
  <c r="V31" i="83"/>
  <c r="Y31" i="83"/>
  <c r="Q41" i="83"/>
  <c r="V41" i="83"/>
  <c r="Y41" i="83"/>
  <c r="Q95" i="83"/>
  <c r="V95" i="83"/>
  <c r="V35" i="83"/>
  <c r="Y35" i="83"/>
  <c r="Q35" i="83"/>
  <c r="V17" i="83"/>
  <c r="Q17" i="83"/>
  <c r="Y17" i="83"/>
  <c r="Q99" i="83"/>
  <c r="V99" i="83"/>
  <c r="V25" i="83"/>
  <c r="Y25" i="83"/>
  <c r="Q25" i="83"/>
  <c r="Q97" i="83"/>
  <c r="V97" i="83"/>
  <c r="Y81" i="83"/>
  <c r="V81" i="83"/>
  <c r="Q81" i="83"/>
  <c r="Y38" i="83"/>
  <c r="Q38" i="83"/>
  <c r="V38" i="83"/>
  <c r="Q54" i="83"/>
  <c r="Y54" i="83"/>
  <c r="V54" i="83"/>
  <c r="Q108" i="83"/>
  <c r="V108" i="83"/>
  <c r="Q43" i="83"/>
  <c r="Y43" i="83"/>
  <c r="V43" i="83"/>
  <c r="Y85" i="83"/>
  <c r="V85" i="83"/>
  <c r="Q85" i="83"/>
  <c r="Y72" i="83"/>
  <c r="V72" i="83"/>
  <c r="Q72" i="83"/>
  <c r="Q40" i="83"/>
  <c r="Y40" i="83"/>
  <c r="V40" i="83"/>
  <c r="V28" i="83"/>
  <c r="Q28" i="83"/>
  <c r="Y28" i="83"/>
  <c r="V26" i="83"/>
  <c r="Y26" i="83"/>
  <c r="Q26" i="83"/>
  <c r="Y42" i="83"/>
  <c r="Q42" i="83"/>
  <c r="V42" i="83"/>
  <c r="Q37" i="83"/>
  <c r="Y37" i="83"/>
  <c r="V37" i="83"/>
  <c r="Y36" i="83"/>
  <c r="V36" i="83"/>
  <c r="Q36" i="83"/>
  <c r="Y45" i="83"/>
  <c r="Q45" i="83"/>
  <c r="V45" i="83"/>
  <c r="V75" i="83"/>
  <c r="Y75" i="83"/>
  <c r="Q75" i="83"/>
  <c r="Y87" i="83"/>
  <c r="V87" i="83"/>
  <c r="Q87" i="83"/>
  <c r="V32" i="83"/>
  <c r="Y32" i="83"/>
  <c r="Q32" i="83"/>
  <c r="Q27" i="83"/>
  <c r="Y27" i="83"/>
  <c r="V27" i="83"/>
  <c r="V113" i="83"/>
  <c r="Q113" i="83"/>
  <c r="Y82" i="83"/>
  <c r="V82" i="83"/>
  <c r="Q82" i="83"/>
  <c r="Q30" i="83"/>
  <c r="Y30" i="83"/>
  <c r="V30" i="83"/>
  <c r="Q103" i="83"/>
  <c r="V103" i="83"/>
  <c r="Q86" i="83"/>
  <c r="Y86" i="83"/>
  <c r="V86" i="83"/>
  <c r="Y65" i="83"/>
  <c r="V65" i="83"/>
  <c r="Q65" i="83"/>
  <c r="Q34" i="83"/>
  <c r="V34" i="83"/>
  <c r="Y34" i="83"/>
  <c r="Q100" i="83"/>
  <c r="V100" i="83"/>
  <c r="Q91" i="83"/>
  <c r="V91" i="83"/>
  <c r="Y18" i="83"/>
  <c r="V18" i="83"/>
  <c r="Q18" i="83"/>
  <c r="Y84" i="83"/>
  <c r="V84" i="83"/>
  <c r="Q84" i="83"/>
  <c r="Y59" i="83"/>
  <c r="V59" i="83"/>
  <c r="Q59" i="83"/>
  <c r="V80" i="83"/>
  <c r="Q80" i="83"/>
  <c r="Y80" i="83"/>
  <c r="V101" i="83"/>
  <c r="Q101" i="83"/>
  <c r="Y69" i="83"/>
  <c r="V69" i="83"/>
  <c r="Q69" i="83"/>
  <c r="Q56" i="83"/>
  <c r="V56" i="83"/>
  <c r="Y56" i="83"/>
  <c r="Y70" i="83"/>
  <c r="V70" i="83"/>
  <c r="Q70" i="83"/>
  <c r="Q112" i="83"/>
  <c r="V112" i="83"/>
  <c r="R112" i="83"/>
  <c r="V16" i="83"/>
  <c r="Q16" i="83"/>
  <c r="Y16" i="83"/>
  <c r="Y76" i="83"/>
  <c r="V76" i="83"/>
  <c r="Q76" i="83"/>
  <c r="Y20" i="83"/>
  <c r="V20" i="83"/>
  <c r="Q20" i="83"/>
  <c r="Q104" i="83"/>
  <c r="V104" i="83"/>
  <c r="V83" i="83"/>
  <c r="Q83" i="83"/>
  <c r="Q73" i="83"/>
  <c r="Y73" i="83"/>
  <c r="V73" i="83"/>
  <c r="Y63" i="83"/>
  <c r="V63" i="83"/>
  <c r="Q63" i="83"/>
  <c r="V49" i="83"/>
  <c r="Q49" i="83"/>
  <c r="V33" i="83"/>
  <c r="Q33" i="83"/>
  <c r="Y33" i="83"/>
  <c r="V47" i="83"/>
  <c r="Q47" i="83"/>
  <c r="Y47" i="83"/>
  <c r="V93" i="83"/>
  <c r="Q93" i="83"/>
  <c r="Q78" i="83"/>
  <c r="Y78" i="83"/>
  <c r="V78" i="83"/>
  <c r="V89" i="83"/>
  <c r="Q89" i="83"/>
  <c r="Y89" i="83"/>
  <c r="V79" i="83"/>
  <c r="Q79" i="83"/>
  <c r="Y79" i="83"/>
  <c r="Q110" i="83"/>
  <c r="V110" i="83"/>
  <c r="Y62" i="83"/>
  <c r="V62" i="83"/>
  <c r="Q62" i="83"/>
  <c r="Y60" i="83"/>
  <c r="Q60" i="83"/>
  <c r="V60" i="83"/>
  <c r="V64" i="83"/>
  <c r="Q64" i="83"/>
  <c r="Y64" i="83"/>
  <c r="V77" i="83"/>
  <c r="Q77" i="83"/>
  <c r="Y77" i="83"/>
  <c r="Y74" i="83"/>
  <c r="V74" i="83"/>
  <c r="Q74" i="83"/>
  <c r="Y15" i="83"/>
  <c r="V15" i="83"/>
  <c r="Q15" i="83"/>
  <c r="Y44" i="83"/>
  <c r="Q44" i="83"/>
  <c r="V44" i="83"/>
  <c r="Y23" i="83"/>
  <c r="V23" i="83"/>
  <c r="Q23" i="83"/>
  <c r="Y39" i="83"/>
  <c r="V39" i="83"/>
  <c r="Q39" i="83"/>
  <c r="V107" i="83"/>
  <c r="Q107" i="83"/>
  <c r="Y68" i="83"/>
  <c r="V68" i="83"/>
  <c r="Q68" i="83"/>
  <c r="Y57" i="83"/>
  <c r="Q57" i="83"/>
  <c r="V57" i="83"/>
  <c r="Q102" i="83"/>
  <c r="V102" i="83"/>
  <c r="Q88" i="83"/>
  <c r="V88" i="83"/>
  <c r="N16" i="82"/>
  <c r="P16" i="82" s="1"/>
  <c r="N50" i="82"/>
  <c r="P50" i="82" s="1"/>
  <c r="N40" i="82"/>
  <c r="P40" i="82" s="1"/>
  <c r="N64" i="82"/>
  <c r="P64" i="82" s="1"/>
  <c r="N71" i="82"/>
  <c r="P71" i="82" s="1"/>
  <c r="N96" i="82"/>
  <c r="P96" i="82" s="1"/>
  <c r="N70" i="82"/>
  <c r="P70" i="82" s="1"/>
  <c r="N100" i="82"/>
  <c r="P100" i="82" s="1"/>
  <c r="N74" i="82"/>
  <c r="P74" i="82" s="1"/>
  <c r="N85" i="82"/>
  <c r="P85" i="82" s="1"/>
  <c r="N92" i="82"/>
  <c r="P92" i="82" s="1"/>
  <c r="N59" i="82"/>
  <c r="P59" i="82" s="1"/>
  <c r="N60" i="82"/>
  <c r="P60" i="82" s="1"/>
  <c r="N88" i="82"/>
  <c r="P88" i="82" s="1"/>
  <c r="N36" i="82"/>
  <c r="P36" i="82" s="1"/>
  <c r="N94" i="82"/>
  <c r="P94" i="82" s="1"/>
  <c r="N66" i="82"/>
  <c r="P66" i="82" s="1"/>
  <c r="N53" i="82"/>
  <c r="P53" i="82" s="1"/>
  <c r="Q53" i="82" s="1"/>
  <c r="N34" i="82"/>
  <c r="P34" i="82" s="1"/>
  <c r="N42" i="82"/>
  <c r="P42" i="82" s="1"/>
  <c r="N91" i="82"/>
  <c r="P91" i="82" s="1"/>
  <c r="N98" i="82"/>
  <c r="P98" i="82" s="1"/>
  <c r="N109" i="82"/>
  <c r="P109" i="82" s="1"/>
  <c r="N113" i="82"/>
  <c r="P113" i="82" s="1"/>
  <c r="N35" i="82"/>
  <c r="P35" i="82" s="1"/>
  <c r="N37" i="82"/>
  <c r="P37" i="82" s="1"/>
  <c r="N44" i="82"/>
  <c r="P44" i="82" s="1"/>
  <c r="N86" i="82"/>
  <c r="P86" i="82" s="1"/>
  <c r="N43" i="82"/>
  <c r="P43" i="82" s="1"/>
  <c r="N112" i="82"/>
  <c r="P112" i="82" s="1"/>
  <c r="N102" i="82"/>
  <c r="P102" i="82" s="1"/>
  <c r="N32" i="82"/>
  <c r="P32" i="82" s="1"/>
  <c r="N97" i="82"/>
  <c r="P97" i="82" s="1"/>
  <c r="N49" i="82"/>
  <c r="P49" i="82" s="1"/>
  <c r="N51" i="82"/>
  <c r="P51" i="82" s="1"/>
  <c r="Q51" i="82" s="1"/>
  <c r="N21" i="82"/>
  <c r="P21" i="82" s="1"/>
  <c r="N75" i="82"/>
  <c r="P75" i="82" s="1"/>
  <c r="N45" i="82"/>
  <c r="P45" i="82" s="1"/>
  <c r="N22" i="82"/>
  <c r="P22" i="82" s="1"/>
  <c r="N79" i="82"/>
  <c r="P79" i="82" s="1"/>
  <c r="N106" i="82"/>
  <c r="P106" i="82" s="1"/>
  <c r="N105" i="82"/>
  <c r="P105" i="82" s="1"/>
  <c r="N28" i="82"/>
  <c r="P28" i="82" s="1"/>
  <c r="N61" i="82"/>
  <c r="P61" i="82" s="1"/>
  <c r="N110" i="82"/>
  <c r="P110" i="82" s="1"/>
  <c r="N31" i="82"/>
  <c r="P31" i="82" s="1"/>
  <c r="N58" i="82"/>
  <c r="P58" i="82" s="1"/>
  <c r="N77" i="82"/>
  <c r="P77" i="82" s="1"/>
  <c r="N76" i="82"/>
  <c r="P76" i="82" s="1"/>
  <c r="N104" i="82"/>
  <c r="P104" i="82" s="1"/>
  <c r="N72" i="82"/>
  <c r="P72" i="82" s="1"/>
  <c r="N57" i="82"/>
  <c r="P57" i="82" s="1"/>
  <c r="N26" i="82"/>
  <c r="P26" i="82" s="1"/>
  <c r="N54" i="82"/>
  <c r="P54" i="82" s="1"/>
  <c r="N29" i="82"/>
  <c r="P29" i="82" s="1"/>
  <c r="N46" i="82"/>
  <c r="P46" i="82" s="1"/>
  <c r="N27" i="82"/>
  <c r="P27" i="82" s="1"/>
  <c r="N20" i="82"/>
  <c r="P20" i="82" s="1"/>
  <c r="N56" i="82"/>
  <c r="P56" i="82" s="1"/>
  <c r="N78" i="82"/>
  <c r="P78" i="82" s="1"/>
  <c r="N87" i="82"/>
  <c r="P87" i="82" s="1"/>
  <c r="N103" i="82"/>
  <c r="P103" i="82" s="1"/>
  <c r="N55" i="82"/>
  <c r="P55" i="82" s="1"/>
  <c r="Q55" i="82" s="1"/>
  <c r="N83" i="82"/>
  <c r="P83" i="82" s="1"/>
  <c r="N48" i="82"/>
  <c r="P48" i="82" s="1"/>
  <c r="N38" i="82"/>
  <c r="P38" i="82" s="1"/>
  <c r="N81" i="82"/>
  <c r="P81" i="82" s="1"/>
  <c r="N93" i="82"/>
  <c r="P93" i="82" s="1"/>
  <c r="N68" i="82"/>
  <c r="P68" i="82" s="1"/>
  <c r="N80" i="82"/>
  <c r="P80" i="82" s="1"/>
  <c r="N18" i="82"/>
  <c r="P18" i="82" s="1"/>
  <c r="N65" i="82"/>
  <c r="P65" i="82" s="1"/>
  <c r="N107" i="82"/>
  <c r="P107" i="82" s="1"/>
  <c r="N63" i="82"/>
  <c r="P63" i="82" s="1"/>
  <c r="N84" i="82"/>
  <c r="P84" i="82" s="1"/>
  <c r="N69" i="82"/>
  <c r="P69" i="82" s="1"/>
  <c r="N82" i="82"/>
  <c r="P82" i="82" s="1"/>
  <c r="N95" i="82"/>
  <c r="P95" i="82" s="1"/>
  <c r="N101" i="82"/>
  <c r="P101" i="82" s="1"/>
  <c r="N67" i="82"/>
  <c r="P67" i="82" s="1"/>
  <c r="N73" i="82"/>
  <c r="P73" i="82" s="1"/>
  <c r="N23" i="82"/>
  <c r="P23" i="82" s="1"/>
  <c r="N24" i="82"/>
  <c r="P24" i="82" s="1"/>
  <c r="N30" i="82"/>
  <c r="P30" i="82" s="1"/>
  <c r="N14" i="82"/>
  <c r="N17" i="82"/>
  <c r="P17" i="82" s="1"/>
  <c r="N89" i="82"/>
  <c r="P89" i="82" s="1"/>
  <c r="N47" i="82"/>
  <c r="P47" i="82" s="1"/>
  <c r="N111" i="82"/>
  <c r="P111" i="82" s="1"/>
  <c r="N108" i="82"/>
  <c r="P108" i="82" s="1"/>
  <c r="N19" i="82"/>
  <c r="P19" i="82" s="1"/>
  <c r="N25" i="82"/>
  <c r="P25" i="82" s="1"/>
  <c r="N41" i="82"/>
  <c r="P41" i="82" s="1"/>
  <c r="N15" i="82"/>
  <c r="P15" i="82" s="1"/>
  <c r="N52" i="82"/>
  <c r="P52" i="82" s="1"/>
  <c r="N62" i="82"/>
  <c r="P62" i="82" s="1"/>
  <c r="N99" i="82"/>
  <c r="P99" i="82" s="1"/>
  <c r="N33" i="82"/>
  <c r="P33" i="82" s="1"/>
  <c r="Q118" i="82"/>
  <c r="Q120" i="82" s="1"/>
  <c r="S120" i="82" s="1"/>
  <c r="N39" i="82"/>
  <c r="P39" i="82" s="1"/>
  <c r="N80" i="81"/>
  <c r="N19" i="81"/>
  <c r="N64" i="81"/>
  <c r="N48" i="81"/>
  <c r="N36" i="81"/>
  <c r="N69" i="81"/>
  <c r="N105" i="81"/>
  <c r="N47" i="81"/>
  <c r="N32" i="81"/>
  <c r="N46" i="81"/>
  <c r="N44" i="81"/>
  <c r="N20" i="81"/>
  <c r="N81" i="81"/>
  <c r="N102" i="81"/>
  <c r="N79" i="81"/>
  <c r="N104" i="81"/>
  <c r="N39" i="81"/>
  <c r="N14" i="81"/>
  <c r="N58" i="81"/>
  <c r="N17" i="81"/>
  <c r="N72" i="81"/>
  <c r="N108" i="81"/>
  <c r="N37" i="81"/>
  <c r="L17" i="79"/>
  <c r="L23" i="79"/>
  <c r="L48" i="79"/>
  <c r="L54" i="79"/>
  <c r="L60" i="79"/>
  <c r="L66" i="79"/>
  <c r="L72" i="79"/>
  <c r="L78" i="79"/>
  <c r="L83" i="79"/>
  <c r="N38" i="81"/>
  <c r="N43" i="81"/>
  <c r="N68" i="81"/>
  <c r="N95" i="81"/>
  <c r="N42" i="81"/>
  <c r="N55" i="81"/>
  <c r="N93" i="81"/>
  <c r="N92" i="81"/>
  <c r="N26" i="81"/>
  <c r="N31" i="81"/>
  <c r="N53" i="81"/>
  <c r="N66" i="81"/>
  <c r="N30" i="81"/>
  <c r="N96" i="81"/>
  <c r="N33" i="81"/>
  <c r="N50" i="81"/>
  <c r="N63" i="81"/>
  <c r="N107" i="81"/>
  <c r="N28" i="81"/>
  <c r="N84" i="81"/>
  <c r="N113" i="81"/>
  <c r="N110" i="81"/>
  <c r="N40" i="81"/>
  <c r="N57" i="81"/>
  <c r="N106" i="81"/>
  <c r="N22" i="81"/>
  <c r="N73" i="81"/>
  <c r="N101" i="81"/>
  <c r="N65" i="81"/>
  <c r="N98" i="81"/>
  <c r="N85" i="81"/>
  <c r="N24" i="81"/>
  <c r="N94" i="81"/>
  <c r="N16" i="81"/>
  <c r="N60" i="81"/>
  <c r="N89" i="81"/>
  <c r="N111" i="81"/>
  <c r="N82" i="81"/>
  <c r="N61" i="81"/>
  <c r="N18" i="81"/>
  <c r="N70" i="81"/>
  <c r="N103" i="81"/>
  <c r="N49" i="81"/>
  <c r="N54" i="81"/>
  <c r="N99" i="81"/>
  <c r="N76" i="81"/>
  <c r="N27" i="81"/>
  <c r="N86" i="81"/>
  <c r="N62" i="81"/>
  <c r="N91" i="81"/>
  <c r="N21" i="81"/>
  <c r="N112" i="81"/>
  <c r="N88" i="81"/>
  <c r="N67" i="81"/>
  <c r="N109" i="81"/>
  <c r="N75" i="81"/>
  <c r="N71" i="81"/>
  <c r="N56" i="81"/>
  <c r="N15" i="81"/>
  <c r="N100" i="81"/>
  <c r="N83" i="81"/>
  <c r="N52" i="81"/>
  <c r="N97" i="81"/>
  <c r="N35" i="81"/>
  <c r="N41" i="81"/>
  <c r="N51" i="81"/>
  <c r="N74" i="81"/>
  <c r="N78" i="81"/>
  <c r="N59" i="81"/>
  <c r="N77" i="81"/>
  <c r="N25" i="81"/>
  <c r="N87" i="81"/>
  <c r="N23" i="81"/>
  <c r="N34" i="81"/>
  <c r="N29" i="81"/>
  <c r="N45" i="81"/>
  <c r="Q118" i="80"/>
  <c r="Q120" i="80" s="1"/>
  <c r="S120" i="80" s="1"/>
  <c r="L115" i="80"/>
  <c r="N29" i="80" s="1"/>
  <c r="L28" i="79"/>
  <c r="L16" i="79"/>
  <c r="L22" i="79"/>
  <c r="L49" i="79"/>
  <c r="L61" i="79"/>
  <c r="L67" i="79"/>
  <c r="L73" i="79"/>
  <c r="L79" i="79"/>
  <c r="L85" i="79"/>
  <c r="L86" i="79"/>
  <c r="L20" i="79"/>
  <c r="L81" i="79"/>
  <c r="L21" i="79"/>
  <c r="L58" i="79"/>
  <c r="L89" i="79"/>
  <c r="L40" i="79"/>
  <c r="L35" i="79"/>
  <c r="L59" i="79"/>
  <c r="L29" i="79"/>
  <c r="L41" i="79"/>
  <c r="L30" i="79"/>
  <c r="L44" i="79"/>
  <c r="L14" i="79"/>
  <c r="L36" i="79"/>
  <c r="L31" i="79"/>
  <c r="L26" i="79"/>
  <c r="L37" i="79"/>
  <c r="L63" i="79"/>
  <c r="L42" i="79"/>
  <c r="L43" i="79"/>
  <c r="L32" i="79"/>
  <c r="L38" i="79"/>
  <c r="L33" i="79"/>
  <c r="L39" i="79"/>
  <c r="L18" i="79"/>
  <c r="L34" i="79"/>
  <c r="L64" i="79"/>
  <c r="L19" i="79"/>
  <c r="L24" i="79"/>
  <c r="L46" i="79"/>
  <c r="L55" i="79"/>
  <c r="L70" i="79"/>
  <c r="L76" i="79"/>
  <c r="L82" i="79"/>
  <c r="L84" i="79"/>
  <c r="L65" i="79"/>
  <c r="L74" i="79"/>
  <c r="Q119" i="79"/>
  <c r="L68" i="79"/>
  <c r="E115" i="79"/>
  <c r="Q5" i="77"/>
  <c r="Q14" i="83" l="1"/>
  <c r="P115" i="83"/>
  <c r="V14" i="83"/>
  <c r="Y14" i="83"/>
  <c r="Y115" i="83" s="1"/>
  <c r="Y77" i="82"/>
  <c r="Q77" i="82"/>
  <c r="V77" i="82"/>
  <c r="Y24" i="82"/>
  <c r="V24" i="82"/>
  <c r="Q24" i="82"/>
  <c r="V109" i="82"/>
  <c r="Q109" i="82"/>
  <c r="Q20" i="82"/>
  <c r="Y20" i="82"/>
  <c r="V20" i="82"/>
  <c r="V41" i="82"/>
  <c r="Q41" i="82"/>
  <c r="Y41" i="82"/>
  <c r="V97" i="82"/>
  <c r="Q97" i="82"/>
  <c r="V93" i="82"/>
  <c r="Q93" i="82"/>
  <c r="Q100" i="82"/>
  <c r="V100" i="82"/>
  <c r="Q29" i="82"/>
  <c r="Y29" i="82"/>
  <c r="V29" i="82"/>
  <c r="Q108" i="82"/>
  <c r="V108" i="82"/>
  <c r="V105" i="82"/>
  <c r="Q105" i="82"/>
  <c r="V111" i="82"/>
  <c r="Q111" i="82"/>
  <c r="Y48" i="82"/>
  <c r="Q48" i="82"/>
  <c r="V48" i="82"/>
  <c r="Q26" i="82"/>
  <c r="Y26" i="82"/>
  <c r="V26" i="82"/>
  <c r="Q106" i="82"/>
  <c r="V106" i="82"/>
  <c r="Y43" i="82"/>
  <c r="V43" i="82"/>
  <c r="Q43" i="82"/>
  <c r="V66" i="82"/>
  <c r="Q66" i="82"/>
  <c r="Y66" i="82"/>
  <c r="V71" i="82"/>
  <c r="Q71" i="82"/>
  <c r="Y71" i="82"/>
  <c r="V62" i="82"/>
  <c r="Y62" i="82"/>
  <c r="Q62" i="82"/>
  <c r="V113" i="82"/>
  <c r="Q113" i="82"/>
  <c r="Y80" i="82"/>
  <c r="V80" i="82"/>
  <c r="Q80" i="82"/>
  <c r="V49" i="82"/>
  <c r="Q49" i="82"/>
  <c r="Y68" i="82"/>
  <c r="V68" i="82"/>
  <c r="Q68" i="82"/>
  <c r="V91" i="82"/>
  <c r="Q91" i="82"/>
  <c r="Y32" i="82"/>
  <c r="Q32" i="82"/>
  <c r="V32" i="82"/>
  <c r="Q81" i="82"/>
  <c r="Y81" i="82"/>
  <c r="V81" i="82"/>
  <c r="V34" i="82"/>
  <c r="Y34" i="82"/>
  <c r="Q34" i="82"/>
  <c r="V54" i="82"/>
  <c r="Q54" i="82"/>
  <c r="Y54" i="82"/>
  <c r="V112" i="82"/>
  <c r="Q112" i="82"/>
  <c r="R112" i="82"/>
  <c r="Y82" i="82"/>
  <c r="V82" i="82"/>
  <c r="Q82" i="82"/>
  <c r="Y39" i="82"/>
  <c r="V39" i="82"/>
  <c r="Q39" i="82"/>
  <c r="Y47" i="82"/>
  <c r="Q47" i="82"/>
  <c r="V47" i="82"/>
  <c r="V69" i="82"/>
  <c r="Q69" i="82"/>
  <c r="Y69" i="82"/>
  <c r="V83" i="82"/>
  <c r="Q83" i="82"/>
  <c r="Y57" i="82"/>
  <c r="V57" i="82"/>
  <c r="Q57" i="82"/>
  <c r="Y79" i="82"/>
  <c r="V79" i="82"/>
  <c r="Q79" i="82"/>
  <c r="Y86" i="82"/>
  <c r="V86" i="82"/>
  <c r="Q86" i="82"/>
  <c r="V94" i="82"/>
  <c r="Q94" i="82"/>
  <c r="Q64" i="82"/>
  <c r="Y64" i="82"/>
  <c r="V64" i="82"/>
  <c r="Q78" i="82"/>
  <c r="Y78" i="82"/>
  <c r="V78" i="82"/>
  <c r="Y52" i="82"/>
  <c r="V52" i="82"/>
  <c r="Q52" i="82"/>
  <c r="Y56" i="82"/>
  <c r="Q56" i="82"/>
  <c r="V56" i="82"/>
  <c r="Y15" i="82"/>
  <c r="V15" i="82"/>
  <c r="Q15" i="82"/>
  <c r="V98" i="82"/>
  <c r="Q98" i="82"/>
  <c r="V110" i="82"/>
  <c r="Q110" i="82"/>
  <c r="Q67" i="82"/>
  <c r="Y67" i="82"/>
  <c r="V67" i="82"/>
  <c r="Y42" i="82"/>
  <c r="V42" i="82"/>
  <c r="Q42" i="82"/>
  <c r="Y70" i="82"/>
  <c r="V70" i="82"/>
  <c r="Q70" i="82"/>
  <c r="Y89" i="82"/>
  <c r="V89" i="82"/>
  <c r="Q89" i="82"/>
  <c r="Q84" i="82"/>
  <c r="V84" i="82"/>
  <c r="Y84" i="82"/>
  <c r="V72" i="82"/>
  <c r="Q72" i="82"/>
  <c r="Y72" i="82"/>
  <c r="Y22" i="82"/>
  <c r="V22" i="82"/>
  <c r="Q22" i="82"/>
  <c r="Y44" i="82"/>
  <c r="V44" i="82"/>
  <c r="Q44" i="82"/>
  <c r="Y36" i="82"/>
  <c r="V36" i="82"/>
  <c r="Q36" i="82"/>
  <c r="Y40" i="82"/>
  <c r="V40" i="82"/>
  <c r="Q40" i="82"/>
  <c r="Q65" i="82"/>
  <c r="Y65" i="82"/>
  <c r="V65" i="82"/>
  <c r="Q59" i="82"/>
  <c r="V59" i="82"/>
  <c r="Y59" i="82"/>
  <c r="Y58" i="82"/>
  <c r="V58" i="82"/>
  <c r="Q58" i="82"/>
  <c r="Q23" i="82"/>
  <c r="Y23" i="82"/>
  <c r="V23" i="82"/>
  <c r="Y85" i="82"/>
  <c r="V85" i="82"/>
  <c r="Q85" i="82"/>
  <c r="Y27" i="82"/>
  <c r="V27" i="82"/>
  <c r="Q27" i="82"/>
  <c r="Y25" i="82"/>
  <c r="V25" i="82"/>
  <c r="Q25" i="82"/>
  <c r="Y46" i="82"/>
  <c r="V46" i="82"/>
  <c r="Q46" i="82"/>
  <c r="Y19" i="82"/>
  <c r="V19" i="82"/>
  <c r="Q19" i="82"/>
  <c r="Y28" i="82"/>
  <c r="V28" i="82"/>
  <c r="Q28" i="82"/>
  <c r="Q38" i="82"/>
  <c r="V38" i="82"/>
  <c r="Y38" i="82"/>
  <c r="Y33" i="82"/>
  <c r="V33" i="82"/>
  <c r="Q33" i="82"/>
  <c r="Q17" i="82"/>
  <c r="Y17" i="82"/>
  <c r="V17" i="82"/>
  <c r="Y63" i="82"/>
  <c r="V63" i="82"/>
  <c r="Q63" i="82"/>
  <c r="V103" i="82"/>
  <c r="Q103" i="82"/>
  <c r="Q104" i="82"/>
  <c r="V104" i="82"/>
  <c r="V45" i="82"/>
  <c r="Q45" i="82"/>
  <c r="Y45" i="82"/>
  <c r="Y37" i="82"/>
  <c r="V37" i="82"/>
  <c r="Q37" i="82"/>
  <c r="V88" i="82"/>
  <c r="Q88" i="82"/>
  <c r="V50" i="82"/>
  <c r="Y50" i="82"/>
  <c r="Q50" i="82"/>
  <c r="Y30" i="82"/>
  <c r="V30" i="82"/>
  <c r="Q30" i="82"/>
  <c r="Y21" i="82"/>
  <c r="V21" i="82"/>
  <c r="Q21" i="82"/>
  <c r="Y18" i="82"/>
  <c r="V18" i="82"/>
  <c r="Q18" i="82"/>
  <c r="V92" i="82"/>
  <c r="Q92" i="82"/>
  <c r="Y31" i="82"/>
  <c r="V31" i="82"/>
  <c r="Q31" i="82"/>
  <c r="Y73" i="82"/>
  <c r="V73" i="82"/>
  <c r="Q73" i="82"/>
  <c r="Q74" i="82"/>
  <c r="V74" i="82"/>
  <c r="Y74" i="82"/>
  <c r="V61" i="82"/>
  <c r="Y61" i="82"/>
  <c r="Q61" i="82"/>
  <c r="V101" i="82"/>
  <c r="Q101" i="82"/>
  <c r="V102" i="82"/>
  <c r="Q102" i="82"/>
  <c r="V95" i="82"/>
  <c r="Q95" i="82"/>
  <c r="Q96" i="82"/>
  <c r="V96" i="82"/>
  <c r="V99" i="82"/>
  <c r="Q99" i="82"/>
  <c r="N115" i="82"/>
  <c r="P14" i="82"/>
  <c r="V107" i="82"/>
  <c r="Q107" i="82"/>
  <c r="Q87" i="82"/>
  <c r="Y87" i="82"/>
  <c r="V87" i="82"/>
  <c r="Y76" i="82"/>
  <c r="V76" i="82"/>
  <c r="Q76" i="82"/>
  <c r="V75" i="82"/>
  <c r="Q75" i="82"/>
  <c r="Y75" i="82"/>
  <c r="Q35" i="82"/>
  <c r="Y35" i="82"/>
  <c r="V35" i="82"/>
  <c r="Y60" i="82"/>
  <c r="V60" i="82"/>
  <c r="Q60" i="82"/>
  <c r="Y16" i="82"/>
  <c r="Q16" i="82"/>
  <c r="V16" i="82"/>
  <c r="N115" i="81"/>
  <c r="N63" i="80"/>
  <c r="N88" i="80"/>
  <c r="N92" i="80"/>
  <c r="N52" i="80"/>
  <c r="N16" i="80"/>
  <c r="N100" i="80"/>
  <c r="N102" i="80"/>
  <c r="N22" i="80"/>
  <c r="N32" i="80"/>
  <c r="N89" i="80"/>
  <c r="N104" i="80"/>
  <c r="N18" i="80"/>
  <c r="N37" i="80"/>
  <c r="N93" i="80"/>
  <c r="N59" i="80"/>
  <c r="N108" i="80"/>
  <c r="N58" i="80"/>
  <c r="N44" i="80"/>
  <c r="N94" i="80"/>
  <c r="N71" i="80"/>
  <c r="N80" i="80"/>
  <c r="N112" i="80"/>
  <c r="N79" i="80"/>
  <c r="N75" i="80"/>
  <c r="N36" i="80"/>
  <c r="N87" i="80"/>
  <c r="N85" i="80"/>
  <c r="N48" i="80"/>
  <c r="N38" i="80"/>
  <c r="N50" i="80"/>
  <c r="N28" i="80"/>
  <c r="N99" i="80"/>
  <c r="N103" i="80"/>
  <c r="N62" i="80"/>
  <c r="N47" i="80"/>
  <c r="N83" i="80"/>
  <c r="N60" i="80"/>
  <c r="N106" i="80"/>
  <c r="N17" i="80"/>
  <c r="N24" i="80"/>
  <c r="N51" i="80"/>
  <c r="N34" i="80"/>
  <c r="N65" i="80"/>
  <c r="N81" i="80"/>
  <c r="N107" i="80"/>
  <c r="N26" i="80"/>
  <c r="N21" i="80"/>
  <c r="N113" i="80"/>
  <c r="N33" i="80"/>
  <c r="N27" i="80"/>
  <c r="N39" i="80"/>
  <c r="N95" i="80"/>
  <c r="N111" i="80"/>
  <c r="N70" i="80"/>
  <c r="N64" i="80"/>
  <c r="N66" i="80"/>
  <c r="N69" i="80"/>
  <c r="N56" i="80"/>
  <c r="N110" i="80"/>
  <c r="N98" i="80"/>
  <c r="N77" i="80"/>
  <c r="N84" i="80"/>
  <c r="N23" i="80"/>
  <c r="N45" i="80"/>
  <c r="N55" i="80"/>
  <c r="N20" i="80"/>
  <c r="N42" i="80"/>
  <c r="N78" i="80"/>
  <c r="N67" i="80"/>
  <c r="N30" i="80"/>
  <c r="N14" i="80"/>
  <c r="N76" i="80"/>
  <c r="N91" i="80"/>
  <c r="N72" i="80"/>
  <c r="N19" i="80"/>
  <c r="N49" i="80"/>
  <c r="N97" i="80"/>
  <c r="N31" i="80"/>
  <c r="N73" i="80"/>
  <c r="N61" i="80"/>
  <c r="N25" i="80"/>
  <c r="N54" i="80"/>
  <c r="N109" i="80"/>
  <c r="N43" i="80"/>
  <c r="N105" i="80"/>
  <c r="N68" i="80"/>
  <c r="N101" i="80"/>
  <c r="N53" i="80"/>
  <c r="N82" i="80"/>
  <c r="N35" i="80"/>
  <c r="N41" i="80"/>
  <c r="N57" i="80"/>
  <c r="N86" i="80"/>
  <c r="N40" i="80"/>
  <c r="N74" i="80"/>
  <c r="N46" i="80"/>
  <c r="N96" i="80"/>
  <c r="N15" i="80"/>
  <c r="Q118" i="79"/>
  <c r="Q120" i="79" s="1"/>
  <c r="S120" i="79" s="1"/>
  <c r="L115" i="79"/>
  <c r="N64" i="79" s="1"/>
  <c r="N106" i="79"/>
  <c r="X113" i="77"/>
  <c r="H111" i="77"/>
  <c r="L111" i="77" s="1"/>
  <c r="H110" i="77"/>
  <c r="L110" i="77" s="1"/>
  <c r="H109" i="77"/>
  <c r="L109" i="77" s="1"/>
  <c r="H108" i="77"/>
  <c r="L108" i="77" s="1"/>
  <c r="H107" i="77"/>
  <c r="L107" i="77" s="1"/>
  <c r="H106" i="77"/>
  <c r="L106" i="77" s="1"/>
  <c r="H105" i="77"/>
  <c r="L105" i="77" s="1"/>
  <c r="H104" i="77"/>
  <c r="L104" i="77" s="1"/>
  <c r="H103" i="77"/>
  <c r="L103" i="77" s="1"/>
  <c r="H102" i="77"/>
  <c r="L102" i="77" s="1"/>
  <c r="H101" i="77"/>
  <c r="L101" i="77" s="1"/>
  <c r="H100" i="77"/>
  <c r="L100" i="77" s="1"/>
  <c r="H99" i="77"/>
  <c r="L99" i="77" s="1"/>
  <c r="H98" i="77"/>
  <c r="L98" i="77" s="1"/>
  <c r="H97" i="77"/>
  <c r="L97" i="77" s="1"/>
  <c r="H96" i="77"/>
  <c r="L96" i="77" s="1"/>
  <c r="H95" i="77"/>
  <c r="L95" i="77" s="1"/>
  <c r="H94" i="77"/>
  <c r="L94" i="77" s="1"/>
  <c r="H93" i="77"/>
  <c r="L93" i="77" s="1"/>
  <c r="H92" i="77"/>
  <c r="L92" i="77" s="1"/>
  <c r="H91" i="77"/>
  <c r="L91" i="77" s="1"/>
  <c r="H90" i="77"/>
  <c r="L90" i="77" s="1"/>
  <c r="K88" i="77"/>
  <c r="H88" i="77"/>
  <c r="L88" i="77" s="1"/>
  <c r="K87" i="77"/>
  <c r="H87" i="77"/>
  <c r="K86" i="77"/>
  <c r="H86" i="77"/>
  <c r="L86" i="77" s="1"/>
  <c r="K85" i="77"/>
  <c r="E85" i="77"/>
  <c r="H85" i="77" s="1"/>
  <c r="K84" i="77"/>
  <c r="E84" i="77"/>
  <c r="H84" i="77" s="1"/>
  <c r="L84" i="77" s="1"/>
  <c r="K83" i="77"/>
  <c r="H83" i="77"/>
  <c r="K82" i="77"/>
  <c r="H82" i="77"/>
  <c r="L82" i="77" s="1"/>
  <c r="K81" i="77"/>
  <c r="H81" i="77"/>
  <c r="K80" i="77"/>
  <c r="H80" i="77"/>
  <c r="K79" i="77"/>
  <c r="H79" i="77"/>
  <c r="K78" i="77"/>
  <c r="H78" i="77"/>
  <c r="L78" i="77" s="1"/>
  <c r="K77" i="77"/>
  <c r="H77" i="77"/>
  <c r="K76" i="77"/>
  <c r="E76" i="77"/>
  <c r="H76" i="77" s="1"/>
  <c r="L76" i="77" s="1"/>
  <c r="K75" i="77"/>
  <c r="H75" i="77"/>
  <c r="K74" i="77"/>
  <c r="H74" i="77"/>
  <c r="L74" i="77" s="1"/>
  <c r="K73" i="77"/>
  <c r="H73" i="77"/>
  <c r="L73" i="77" s="1"/>
  <c r="K72" i="77"/>
  <c r="H72" i="77"/>
  <c r="K71" i="77"/>
  <c r="H71" i="77"/>
  <c r="L71" i="77" s="1"/>
  <c r="K70" i="77"/>
  <c r="H70" i="77"/>
  <c r="K69" i="77"/>
  <c r="H69" i="77"/>
  <c r="K68" i="77"/>
  <c r="H68" i="77"/>
  <c r="L68" i="77" s="1"/>
  <c r="K67" i="77"/>
  <c r="H67" i="77"/>
  <c r="L67" i="77" s="1"/>
  <c r="K66" i="77"/>
  <c r="H66" i="77"/>
  <c r="K65" i="77"/>
  <c r="E65" i="77"/>
  <c r="H65" i="77" s="1"/>
  <c r="L65" i="77" s="1"/>
  <c r="K64" i="77"/>
  <c r="E64" i="77"/>
  <c r="H64" i="77" s="1"/>
  <c r="L64" i="77" s="1"/>
  <c r="K63" i="77"/>
  <c r="H63" i="77"/>
  <c r="L63" i="77" s="1"/>
  <c r="K62" i="77"/>
  <c r="H62" i="77"/>
  <c r="L62" i="77" s="1"/>
  <c r="K61" i="77"/>
  <c r="H61" i="77"/>
  <c r="L61" i="77" s="1"/>
  <c r="K60" i="77"/>
  <c r="H60" i="77"/>
  <c r="K59" i="77"/>
  <c r="H59" i="77"/>
  <c r="L59" i="77" s="1"/>
  <c r="K58" i="77"/>
  <c r="H58" i="77"/>
  <c r="L58" i="77" s="1"/>
  <c r="K57" i="77"/>
  <c r="H57" i="77"/>
  <c r="K56" i="77"/>
  <c r="L56" i="77" s="1"/>
  <c r="H56" i="77"/>
  <c r="K55" i="77"/>
  <c r="H55" i="77"/>
  <c r="L55" i="77" s="1"/>
  <c r="K54" i="77"/>
  <c r="E54" i="77"/>
  <c r="H54" i="77" s="1"/>
  <c r="K53" i="77"/>
  <c r="H53" i="77"/>
  <c r="K52" i="77"/>
  <c r="E52" i="77"/>
  <c r="H52" i="77" s="1"/>
  <c r="K51" i="77"/>
  <c r="L51" i="77" s="1"/>
  <c r="H51" i="77"/>
  <c r="K50" i="77"/>
  <c r="E50" i="77"/>
  <c r="H50" i="77" s="1"/>
  <c r="K49" i="77"/>
  <c r="H49" i="77"/>
  <c r="K48" i="77"/>
  <c r="E48" i="77"/>
  <c r="H48" i="77" s="1"/>
  <c r="K47" i="77"/>
  <c r="E47" i="77"/>
  <c r="H47" i="77" s="1"/>
  <c r="K46" i="77"/>
  <c r="H46" i="77"/>
  <c r="K45" i="77"/>
  <c r="E45" i="77"/>
  <c r="H45" i="77" s="1"/>
  <c r="K44" i="77"/>
  <c r="L44" i="77" s="1"/>
  <c r="H44" i="77"/>
  <c r="K43" i="77"/>
  <c r="H43" i="77"/>
  <c r="L43" i="77" s="1"/>
  <c r="K42" i="77"/>
  <c r="H42" i="77"/>
  <c r="K41" i="77"/>
  <c r="H41" i="77"/>
  <c r="K40" i="77"/>
  <c r="H40" i="77"/>
  <c r="K39" i="77"/>
  <c r="H39" i="77"/>
  <c r="K38" i="77"/>
  <c r="L38" i="77" s="1"/>
  <c r="H38" i="77"/>
  <c r="K37" i="77"/>
  <c r="H37" i="77"/>
  <c r="L37" i="77" s="1"/>
  <c r="K36" i="77"/>
  <c r="H36" i="77"/>
  <c r="K35" i="77"/>
  <c r="H35" i="77"/>
  <c r="K34" i="77"/>
  <c r="H34" i="77"/>
  <c r="K33" i="77"/>
  <c r="H33" i="77"/>
  <c r="K32" i="77"/>
  <c r="L32" i="77" s="1"/>
  <c r="H32" i="77"/>
  <c r="K31" i="77"/>
  <c r="H31" i="77"/>
  <c r="L31" i="77" s="1"/>
  <c r="K30" i="77"/>
  <c r="E30" i="77"/>
  <c r="H30" i="77" s="1"/>
  <c r="K29" i="77"/>
  <c r="L29" i="77" s="1"/>
  <c r="H29" i="77"/>
  <c r="K28" i="77"/>
  <c r="H28" i="77"/>
  <c r="L27" i="77"/>
  <c r="H27" i="77"/>
  <c r="K26" i="77"/>
  <c r="E26" i="77"/>
  <c r="H26" i="77" s="1"/>
  <c r="K25" i="77"/>
  <c r="H25" i="77"/>
  <c r="L25" i="77" s="1"/>
  <c r="K24" i="77"/>
  <c r="H24" i="77"/>
  <c r="K23" i="77"/>
  <c r="H23" i="77"/>
  <c r="K22" i="77"/>
  <c r="H22" i="77"/>
  <c r="K21" i="77"/>
  <c r="H21" i="77"/>
  <c r="K20" i="77"/>
  <c r="H20" i="77"/>
  <c r="K19" i="77"/>
  <c r="H19" i="77"/>
  <c r="L19" i="77" s="1"/>
  <c r="K18" i="77"/>
  <c r="L18" i="77" s="1"/>
  <c r="H18" i="77"/>
  <c r="K17" i="77"/>
  <c r="L17" i="77" s="1"/>
  <c r="H17" i="77"/>
  <c r="K16" i="77"/>
  <c r="H16" i="77"/>
  <c r="K15" i="77"/>
  <c r="E15" i="77"/>
  <c r="H15" i="77" s="1"/>
  <c r="K14" i="77"/>
  <c r="H14" i="77"/>
  <c r="T2" i="77"/>
  <c r="V14" i="82" l="1"/>
  <c r="P115" i="82"/>
  <c r="Q14" i="82"/>
  <c r="Y14" i="82"/>
  <c r="Y115" i="82" s="1"/>
  <c r="L83" i="77"/>
  <c r="N36" i="79"/>
  <c r="L49" i="77"/>
  <c r="N94" i="79"/>
  <c r="L20" i="77"/>
  <c r="L26" i="77"/>
  <c r="L50" i="77"/>
  <c r="L79" i="77"/>
  <c r="N32" i="79"/>
  <c r="L15" i="77"/>
  <c r="L33" i="77"/>
  <c r="L39" i="77"/>
  <c r="L45" i="77"/>
  <c r="L80" i="77"/>
  <c r="L16" i="77"/>
  <c r="L28" i="77"/>
  <c r="L46" i="77"/>
  <c r="L52" i="77"/>
  <c r="L81" i="77"/>
  <c r="L87" i="77"/>
  <c r="L23" i="77"/>
  <c r="L47" i="77"/>
  <c r="L53" i="77"/>
  <c r="L24" i="77"/>
  <c r="L30" i="77"/>
  <c r="L36" i="77"/>
  <c r="L42" i="77"/>
  <c r="L48" i="77"/>
  <c r="L54" i="77"/>
  <c r="N83" i="79"/>
  <c r="N115" i="80"/>
  <c r="L41" i="77"/>
  <c r="L22" i="77"/>
  <c r="L70" i="77"/>
  <c r="L85" i="77"/>
  <c r="N89" i="79"/>
  <c r="L57" i="77"/>
  <c r="L60" i="77"/>
  <c r="L21" i="77"/>
  <c r="L35" i="77"/>
  <c r="L14" i="77"/>
  <c r="L34" i="77"/>
  <c r="L40" i="77"/>
  <c r="L77" i="77"/>
  <c r="N55" i="79"/>
  <c r="N71" i="79"/>
  <c r="N38" i="79"/>
  <c r="N87" i="79"/>
  <c r="N88" i="79"/>
  <c r="N47" i="79"/>
  <c r="N91" i="79"/>
  <c r="N75" i="79"/>
  <c r="N33" i="79"/>
  <c r="N92" i="79"/>
  <c r="N103" i="79"/>
  <c r="N102" i="79"/>
  <c r="N50" i="79"/>
  <c r="N31" i="79"/>
  <c r="N15" i="79"/>
  <c r="N61" i="79"/>
  <c r="N74" i="79"/>
  <c r="N105" i="79"/>
  <c r="N96" i="79"/>
  <c r="N67" i="79"/>
  <c r="N39" i="79"/>
  <c r="N52" i="79"/>
  <c r="N29" i="79"/>
  <c r="N109" i="79"/>
  <c r="N70" i="79"/>
  <c r="N19" i="79"/>
  <c r="N104" i="79"/>
  <c r="N18" i="79"/>
  <c r="N40" i="79"/>
  <c r="N81" i="79"/>
  <c r="N54" i="79"/>
  <c r="N72" i="79"/>
  <c r="N22" i="79"/>
  <c r="N45" i="79"/>
  <c r="N49" i="79"/>
  <c r="N46" i="79"/>
  <c r="N21" i="79"/>
  <c r="N23" i="79"/>
  <c r="N37" i="79"/>
  <c r="N100" i="79"/>
  <c r="N41" i="79"/>
  <c r="N28" i="79"/>
  <c r="N30" i="79"/>
  <c r="N107" i="79"/>
  <c r="N82" i="79"/>
  <c r="N76" i="79"/>
  <c r="N101" i="79"/>
  <c r="N44" i="79"/>
  <c r="N16" i="79"/>
  <c r="N97" i="79"/>
  <c r="N26" i="79"/>
  <c r="N57" i="79"/>
  <c r="N60" i="79"/>
  <c r="N78" i="79"/>
  <c r="N99" i="79"/>
  <c r="N17" i="79"/>
  <c r="N35" i="79"/>
  <c r="N34" i="79"/>
  <c r="N111" i="79"/>
  <c r="N14" i="79"/>
  <c r="N65" i="79"/>
  <c r="N59" i="79"/>
  <c r="N110" i="79"/>
  <c r="N95" i="79"/>
  <c r="N85" i="79"/>
  <c r="N113" i="79"/>
  <c r="N68" i="79"/>
  <c r="N66" i="79"/>
  <c r="N86" i="79"/>
  <c r="N98" i="79"/>
  <c r="N56" i="79"/>
  <c r="N79" i="79"/>
  <c r="N25" i="79"/>
  <c r="N62" i="79"/>
  <c r="N53" i="79"/>
  <c r="N43" i="79"/>
  <c r="N24" i="79"/>
  <c r="N108" i="79"/>
  <c r="N93" i="79"/>
  <c r="N42" i="79"/>
  <c r="N73" i="79"/>
  <c r="N51" i="79"/>
  <c r="N58" i="79"/>
  <c r="N77" i="79"/>
  <c r="N27" i="79"/>
  <c r="N80" i="79"/>
  <c r="N63" i="79"/>
  <c r="N48" i="79"/>
  <c r="N112" i="79"/>
  <c r="N84" i="79"/>
  <c r="N69" i="79"/>
  <c r="N20" i="79"/>
  <c r="E113" i="77"/>
  <c r="Q117" i="77"/>
  <c r="L66" i="77"/>
  <c r="L69" i="77"/>
  <c r="L72" i="77"/>
  <c r="L75" i="77"/>
  <c r="Q116" i="77" l="1"/>
  <c r="Q118" i="77" s="1"/>
  <c r="S118" i="77" s="1"/>
  <c r="N115" i="79"/>
  <c r="L113" i="77"/>
  <c r="N69" i="77" s="1"/>
  <c r="N66" i="77" l="1"/>
  <c r="N72" i="77"/>
  <c r="N75" i="77"/>
  <c r="N63" i="77"/>
  <c r="N24" i="77"/>
  <c r="N15" i="77"/>
  <c r="N17" i="77"/>
  <c r="N29" i="77"/>
  <c r="N41" i="77"/>
  <c r="N57" i="77"/>
  <c r="N38" i="77"/>
  <c r="N73" i="77"/>
  <c r="N96" i="77"/>
  <c r="N80" i="77"/>
  <c r="N98" i="77"/>
  <c r="N84" i="77"/>
  <c r="N100" i="77"/>
  <c r="N105" i="77"/>
  <c r="N14" i="77"/>
  <c r="N34" i="77"/>
  <c r="N58" i="77"/>
  <c r="N20" i="77"/>
  <c r="N31" i="77"/>
  <c r="N47" i="77"/>
  <c r="N48" i="77"/>
  <c r="N40" i="77"/>
  <c r="N67" i="77"/>
  <c r="N62" i="77"/>
  <c r="N54" i="77"/>
  <c r="N55" i="77"/>
  <c r="N88" i="77"/>
  <c r="N108" i="77"/>
  <c r="N87" i="77"/>
  <c r="N110" i="77"/>
  <c r="N99" i="77"/>
  <c r="N93" i="77"/>
  <c r="N92" i="77"/>
  <c r="N94" i="77"/>
  <c r="N44" i="77"/>
  <c r="N82" i="77"/>
  <c r="N86" i="77"/>
  <c r="N35" i="77"/>
  <c r="N22" i="77"/>
  <c r="N50" i="77"/>
  <c r="N85" i="77"/>
  <c r="N53" i="77"/>
  <c r="N42" i="77"/>
  <c r="N59" i="77"/>
  <c r="N39" i="77"/>
  <c r="N78" i="77"/>
  <c r="N97" i="77"/>
  <c r="N111" i="77"/>
  <c r="N102" i="77"/>
  <c r="N23" i="77"/>
  <c r="N104" i="77"/>
  <c r="N52" i="77"/>
  <c r="N30" i="77"/>
  <c r="N95" i="77"/>
  <c r="N60" i="77"/>
  <c r="N74" i="77"/>
  <c r="N79" i="77"/>
  <c r="N27" i="77"/>
  <c r="N76" i="77"/>
  <c r="N25" i="77"/>
  <c r="N109" i="77"/>
  <c r="N90" i="77"/>
  <c r="N81" i="77"/>
  <c r="N56" i="77"/>
  <c r="N43" i="77"/>
  <c r="N19" i="77"/>
  <c r="N45" i="77"/>
  <c r="N36" i="77"/>
  <c r="N68" i="77"/>
  <c r="N77" i="77"/>
  <c r="N37" i="77"/>
  <c r="N21" i="77"/>
  <c r="N49" i="77"/>
  <c r="N18" i="77"/>
  <c r="N64" i="77"/>
  <c r="N91" i="77"/>
  <c r="N101" i="77"/>
  <c r="N103" i="77"/>
  <c r="N16" i="77"/>
  <c r="N70" i="77"/>
  <c r="N46" i="77"/>
  <c r="N28" i="77"/>
  <c r="N32" i="77"/>
  <c r="N106" i="77"/>
  <c r="N107" i="77"/>
  <c r="N61" i="77"/>
  <c r="N33" i="77"/>
  <c r="N65" i="77"/>
  <c r="N51" i="77"/>
  <c r="N71" i="77"/>
  <c r="N26" i="77"/>
  <c r="N83" i="77"/>
  <c r="N113" i="77" l="1"/>
  <c r="M12" i="3" l="1"/>
  <c r="L12" i="3" l="1"/>
  <c r="K12" i="3" l="1"/>
  <c r="J12" i="3" l="1"/>
  <c r="D12" i="2" l="1"/>
  <c r="D11" i="2" s="1"/>
  <c r="N12" i="3"/>
  <c r="D7" i="2"/>
  <c r="D6" i="2"/>
  <c r="T7" i="81" l="1"/>
  <c r="T10" i="81" s="1"/>
  <c r="Q2" i="81" s="1"/>
  <c r="Q10" i="81" s="1"/>
  <c r="P12" i="81" s="1"/>
  <c r="T7" i="80"/>
  <c r="T10" i="80" s="1"/>
  <c r="Q2" i="80" s="1"/>
  <c r="Q10" i="80" s="1"/>
  <c r="P12" i="80" s="1"/>
  <c r="T7" i="79"/>
  <c r="T10" i="79" s="1"/>
  <c r="Q2" i="79" s="1"/>
  <c r="Q10" i="79" s="1"/>
  <c r="P12" i="79" s="1"/>
  <c r="T7" i="77"/>
  <c r="T10" i="77" s="1"/>
  <c r="Q2" i="77" s="1"/>
  <c r="Q10" i="77" s="1"/>
  <c r="P12" i="77" s="1"/>
  <c r="U112" i="80" l="1"/>
  <c r="P29" i="80"/>
  <c r="P16" i="80"/>
  <c r="P15" i="80"/>
  <c r="P26" i="80"/>
  <c r="P25" i="80"/>
  <c r="P71" i="80"/>
  <c r="P64" i="80"/>
  <c r="P65" i="80"/>
  <c r="P72" i="80"/>
  <c r="P96" i="80"/>
  <c r="P46" i="80"/>
  <c r="P74" i="80"/>
  <c r="P62" i="80"/>
  <c r="P67" i="80"/>
  <c r="P18" i="80"/>
  <c r="P57" i="80"/>
  <c r="P35" i="80"/>
  <c r="P53" i="80"/>
  <c r="Q53" i="80" s="1"/>
  <c r="P27" i="80"/>
  <c r="P105" i="80"/>
  <c r="P43" i="80"/>
  <c r="P109" i="80"/>
  <c r="P112" i="80"/>
  <c r="P69" i="80"/>
  <c r="P44" i="80"/>
  <c r="P61" i="80"/>
  <c r="P31" i="80"/>
  <c r="P49" i="80"/>
  <c r="P101" i="80"/>
  <c r="P106" i="80"/>
  <c r="P91" i="80"/>
  <c r="P76" i="80"/>
  <c r="P110" i="80"/>
  <c r="P89" i="80"/>
  <c r="P107" i="80"/>
  <c r="P111" i="80"/>
  <c r="P73" i="80"/>
  <c r="P78" i="80"/>
  <c r="P20" i="80"/>
  <c r="P45" i="80"/>
  <c r="P19" i="80"/>
  <c r="P87" i="80"/>
  <c r="P77" i="80"/>
  <c r="P98" i="80"/>
  <c r="P21" i="80"/>
  <c r="P103" i="80"/>
  <c r="P66" i="80"/>
  <c r="P70" i="80"/>
  <c r="P82" i="80"/>
  <c r="P95" i="80"/>
  <c r="P23" i="80"/>
  <c r="P93" i="80"/>
  <c r="P33" i="80"/>
  <c r="P113" i="80"/>
  <c r="P47" i="80"/>
  <c r="P80" i="80"/>
  <c r="P37" i="80"/>
  <c r="P38" i="80"/>
  <c r="P81" i="80"/>
  <c r="P34" i="80"/>
  <c r="P97" i="80"/>
  <c r="P24" i="80"/>
  <c r="P39" i="80"/>
  <c r="P88" i="80"/>
  <c r="P60" i="80"/>
  <c r="P83" i="80"/>
  <c r="P79" i="80"/>
  <c r="P32" i="80"/>
  <c r="P108" i="80"/>
  <c r="P99" i="80"/>
  <c r="P50" i="80"/>
  <c r="P55" i="80"/>
  <c r="Q55" i="80" s="1"/>
  <c r="P48" i="80"/>
  <c r="P17" i="80"/>
  <c r="P84" i="80"/>
  <c r="P36" i="80"/>
  <c r="P75" i="80"/>
  <c r="P104" i="80"/>
  <c r="P14" i="80"/>
  <c r="P85" i="80"/>
  <c r="P92" i="80"/>
  <c r="P22" i="80"/>
  <c r="P100" i="80"/>
  <c r="P51" i="80"/>
  <c r="Q51" i="80" s="1"/>
  <c r="P52" i="80"/>
  <c r="P59" i="80"/>
  <c r="P63" i="80"/>
  <c r="P28" i="80"/>
  <c r="P54" i="80"/>
  <c r="P41" i="80"/>
  <c r="P94" i="80"/>
  <c r="P102" i="80"/>
  <c r="P58" i="80"/>
  <c r="P42" i="80"/>
  <c r="P68" i="80"/>
  <c r="P56" i="80"/>
  <c r="P86" i="80"/>
  <c r="P40" i="80"/>
  <c r="P30" i="80"/>
  <c r="P17" i="81"/>
  <c r="U112" i="81"/>
  <c r="P14" i="81"/>
  <c r="P100" i="81"/>
  <c r="P22" i="81"/>
  <c r="P66" i="81"/>
  <c r="P74" i="81"/>
  <c r="P26" i="81"/>
  <c r="P92" i="81"/>
  <c r="P93" i="81"/>
  <c r="P81" i="81"/>
  <c r="P23" i="81"/>
  <c r="P21" i="81"/>
  <c r="P96" i="81"/>
  <c r="P58" i="81"/>
  <c r="P56" i="81"/>
  <c r="P104" i="81"/>
  <c r="P79" i="81"/>
  <c r="P102" i="81"/>
  <c r="P80" i="81"/>
  <c r="P52" i="81"/>
  <c r="P61" i="81"/>
  <c r="P43" i="81"/>
  <c r="P105" i="81"/>
  <c r="P76" i="81"/>
  <c r="P48" i="81"/>
  <c r="P64" i="81"/>
  <c r="P19" i="81"/>
  <c r="P88" i="81"/>
  <c r="P73" i="81"/>
  <c r="P72" i="81"/>
  <c r="P83" i="81"/>
  <c r="P16" i="81"/>
  <c r="P18" i="81"/>
  <c r="P50" i="81"/>
  <c r="P112" i="81"/>
  <c r="P70" i="81"/>
  <c r="P33" i="81"/>
  <c r="P32" i="81"/>
  <c r="P62" i="81"/>
  <c r="P110" i="81"/>
  <c r="P111" i="81"/>
  <c r="P77" i="81"/>
  <c r="P51" i="81"/>
  <c r="Q51" i="81" s="1"/>
  <c r="P65" i="81"/>
  <c r="P68" i="81"/>
  <c r="P95" i="81"/>
  <c r="P78" i="81"/>
  <c r="P31" i="81"/>
  <c r="P99" i="81"/>
  <c r="P30" i="81"/>
  <c r="P34" i="81"/>
  <c r="P85" i="81"/>
  <c r="P63" i="81"/>
  <c r="P108" i="81"/>
  <c r="P106" i="81"/>
  <c r="P27" i="81"/>
  <c r="P39" i="81"/>
  <c r="P45" i="81"/>
  <c r="P29" i="81"/>
  <c r="P97" i="81"/>
  <c r="P42" i="81"/>
  <c r="P46" i="81"/>
  <c r="P47" i="81"/>
  <c r="P60" i="81"/>
  <c r="P36" i="81"/>
  <c r="P41" i="81"/>
  <c r="P35" i="81"/>
  <c r="P67" i="81"/>
  <c r="P20" i="81"/>
  <c r="P25" i="81"/>
  <c r="P59" i="81"/>
  <c r="P40" i="81"/>
  <c r="P38" i="81"/>
  <c r="P75" i="81"/>
  <c r="P109" i="81"/>
  <c r="P103" i="81"/>
  <c r="P91" i="81"/>
  <c r="P69" i="81"/>
  <c r="P24" i="81"/>
  <c r="P101" i="81"/>
  <c r="P15" i="81"/>
  <c r="P86" i="81"/>
  <c r="P53" i="81"/>
  <c r="Q53" i="81" s="1"/>
  <c r="P71" i="81"/>
  <c r="P54" i="81"/>
  <c r="P49" i="81"/>
  <c r="P98" i="81"/>
  <c r="P44" i="81"/>
  <c r="P89" i="81"/>
  <c r="P94" i="81"/>
  <c r="P107" i="81"/>
  <c r="P87" i="81"/>
  <c r="P82" i="81"/>
  <c r="P57" i="81"/>
  <c r="P37" i="81"/>
  <c r="P113" i="81"/>
  <c r="P84" i="81"/>
  <c r="P28" i="81"/>
  <c r="P55" i="81"/>
  <c r="Q55" i="81" s="1"/>
  <c r="P19" i="77"/>
  <c r="P27" i="77"/>
  <c r="P63" i="77"/>
  <c r="P99" i="77"/>
  <c r="P106" i="77"/>
  <c r="P38" i="77"/>
  <c r="P76" i="77"/>
  <c r="P41" i="77"/>
  <c r="P20" i="77"/>
  <c r="P28" i="77"/>
  <c r="P35" i="77"/>
  <c r="P42" i="77"/>
  <c r="P49" i="77"/>
  <c r="P56" i="77"/>
  <c r="P64" i="77"/>
  <c r="P71" i="77"/>
  <c r="P78" i="77"/>
  <c r="P85" i="77"/>
  <c r="P93" i="77"/>
  <c r="P100" i="77"/>
  <c r="P21" i="77"/>
  <c r="P57" i="77"/>
  <c r="P94" i="77"/>
  <c r="P107" i="77"/>
  <c r="P53" i="77"/>
  <c r="Q53" i="77" s="1"/>
  <c r="P60" i="77"/>
  <c r="P67" i="77"/>
  <c r="P82" i="77"/>
  <c r="P17" i="77"/>
  <c r="P75" i="77"/>
  <c r="P25" i="77"/>
  <c r="P47" i="77"/>
  <c r="P54" i="77"/>
  <c r="P83" i="77"/>
  <c r="P104" i="77"/>
  <c r="P98" i="77"/>
  <c r="P26" i="77"/>
  <c r="P55" i="77"/>
  <c r="Q55" i="77" s="1"/>
  <c r="P77" i="77"/>
  <c r="P84" i="77"/>
  <c r="P105" i="77"/>
  <c r="P22" i="77"/>
  <c r="P29" i="77"/>
  <c r="P36" i="77"/>
  <c r="P43" i="77"/>
  <c r="P50" i="77"/>
  <c r="P58" i="77"/>
  <c r="P65" i="77"/>
  <c r="P72" i="77"/>
  <c r="P79" i="77"/>
  <c r="P86" i="77"/>
  <c r="P101" i="77"/>
  <c r="P81" i="77"/>
  <c r="P46" i="77"/>
  <c r="P39" i="77"/>
  <c r="P32" i="77"/>
  <c r="P91" i="77"/>
  <c r="P33" i="77"/>
  <c r="P48" i="77"/>
  <c r="P14" i="77"/>
  <c r="P51" i="77"/>
  <c r="Q51" i="77" s="1"/>
  <c r="P87" i="77"/>
  <c r="P95" i="77"/>
  <c r="P108" i="77"/>
  <c r="P96" i="77"/>
  <c r="P31" i="77"/>
  <c r="P74" i="77"/>
  <c r="P103" i="77"/>
  <c r="P97" i="77"/>
  <c r="P61" i="77"/>
  <c r="P62" i="77"/>
  <c r="P15" i="77"/>
  <c r="P23" i="77"/>
  <c r="P30" i="77"/>
  <c r="P37" i="77"/>
  <c r="P44" i="77"/>
  <c r="P52" i="77"/>
  <c r="P59" i="77"/>
  <c r="P66" i="77"/>
  <c r="P73" i="77"/>
  <c r="P80" i="77"/>
  <c r="P88" i="77"/>
  <c r="P102" i="77"/>
  <c r="P16" i="77"/>
  <c r="P45" i="77"/>
  <c r="P24" i="77"/>
  <c r="P90" i="77"/>
  <c r="P40" i="77"/>
  <c r="P68" i="77"/>
  <c r="P18" i="77"/>
  <c r="P69" i="77"/>
  <c r="P34" i="77"/>
  <c r="P70" i="77"/>
  <c r="P92" i="77"/>
  <c r="P111" i="77"/>
  <c r="P110" i="77"/>
  <c r="P109" i="77"/>
  <c r="U112" i="79"/>
  <c r="P88" i="79"/>
  <c r="P106" i="79"/>
  <c r="P36" i="79"/>
  <c r="P94" i="79"/>
  <c r="P83" i="79"/>
  <c r="P32" i="79"/>
  <c r="P64" i="79"/>
  <c r="P62" i="79"/>
  <c r="P17" i="79"/>
  <c r="P101" i="79"/>
  <c r="P102" i="79"/>
  <c r="P78" i="79"/>
  <c r="P39" i="79"/>
  <c r="P52" i="79"/>
  <c r="P87" i="79"/>
  <c r="P51" i="79"/>
  <c r="Q51" i="79" s="1"/>
  <c r="P69" i="79"/>
  <c r="P48" i="79"/>
  <c r="P33" i="79"/>
  <c r="P84" i="79"/>
  <c r="P46" i="79"/>
  <c r="P49" i="79"/>
  <c r="P79" i="79"/>
  <c r="P76" i="79"/>
  <c r="P31" i="79"/>
  <c r="P107" i="79"/>
  <c r="P103" i="79"/>
  <c r="P111" i="79"/>
  <c r="P28" i="79"/>
  <c r="P24" i="79"/>
  <c r="P73" i="79"/>
  <c r="P63" i="79"/>
  <c r="P85" i="79"/>
  <c r="P97" i="79"/>
  <c r="P54" i="79"/>
  <c r="P59" i="79"/>
  <c r="P74" i="79"/>
  <c r="P37" i="79"/>
  <c r="P30" i="79"/>
  <c r="P14" i="79"/>
  <c r="P77" i="79"/>
  <c r="P109" i="79"/>
  <c r="P108" i="79"/>
  <c r="P29" i="79"/>
  <c r="P65" i="79"/>
  <c r="P72" i="79"/>
  <c r="P34" i="79"/>
  <c r="P89" i="79"/>
  <c r="P81" i="79"/>
  <c r="P60" i="79"/>
  <c r="P22" i="79"/>
  <c r="P53" i="79"/>
  <c r="Q53" i="79" s="1"/>
  <c r="P50" i="79"/>
  <c r="P67" i="79"/>
  <c r="P86" i="79"/>
  <c r="P45" i="79"/>
  <c r="P105" i="79"/>
  <c r="P41" i="79"/>
  <c r="P112" i="79"/>
  <c r="R112" i="79" s="1"/>
  <c r="P110" i="79"/>
  <c r="P44" i="79"/>
  <c r="P75" i="79"/>
  <c r="P93" i="79"/>
  <c r="P82" i="79"/>
  <c r="P47" i="79"/>
  <c r="P40" i="79"/>
  <c r="P26" i="79"/>
  <c r="P21" i="79"/>
  <c r="P38" i="79"/>
  <c r="P20" i="79"/>
  <c r="P100" i="79"/>
  <c r="P42" i="79"/>
  <c r="P66" i="79"/>
  <c r="P98" i="79"/>
  <c r="P92" i="79"/>
  <c r="P19" i="79"/>
  <c r="P96" i="79"/>
  <c r="P68" i="79"/>
  <c r="P27" i="79"/>
  <c r="P80" i="79"/>
  <c r="P43" i="79"/>
  <c r="P104" i="79"/>
  <c r="P35" i="79"/>
  <c r="P25" i="79"/>
  <c r="P91" i="79"/>
  <c r="P99" i="79"/>
  <c r="P70" i="79"/>
  <c r="P71" i="79"/>
  <c r="P95" i="79"/>
  <c r="P15" i="79"/>
  <c r="P23" i="79"/>
  <c r="P57" i="79"/>
  <c r="P16" i="79"/>
  <c r="P58" i="79"/>
  <c r="P55" i="79"/>
  <c r="Q55" i="79" s="1"/>
  <c r="P18" i="79"/>
  <c r="P56" i="79"/>
  <c r="P113" i="79"/>
  <c r="P61" i="79"/>
  <c r="V110" i="81" l="1"/>
  <c r="Q110" i="81"/>
  <c r="V99" i="80"/>
  <c r="Q99" i="80"/>
  <c r="Q72" i="80"/>
  <c r="Y72" i="80"/>
  <c r="V72" i="80"/>
  <c r="Y46" i="81"/>
  <c r="Q46" i="81"/>
  <c r="V46" i="81"/>
  <c r="V56" i="81"/>
  <c r="Y56" i="81"/>
  <c r="Q56" i="81"/>
  <c r="V100" i="81"/>
  <c r="Q100" i="81"/>
  <c r="Y89" i="81"/>
  <c r="V89" i="81"/>
  <c r="Q89" i="81"/>
  <c r="V91" i="81"/>
  <c r="Q91" i="81"/>
  <c r="V36" i="81"/>
  <c r="Q36" i="81"/>
  <c r="Y36" i="81"/>
  <c r="Y63" i="81"/>
  <c r="Q63" i="81"/>
  <c r="V63" i="81"/>
  <c r="V111" i="81"/>
  <c r="Q111" i="81"/>
  <c r="Y73" i="81"/>
  <c r="V73" i="81"/>
  <c r="Q73" i="81"/>
  <c r="V102" i="81"/>
  <c r="Q102" i="81"/>
  <c r="Y74" i="81"/>
  <c r="V74" i="81"/>
  <c r="Q74" i="81"/>
  <c r="V68" i="80"/>
  <c r="Y68" i="80"/>
  <c r="Q68" i="80"/>
  <c r="V100" i="80"/>
  <c r="Q100" i="80"/>
  <c r="V50" i="80"/>
  <c r="Y50" i="80"/>
  <c r="Q50" i="80"/>
  <c r="Q81" i="80"/>
  <c r="V81" i="80"/>
  <c r="Y81" i="80"/>
  <c r="Q66" i="80"/>
  <c r="V66" i="80"/>
  <c r="Y66" i="80"/>
  <c r="V107" i="80"/>
  <c r="Q107" i="80"/>
  <c r="Q112" i="80"/>
  <c r="V112" i="80"/>
  <c r="Y46" i="80"/>
  <c r="V46" i="80"/>
  <c r="Q46" i="80"/>
  <c r="Q96" i="80"/>
  <c r="V96" i="80"/>
  <c r="Y62" i="81"/>
  <c r="V62" i="81"/>
  <c r="Q62" i="81"/>
  <c r="Y43" i="80"/>
  <c r="Q43" i="80"/>
  <c r="V43" i="80"/>
  <c r="Y28" i="81"/>
  <c r="Q28" i="81"/>
  <c r="V28" i="81"/>
  <c r="Q76" i="80"/>
  <c r="Y76" i="80"/>
  <c r="V76" i="80"/>
  <c r="Y84" i="81"/>
  <c r="V84" i="81"/>
  <c r="Q84" i="81"/>
  <c r="V54" i="81"/>
  <c r="Q54" i="81"/>
  <c r="Y54" i="81"/>
  <c r="Y38" i="81"/>
  <c r="V38" i="81"/>
  <c r="Q38" i="81"/>
  <c r="V42" i="81"/>
  <c r="Q42" i="81"/>
  <c r="Y42" i="81"/>
  <c r="V99" i="81"/>
  <c r="Q99" i="81"/>
  <c r="Y33" i="81"/>
  <c r="V33" i="81"/>
  <c r="Q33" i="81"/>
  <c r="V48" i="81"/>
  <c r="Q48" i="81"/>
  <c r="Y48" i="81"/>
  <c r="V58" i="81"/>
  <c r="Y58" i="81"/>
  <c r="Q58" i="81"/>
  <c r="V14" i="81"/>
  <c r="P115" i="81"/>
  <c r="Y14" i="81"/>
  <c r="Q14" i="81"/>
  <c r="V94" i="80"/>
  <c r="Q94" i="80"/>
  <c r="V14" i="80"/>
  <c r="P115" i="80"/>
  <c r="Q14" i="80"/>
  <c r="Y14" i="80"/>
  <c r="V79" i="80"/>
  <c r="Y79" i="80"/>
  <c r="Q79" i="80"/>
  <c r="V47" i="80"/>
  <c r="Q47" i="80"/>
  <c r="Y47" i="80"/>
  <c r="Q77" i="80"/>
  <c r="Y77" i="80"/>
  <c r="V77" i="80"/>
  <c r="V91" i="80"/>
  <c r="Q91" i="80"/>
  <c r="V27" i="80"/>
  <c r="Y27" i="80"/>
  <c r="Q27" i="80"/>
  <c r="Q64" i="80"/>
  <c r="V64" i="80"/>
  <c r="Y64" i="80"/>
  <c r="V60" i="81"/>
  <c r="Q60" i="81"/>
  <c r="Y60" i="81"/>
  <c r="Y89" i="80"/>
  <c r="V89" i="80"/>
  <c r="Q89" i="80"/>
  <c r="V104" i="81"/>
  <c r="Q104" i="81"/>
  <c r="Q110" i="80"/>
  <c r="V110" i="80"/>
  <c r="Y32" i="81"/>
  <c r="V32" i="81"/>
  <c r="Q32" i="81"/>
  <c r="Q98" i="80"/>
  <c r="V98" i="80"/>
  <c r="V113" i="81"/>
  <c r="Q113" i="81"/>
  <c r="Y71" i="81"/>
  <c r="V71" i="81"/>
  <c r="Q71" i="81"/>
  <c r="Q40" i="81"/>
  <c r="Y40" i="81"/>
  <c r="V40" i="81"/>
  <c r="Q97" i="81"/>
  <c r="V97" i="81"/>
  <c r="Q31" i="81"/>
  <c r="V31" i="81"/>
  <c r="Y31" i="81"/>
  <c r="Y70" i="81"/>
  <c r="V70" i="81"/>
  <c r="Q70" i="81"/>
  <c r="Y76" i="81"/>
  <c r="V76" i="81"/>
  <c r="Q76" i="81"/>
  <c r="V96" i="81"/>
  <c r="Q96" i="81"/>
  <c r="F7" i="3"/>
  <c r="Q41" i="80"/>
  <c r="Y41" i="80"/>
  <c r="V41" i="80"/>
  <c r="V104" i="80"/>
  <c r="Q104" i="80"/>
  <c r="Q83" i="80"/>
  <c r="V83" i="80"/>
  <c r="Q113" i="80"/>
  <c r="V113" i="80"/>
  <c r="Y87" i="80"/>
  <c r="V87" i="80"/>
  <c r="Q87" i="80"/>
  <c r="Q106" i="80"/>
  <c r="V106" i="80"/>
  <c r="Y71" i="80"/>
  <c r="Q71" i="80"/>
  <c r="V71" i="80"/>
  <c r="Q79" i="81"/>
  <c r="Y79" i="81"/>
  <c r="V79" i="81"/>
  <c r="Y42" i="80"/>
  <c r="V42" i="80"/>
  <c r="Q42" i="80"/>
  <c r="Q47" i="81"/>
  <c r="V47" i="81"/>
  <c r="Y47" i="81"/>
  <c r="Y22" i="81"/>
  <c r="V22" i="81"/>
  <c r="Q22" i="81"/>
  <c r="V64" i="81"/>
  <c r="Q64" i="81"/>
  <c r="Y64" i="81"/>
  <c r="Q32" i="80"/>
  <c r="V32" i="80"/>
  <c r="Y32" i="80"/>
  <c r="V37" i="81"/>
  <c r="Y37" i="81"/>
  <c r="Q37" i="81"/>
  <c r="Y59" i="81"/>
  <c r="V59" i="81"/>
  <c r="Q59" i="81"/>
  <c r="V29" i="81"/>
  <c r="Q29" i="81"/>
  <c r="Y29" i="81"/>
  <c r="Q78" i="81"/>
  <c r="Y78" i="81"/>
  <c r="V78" i="81"/>
  <c r="Q112" i="81"/>
  <c r="V112" i="81"/>
  <c r="V105" i="81"/>
  <c r="Q105" i="81"/>
  <c r="V21" i="81"/>
  <c r="Y21" i="81"/>
  <c r="Q21" i="81"/>
  <c r="Q17" i="81"/>
  <c r="Y17" i="81"/>
  <c r="V17" i="81"/>
  <c r="V54" i="80"/>
  <c r="Y54" i="80"/>
  <c r="Q54" i="80"/>
  <c r="V75" i="80"/>
  <c r="Q75" i="80"/>
  <c r="Y75" i="80"/>
  <c r="Y60" i="80"/>
  <c r="V60" i="80"/>
  <c r="Q60" i="80"/>
  <c r="Y33" i="80"/>
  <c r="Q33" i="80"/>
  <c r="V33" i="80"/>
  <c r="V19" i="80"/>
  <c r="Q19" i="80"/>
  <c r="Y19" i="80"/>
  <c r="V101" i="80"/>
  <c r="Q101" i="80"/>
  <c r="V35" i="80"/>
  <c r="Y35" i="80"/>
  <c r="Q35" i="80"/>
  <c r="V25" i="80"/>
  <c r="Q25" i="80"/>
  <c r="Y25" i="80"/>
  <c r="V85" i="81"/>
  <c r="Q85" i="81"/>
  <c r="Y85" i="81"/>
  <c r="Q22" i="80"/>
  <c r="Y22" i="80"/>
  <c r="V22" i="80"/>
  <c r="V98" i="81"/>
  <c r="Q98" i="81"/>
  <c r="Q21" i="80"/>
  <c r="V21" i="80"/>
  <c r="Y21" i="80"/>
  <c r="Q75" i="81"/>
  <c r="V75" i="81"/>
  <c r="Y75" i="81"/>
  <c r="Y85" i="80"/>
  <c r="Q85" i="80"/>
  <c r="V85" i="80"/>
  <c r="V57" i="81"/>
  <c r="Q57" i="81"/>
  <c r="Y57" i="81"/>
  <c r="Y86" i="81"/>
  <c r="V86" i="81"/>
  <c r="Q86" i="81"/>
  <c r="Y25" i="81"/>
  <c r="Q25" i="81"/>
  <c r="V25" i="81"/>
  <c r="V45" i="81"/>
  <c r="Q45" i="81"/>
  <c r="Y45" i="81"/>
  <c r="V95" i="81"/>
  <c r="Q95" i="81"/>
  <c r="Y50" i="81"/>
  <c r="Q50" i="81"/>
  <c r="V50" i="81"/>
  <c r="V43" i="81"/>
  <c r="Y43" i="81"/>
  <c r="Q43" i="81"/>
  <c r="Q23" i="81"/>
  <c r="Y23" i="81"/>
  <c r="V23" i="81"/>
  <c r="Y30" i="80"/>
  <c r="Q30" i="80"/>
  <c r="V30" i="80"/>
  <c r="V28" i="80"/>
  <c r="Q28" i="80"/>
  <c r="Y28" i="80"/>
  <c r="Q36" i="80"/>
  <c r="Y36" i="80"/>
  <c r="V36" i="80"/>
  <c r="V88" i="80"/>
  <c r="Q88" i="80"/>
  <c r="V93" i="80"/>
  <c r="Q93" i="80"/>
  <c r="Y45" i="80"/>
  <c r="Q45" i="80"/>
  <c r="V45" i="80"/>
  <c r="Q49" i="80"/>
  <c r="V49" i="80"/>
  <c r="Y57" i="80"/>
  <c r="Q57" i="80"/>
  <c r="V57" i="80"/>
  <c r="Q26" i="80"/>
  <c r="Y26" i="80"/>
  <c r="V26" i="80"/>
  <c r="V109" i="80"/>
  <c r="Q109" i="80"/>
  <c r="Y34" i="81"/>
  <c r="V34" i="81"/>
  <c r="Q34" i="81"/>
  <c r="V58" i="80"/>
  <c r="Q58" i="80"/>
  <c r="Y58" i="80"/>
  <c r="V105" i="80"/>
  <c r="Q105" i="80"/>
  <c r="Y82" i="81"/>
  <c r="V82" i="81"/>
  <c r="Q82" i="81"/>
  <c r="V15" i="81"/>
  <c r="Q15" i="81"/>
  <c r="Y15" i="81"/>
  <c r="Y20" i="81"/>
  <c r="Q20" i="81"/>
  <c r="V20" i="81"/>
  <c r="Y39" i="81"/>
  <c r="V39" i="81"/>
  <c r="Q39" i="81"/>
  <c r="Y68" i="81"/>
  <c r="V68" i="81"/>
  <c r="Q68" i="81"/>
  <c r="V18" i="81"/>
  <c r="Q18" i="81"/>
  <c r="Y18" i="81"/>
  <c r="Q61" i="81"/>
  <c r="Y61" i="81"/>
  <c r="V61" i="81"/>
  <c r="Q81" i="81"/>
  <c r="Y81" i="81"/>
  <c r="V81" i="81"/>
  <c r="Y40" i="80"/>
  <c r="Q40" i="80"/>
  <c r="V40" i="80"/>
  <c r="V63" i="80"/>
  <c r="Q63" i="80"/>
  <c r="Y63" i="80"/>
  <c r="Q84" i="80"/>
  <c r="Y84" i="80"/>
  <c r="V84" i="80"/>
  <c r="Q39" i="80"/>
  <c r="Y39" i="80"/>
  <c r="V39" i="80"/>
  <c r="Q23" i="80"/>
  <c r="Y23" i="80"/>
  <c r="V23" i="80"/>
  <c r="V20" i="80"/>
  <c r="Q20" i="80"/>
  <c r="Y20" i="80"/>
  <c r="Q31" i="80"/>
  <c r="V31" i="80"/>
  <c r="Y31" i="80"/>
  <c r="Q18" i="80"/>
  <c r="Y18" i="80"/>
  <c r="V18" i="80"/>
  <c r="Q15" i="80"/>
  <c r="V15" i="80"/>
  <c r="Y15" i="80"/>
  <c r="Y44" i="81"/>
  <c r="V44" i="81"/>
  <c r="Q44" i="81"/>
  <c r="V103" i="80"/>
  <c r="Q103" i="80"/>
  <c r="Q19" i="81"/>
  <c r="Y19" i="81"/>
  <c r="V19" i="81"/>
  <c r="V108" i="80"/>
  <c r="Q108" i="80"/>
  <c r="V65" i="80"/>
  <c r="Q65" i="80"/>
  <c r="Y65" i="80"/>
  <c r="Y87" i="81"/>
  <c r="V87" i="81"/>
  <c r="Q87" i="81"/>
  <c r="Q101" i="81"/>
  <c r="V101" i="81"/>
  <c r="Y67" i="81"/>
  <c r="V67" i="81"/>
  <c r="Q67" i="81"/>
  <c r="Q27" i="81"/>
  <c r="Y27" i="81"/>
  <c r="V27" i="81"/>
  <c r="Y65" i="81"/>
  <c r="V65" i="81"/>
  <c r="Q65" i="81"/>
  <c r="Y16" i="81"/>
  <c r="V16" i="81"/>
  <c r="Q16" i="81"/>
  <c r="Y52" i="81"/>
  <c r="V52" i="81"/>
  <c r="Q52" i="81"/>
  <c r="V93" i="81"/>
  <c r="Q93" i="81"/>
  <c r="R112" i="80"/>
  <c r="F5" i="3"/>
  <c r="Q59" i="80"/>
  <c r="V59" i="80"/>
  <c r="Y59" i="80"/>
  <c r="Q17" i="80"/>
  <c r="V17" i="80"/>
  <c r="Y17" i="80"/>
  <c r="Q24" i="80"/>
  <c r="V24" i="80"/>
  <c r="Y24" i="80"/>
  <c r="V95" i="80"/>
  <c r="Q95" i="80"/>
  <c r="Q78" i="80"/>
  <c r="Y78" i="80"/>
  <c r="V78" i="80"/>
  <c r="Q61" i="80"/>
  <c r="Y61" i="80"/>
  <c r="V61" i="80"/>
  <c r="V67" i="80"/>
  <c r="Q67" i="80"/>
  <c r="Y67" i="80"/>
  <c r="V16" i="80"/>
  <c r="Q16" i="80"/>
  <c r="Y16" i="80"/>
  <c r="V103" i="81"/>
  <c r="Q103" i="81"/>
  <c r="V66" i="81"/>
  <c r="Y66" i="81"/>
  <c r="Q66" i="81"/>
  <c r="Q92" i="80"/>
  <c r="V92" i="80"/>
  <c r="Y30" i="81"/>
  <c r="Q30" i="81"/>
  <c r="V30" i="81"/>
  <c r="Q102" i="80"/>
  <c r="V102" i="80"/>
  <c r="V107" i="81"/>
  <c r="Q107" i="81"/>
  <c r="Y24" i="81"/>
  <c r="Q24" i="81"/>
  <c r="V24" i="81"/>
  <c r="Y35" i="81"/>
  <c r="V35" i="81"/>
  <c r="Q35" i="81"/>
  <c r="V106" i="81"/>
  <c r="Q106" i="81"/>
  <c r="V83" i="81"/>
  <c r="Q83" i="81"/>
  <c r="R112" i="81"/>
  <c r="V92" i="81"/>
  <c r="Q92" i="81"/>
  <c r="V86" i="80"/>
  <c r="Q86" i="80"/>
  <c r="Y86" i="80"/>
  <c r="Y52" i="80"/>
  <c r="V52" i="80"/>
  <c r="Q52" i="80"/>
  <c r="Y48" i="80"/>
  <c r="Q48" i="80"/>
  <c r="V48" i="80"/>
  <c r="V97" i="80"/>
  <c r="Q97" i="80"/>
  <c r="Y82" i="80"/>
  <c r="V82" i="80"/>
  <c r="Q82" i="80"/>
  <c r="V73" i="80"/>
  <c r="Q73" i="80"/>
  <c r="Y73" i="80"/>
  <c r="F6" i="3"/>
  <c r="V44" i="80"/>
  <c r="Y44" i="80"/>
  <c r="Q44" i="80"/>
  <c r="Q62" i="80"/>
  <c r="Y62" i="80"/>
  <c r="V62" i="80"/>
  <c r="Q29" i="80"/>
  <c r="V29" i="80"/>
  <c r="Y29" i="80"/>
  <c r="V88" i="81"/>
  <c r="Q88" i="81"/>
  <c r="V38" i="80"/>
  <c r="Y38" i="80"/>
  <c r="Q38" i="80"/>
  <c r="V109" i="81"/>
  <c r="Q109" i="81"/>
  <c r="Q37" i="80"/>
  <c r="Y37" i="80"/>
  <c r="V37" i="80"/>
  <c r="V49" i="81"/>
  <c r="Q49" i="81"/>
  <c r="Y80" i="80"/>
  <c r="V80" i="80"/>
  <c r="Q80" i="80"/>
  <c r="V94" i="81"/>
  <c r="Q94" i="81"/>
  <c r="Q69" i="81"/>
  <c r="V69" i="81"/>
  <c r="Y69" i="81"/>
  <c r="Y41" i="81"/>
  <c r="V41" i="81"/>
  <c r="Q41" i="81"/>
  <c r="V108" i="81"/>
  <c r="Q108" i="81"/>
  <c r="V77" i="81"/>
  <c r="Y77" i="81"/>
  <c r="Q77" i="81"/>
  <c r="Y72" i="81"/>
  <c r="V72" i="81"/>
  <c r="Q72" i="81"/>
  <c r="Y80" i="81"/>
  <c r="V80" i="81"/>
  <c r="Q80" i="81"/>
  <c r="Y26" i="81"/>
  <c r="V26" i="81"/>
  <c r="Q26" i="81"/>
  <c r="Y56" i="80"/>
  <c r="V56" i="80"/>
  <c r="Q56" i="80"/>
  <c r="Y34" i="80"/>
  <c r="Q34" i="80"/>
  <c r="V34" i="80"/>
  <c r="Y70" i="80"/>
  <c r="V70" i="80"/>
  <c r="Q70" i="80"/>
  <c r="V111" i="80"/>
  <c r="Q111" i="80"/>
  <c r="Q69" i="80"/>
  <c r="Y69" i="80"/>
  <c r="V69" i="80"/>
  <c r="Y74" i="80"/>
  <c r="V74" i="80"/>
  <c r="Q74" i="80"/>
  <c r="Y38" i="79"/>
  <c r="V38" i="79"/>
  <c r="Q38" i="79"/>
  <c r="Y46" i="79"/>
  <c r="V46" i="79"/>
  <c r="Q46" i="79"/>
  <c r="Q15" i="77"/>
  <c r="V15" i="77"/>
  <c r="Y15" i="77"/>
  <c r="Q65" i="77"/>
  <c r="Y65" i="77"/>
  <c r="V65" i="77"/>
  <c r="Y63" i="79"/>
  <c r="V63" i="79"/>
  <c r="Q63" i="79"/>
  <c r="V111" i="77"/>
  <c r="Q111" i="77"/>
  <c r="Q58" i="77"/>
  <c r="V58" i="77"/>
  <c r="Y58" i="77"/>
  <c r="Q26" i="79"/>
  <c r="V26" i="79"/>
  <c r="Y26" i="79"/>
  <c r="V62" i="79"/>
  <c r="Q62" i="79"/>
  <c r="Y62" i="79"/>
  <c r="Q83" i="77"/>
  <c r="V83" i="77"/>
  <c r="V109" i="79"/>
  <c r="Q109" i="79"/>
  <c r="Q97" i="77"/>
  <c r="V97" i="77"/>
  <c r="Q21" i="77"/>
  <c r="V21" i="77"/>
  <c r="Y21" i="77"/>
  <c r="V50" i="79"/>
  <c r="Q50" i="79"/>
  <c r="Y50" i="79"/>
  <c r="Q34" i="77"/>
  <c r="Y34" i="77"/>
  <c r="V34" i="77"/>
  <c r="Q47" i="77"/>
  <c r="Y47" i="77"/>
  <c r="V47" i="77"/>
  <c r="V83" i="79"/>
  <c r="Q83" i="79"/>
  <c r="Q29" i="77"/>
  <c r="Y29" i="77"/>
  <c r="V29" i="77"/>
  <c r="Y70" i="79"/>
  <c r="V70" i="79"/>
  <c r="Q70" i="79"/>
  <c r="V103" i="79"/>
  <c r="Q103" i="79"/>
  <c r="Q46" i="77"/>
  <c r="V46" i="77"/>
  <c r="Y46" i="77"/>
  <c r="Q85" i="77"/>
  <c r="Y85" i="77"/>
  <c r="V85" i="77"/>
  <c r="Q37" i="79"/>
  <c r="V37" i="79"/>
  <c r="Y37" i="79"/>
  <c r="Q17" i="77"/>
  <c r="V17" i="77"/>
  <c r="Y17" i="77"/>
  <c r="Y56" i="79"/>
  <c r="V56" i="79"/>
  <c r="Q56" i="79"/>
  <c r="V44" i="79"/>
  <c r="E6" i="3"/>
  <c r="Q44" i="79"/>
  <c r="Y44" i="79"/>
  <c r="Y52" i="79"/>
  <c r="V52" i="79"/>
  <c r="Q52" i="79"/>
  <c r="Q40" i="77"/>
  <c r="V40" i="77"/>
  <c r="Y40" i="77"/>
  <c r="Q44" i="77"/>
  <c r="D6" i="3"/>
  <c r="V44" i="77"/>
  <c r="Y44" i="77"/>
  <c r="Q101" i="77"/>
  <c r="V101" i="77"/>
  <c r="Q84" i="77"/>
  <c r="V84" i="77"/>
  <c r="Y84" i="77"/>
  <c r="Q82" i="77"/>
  <c r="Y82" i="77"/>
  <c r="V82" i="77"/>
  <c r="Q71" i="77"/>
  <c r="Y71" i="77"/>
  <c r="V71" i="77"/>
  <c r="Q99" i="77"/>
  <c r="V99" i="77"/>
  <c r="Y43" i="79"/>
  <c r="Q43" i="79"/>
  <c r="V43" i="79"/>
  <c r="V105" i="79"/>
  <c r="Q105" i="79"/>
  <c r="Q85" i="79"/>
  <c r="V85" i="79"/>
  <c r="Y85" i="79"/>
  <c r="V101" i="79"/>
  <c r="Q101" i="79"/>
  <c r="V110" i="77"/>
  <c r="Q110" i="77"/>
  <c r="Q14" i="77"/>
  <c r="P113" i="77"/>
  <c r="Y14" i="77"/>
  <c r="V14" i="77"/>
  <c r="Q107" i="77"/>
  <c r="V107" i="77"/>
  <c r="Y80" i="79"/>
  <c r="Q80" i="79"/>
  <c r="V80" i="79"/>
  <c r="Y29" i="79"/>
  <c r="Q29" i="79"/>
  <c r="V29" i="79"/>
  <c r="Y17" i="79"/>
  <c r="Q17" i="79"/>
  <c r="V17" i="79"/>
  <c r="Q48" i="77"/>
  <c r="Y48" i="77"/>
  <c r="V48" i="77"/>
  <c r="Q35" i="77"/>
  <c r="Y35" i="77"/>
  <c r="V35" i="77"/>
  <c r="Q27" i="79"/>
  <c r="Y27" i="79"/>
  <c r="V27" i="79"/>
  <c r="V73" i="79"/>
  <c r="Q73" i="79"/>
  <c r="Y73" i="79"/>
  <c r="Q88" i="77"/>
  <c r="Y88" i="77"/>
  <c r="V88" i="77"/>
  <c r="Q33" i="77"/>
  <c r="Y33" i="77"/>
  <c r="V33" i="77"/>
  <c r="Q50" i="77"/>
  <c r="V50" i="77"/>
  <c r="Y50" i="77"/>
  <c r="Q15" i="79"/>
  <c r="Y15" i="79"/>
  <c r="V15" i="79"/>
  <c r="Y67" i="79"/>
  <c r="Q67" i="79"/>
  <c r="V67" i="79"/>
  <c r="V48" i="79"/>
  <c r="Q48" i="79"/>
  <c r="Y48" i="79"/>
  <c r="Q80" i="77"/>
  <c r="V80" i="77"/>
  <c r="Y80" i="77"/>
  <c r="Q91" i="77"/>
  <c r="V91" i="77"/>
  <c r="Q20" i="77"/>
  <c r="Y20" i="77"/>
  <c r="V20" i="77"/>
  <c r="Q96" i="79"/>
  <c r="V96" i="79"/>
  <c r="Y77" i="79"/>
  <c r="V77" i="79"/>
  <c r="Q77" i="79"/>
  <c r="Y69" i="79"/>
  <c r="Q69" i="79"/>
  <c r="V69" i="79"/>
  <c r="Q73" i="77"/>
  <c r="Y73" i="77"/>
  <c r="V73" i="77"/>
  <c r="Q32" i="77"/>
  <c r="Y32" i="77"/>
  <c r="V32" i="77"/>
  <c r="Q41" i="77"/>
  <c r="D7" i="3"/>
  <c r="Y41" i="77"/>
  <c r="V41" i="77"/>
  <c r="Y71" i="79"/>
  <c r="Q71" i="79"/>
  <c r="V71" i="79"/>
  <c r="Y19" i="79"/>
  <c r="V19" i="79"/>
  <c r="Q19" i="79"/>
  <c r="Q111" i="79"/>
  <c r="V111" i="79"/>
  <c r="Q66" i="77"/>
  <c r="Y66" i="77"/>
  <c r="V66" i="77"/>
  <c r="Q39" i="77"/>
  <c r="V39" i="77"/>
  <c r="Y39" i="77"/>
  <c r="Q25" i="77"/>
  <c r="Y25" i="77"/>
  <c r="V25" i="77"/>
  <c r="Q61" i="79"/>
  <c r="Y61" i="79"/>
  <c r="V61" i="79"/>
  <c r="V93" i="79"/>
  <c r="Q93" i="79"/>
  <c r="Q31" i="77"/>
  <c r="Y31" i="77"/>
  <c r="V31" i="77"/>
  <c r="Q75" i="77"/>
  <c r="V75" i="77"/>
  <c r="Y75" i="77"/>
  <c r="Q99" i="79"/>
  <c r="V99" i="79"/>
  <c r="V98" i="79"/>
  <c r="Q98" i="79"/>
  <c r="V87" i="79"/>
  <c r="Q87" i="79"/>
  <c r="Y87" i="79"/>
  <c r="Q68" i="77"/>
  <c r="V68" i="77"/>
  <c r="Y68" i="77"/>
  <c r="Q52" i="77"/>
  <c r="V52" i="77"/>
  <c r="Y52" i="77"/>
  <c r="Q81" i="77"/>
  <c r="V81" i="77"/>
  <c r="Y81" i="77"/>
  <c r="Q78" i="77"/>
  <c r="V78" i="77"/>
  <c r="Y78" i="77"/>
  <c r="Y66" i="79"/>
  <c r="V66" i="79"/>
  <c r="Q66" i="79"/>
  <c r="Y74" i="79"/>
  <c r="V74" i="79"/>
  <c r="Q74" i="79"/>
  <c r="Q108" i="77"/>
  <c r="V108" i="77"/>
  <c r="Y18" i="79"/>
  <c r="Q18" i="79"/>
  <c r="V18" i="79"/>
  <c r="Y25" i="79"/>
  <c r="V25" i="79"/>
  <c r="Q25" i="79"/>
  <c r="Q42" i="79"/>
  <c r="Y42" i="79"/>
  <c r="V42" i="79"/>
  <c r="Q110" i="79"/>
  <c r="V110" i="79"/>
  <c r="Q89" i="79"/>
  <c r="V89" i="79"/>
  <c r="Y89" i="79"/>
  <c r="V59" i="79"/>
  <c r="E5" i="3"/>
  <c r="Y59" i="79"/>
  <c r="Q59" i="79"/>
  <c r="Y76" i="79"/>
  <c r="Q76" i="79"/>
  <c r="V76" i="79"/>
  <c r="Y39" i="79"/>
  <c r="V39" i="79"/>
  <c r="Q39" i="79"/>
  <c r="V88" i="79"/>
  <c r="Q88" i="79"/>
  <c r="Q90" i="77"/>
  <c r="V90" i="77"/>
  <c r="Q37" i="77"/>
  <c r="V37" i="77"/>
  <c r="Y37" i="77"/>
  <c r="Q95" i="77"/>
  <c r="V95" i="77"/>
  <c r="Q86" i="77"/>
  <c r="Y86" i="77"/>
  <c r="V86" i="77"/>
  <c r="Q77" i="77"/>
  <c r="Y77" i="77"/>
  <c r="V77" i="77"/>
  <c r="Q67" i="77"/>
  <c r="Y67" i="77"/>
  <c r="V67" i="77"/>
  <c r="Q64" i="77"/>
  <c r="V64" i="77"/>
  <c r="Y64" i="77"/>
  <c r="Q63" i="77"/>
  <c r="Y63" i="77"/>
  <c r="V63" i="77"/>
  <c r="Q42" i="77"/>
  <c r="V42" i="77"/>
  <c r="Y42" i="77"/>
  <c r="V57" i="79"/>
  <c r="Q57" i="79"/>
  <c r="Y57" i="79"/>
  <c r="V21" i="79"/>
  <c r="Q21" i="79"/>
  <c r="Y21" i="79"/>
  <c r="Y84" i="79"/>
  <c r="Q84" i="79"/>
  <c r="V84" i="79"/>
  <c r="Q62" i="77"/>
  <c r="Y62" i="77"/>
  <c r="V62" i="77"/>
  <c r="Q104" i="77"/>
  <c r="V104" i="77"/>
  <c r="V23" i="79"/>
  <c r="Y23" i="79"/>
  <c r="Q23" i="79"/>
  <c r="Y86" i="79"/>
  <c r="Q86" i="79"/>
  <c r="V86" i="79"/>
  <c r="Q33" i="79"/>
  <c r="Y33" i="79"/>
  <c r="V33" i="79"/>
  <c r="Q61" i="77"/>
  <c r="V61" i="77"/>
  <c r="Y61" i="77"/>
  <c r="Q28" i="77"/>
  <c r="V28" i="77"/>
  <c r="Y28" i="77"/>
  <c r="Y40" i="79"/>
  <c r="Q40" i="79"/>
  <c r="V40" i="79"/>
  <c r="Q24" i="79"/>
  <c r="V24" i="79"/>
  <c r="Y24" i="79"/>
  <c r="Q70" i="77"/>
  <c r="Y70" i="77"/>
  <c r="V70" i="77"/>
  <c r="Q43" i="77"/>
  <c r="V43" i="77"/>
  <c r="Y43" i="77"/>
  <c r="Q47" i="79"/>
  <c r="Y47" i="79"/>
  <c r="V47" i="79"/>
  <c r="Q32" i="79"/>
  <c r="V32" i="79"/>
  <c r="Y32" i="79"/>
  <c r="Q36" i="77"/>
  <c r="V36" i="77"/>
  <c r="Y36" i="77"/>
  <c r="Q82" i="79"/>
  <c r="V82" i="79"/>
  <c r="Y82" i="79"/>
  <c r="Q74" i="77"/>
  <c r="Y74" i="77"/>
  <c r="V74" i="77"/>
  <c r="Q76" i="77"/>
  <c r="V76" i="77"/>
  <c r="Y76" i="77"/>
  <c r="V92" i="79"/>
  <c r="Q92" i="79"/>
  <c r="Q30" i="79"/>
  <c r="V30" i="79"/>
  <c r="Y30" i="79"/>
  <c r="Q94" i="79"/>
  <c r="V94" i="79"/>
  <c r="D5" i="3"/>
  <c r="Q59" i="77"/>
  <c r="V59" i="77"/>
  <c r="Y59" i="77"/>
  <c r="Q22" i="77"/>
  <c r="Y22" i="77"/>
  <c r="V22" i="77"/>
  <c r="Q113" i="79"/>
  <c r="V113" i="79"/>
  <c r="Y75" i="79"/>
  <c r="V75" i="79"/>
  <c r="Q75" i="79"/>
  <c r="Q60" i="79"/>
  <c r="V60" i="79"/>
  <c r="Y60" i="79"/>
  <c r="Q36" i="79"/>
  <c r="Y36" i="79"/>
  <c r="V36" i="79"/>
  <c r="Q96" i="77"/>
  <c r="V96" i="77"/>
  <c r="Q106" i="77"/>
  <c r="V106" i="77"/>
  <c r="V91" i="79"/>
  <c r="Q91" i="79"/>
  <c r="Y81" i="79"/>
  <c r="Q81" i="79"/>
  <c r="V81" i="79"/>
  <c r="Y31" i="79"/>
  <c r="V31" i="79"/>
  <c r="Q31" i="79"/>
  <c r="Q106" i="79"/>
  <c r="V106" i="79"/>
  <c r="Q35" i="79"/>
  <c r="V35" i="79"/>
  <c r="Y35" i="79"/>
  <c r="V100" i="79"/>
  <c r="Q100" i="79"/>
  <c r="Q112" i="79"/>
  <c r="V112" i="79"/>
  <c r="Y34" i="79"/>
  <c r="Q34" i="79"/>
  <c r="V34" i="79"/>
  <c r="Y54" i="79"/>
  <c r="Q54" i="79"/>
  <c r="V54" i="79"/>
  <c r="V79" i="79"/>
  <c r="Y79" i="79"/>
  <c r="Q79" i="79"/>
  <c r="Y78" i="79"/>
  <c r="Q78" i="79"/>
  <c r="V78" i="79"/>
  <c r="Q24" i="77"/>
  <c r="V24" i="77"/>
  <c r="Y24" i="77"/>
  <c r="Q30" i="77"/>
  <c r="Y30" i="77"/>
  <c r="V30" i="77"/>
  <c r="Q87" i="77"/>
  <c r="Y87" i="77"/>
  <c r="V87" i="77"/>
  <c r="Q79" i="77"/>
  <c r="Y79" i="77"/>
  <c r="V79" i="77"/>
  <c r="Q60" i="77"/>
  <c r="V60" i="77"/>
  <c r="Y60" i="77"/>
  <c r="Q56" i="77"/>
  <c r="Y56" i="77"/>
  <c r="V56" i="77"/>
  <c r="Q27" i="77"/>
  <c r="Y27" i="77"/>
  <c r="V27" i="77"/>
  <c r="V16" i="79"/>
  <c r="Y16" i="79"/>
  <c r="Q16" i="79"/>
  <c r="Q65" i="79"/>
  <c r="Y65" i="79"/>
  <c r="V65" i="79"/>
  <c r="Q16" i="77"/>
  <c r="V16" i="77"/>
  <c r="Y16" i="77"/>
  <c r="Q98" i="77"/>
  <c r="V98" i="77"/>
  <c r="V45" i="79"/>
  <c r="Q45" i="79"/>
  <c r="Y45" i="79"/>
  <c r="Q102" i="77"/>
  <c r="V102" i="77"/>
  <c r="Q94" i="77"/>
  <c r="V94" i="77"/>
  <c r="Q108" i="79"/>
  <c r="V108" i="79"/>
  <c r="Q92" i="77"/>
  <c r="V92" i="77"/>
  <c r="Q57" i="77"/>
  <c r="Y57" i="77"/>
  <c r="V57" i="77"/>
  <c r="Y68" i="79"/>
  <c r="V68" i="79"/>
  <c r="Q68" i="79"/>
  <c r="Q64" i="79"/>
  <c r="V64" i="79"/>
  <c r="Y64" i="79"/>
  <c r="Q54" i="77"/>
  <c r="Y54" i="77"/>
  <c r="V54" i="77"/>
  <c r="Q95" i="79"/>
  <c r="V95" i="79"/>
  <c r="Y28" i="79"/>
  <c r="V28" i="79"/>
  <c r="Q28" i="79"/>
  <c r="Q103" i="77"/>
  <c r="V103" i="77"/>
  <c r="Q100" i="77"/>
  <c r="V100" i="77"/>
  <c r="P115" i="79"/>
  <c r="Y14" i="79"/>
  <c r="V14" i="79"/>
  <c r="Q14" i="79"/>
  <c r="Q69" i="77"/>
  <c r="V69" i="77"/>
  <c r="Y69" i="77"/>
  <c r="Q93" i="77"/>
  <c r="V93" i="77"/>
  <c r="Y22" i="79"/>
  <c r="Q22" i="79"/>
  <c r="V22" i="79"/>
  <c r="Q18" i="77"/>
  <c r="Y18" i="77"/>
  <c r="V18" i="77"/>
  <c r="Q38" i="77"/>
  <c r="Y38" i="77"/>
  <c r="V38" i="77"/>
  <c r="V107" i="79"/>
  <c r="Q107" i="79"/>
  <c r="Q105" i="77"/>
  <c r="V105" i="77"/>
  <c r="V58" i="79"/>
  <c r="Q58" i="79"/>
  <c r="Y58" i="79"/>
  <c r="Q104" i="79"/>
  <c r="V104" i="79"/>
  <c r="Q20" i="79"/>
  <c r="Y20" i="79"/>
  <c r="V20" i="79"/>
  <c r="Q41" i="79"/>
  <c r="E7" i="3"/>
  <c r="Y41" i="79"/>
  <c r="V41" i="79"/>
  <c r="V72" i="79"/>
  <c r="Q72" i="79"/>
  <c r="Y72" i="79"/>
  <c r="V97" i="79"/>
  <c r="Q97" i="79"/>
  <c r="Q49" i="79"/>
  <c r="V49" i="79"/>
  <c r="Q102" i="79"/>
  <c r="V102" i="79"/>
  <c r="Q109" i="77"/>
  <c r="V109" i="77"/>
  <c r="Q45" i="77"/>
  <c r="V45" i="77"/>
  <c r="Y45" i="77"/>
  <c r="Q23" i="77"/>
  <c r="Y23" i="77"/>
  <c r="V23" i="77"/>
  <c r="Q72" i="77"/>
  <c r="V72" i="77"/>
  <c r="Y72" i="77"/>
  <c r="Q26" i="77"/>
  <c r="Y26" i="77"/>
  <c r="V26" i="77"/>
  <c r="Q49" i="77"/>
  <c r="V49" i="77"/>
  <c r="Q19" i="77"/>
  <c r="Y19" i="77"/>
  <c r="V19" i="77"/>
  <c r="Y115" i="80" l="1"/>
  <c r="F12" i="3"/>
  <c r="Y115" i="81"/>
  <c r="Y115" i="79"/>
  <c r="E12" i="3"/>
  <c r="D12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Y113" i="7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Debora Rodriguez</author>
    <author>Ignacio Fontova</author>
    <author>Carolina Bertone</author>
    <author>Nbaez</author>
    <author>cdelvalle</author>
  </authors>
  <commentList>
    <comment ref="T7" authorId="0" shapeId="0" xr:uid="{6081EB07-013E-475D-B05B-C4CA8CB0A1F0}">
      <text>
        <r>
          <rPr>
            <b/>
            <sz val="9"/>
            <color indexed="81"/>
            <rFont val="Tahoma"/>
            <family val="2"/>
          </rPr>
          <t>Debora Rodriguez:</t>
        </r>
        <r>
          <rPr>
            <sz val="9"/>
            <color indexed="81"/>
            <rFont val="Tahoma"/>
            <family val="2"/>
          </rPr>
          <t xml:space="preserve">
Rentas  aumento el 
30%</t>
        </r>
      </text>
    </comment>
    <comment ref="Q8" authorId="1" shapeId="0" xr:uid="{268CDDE5-F6DA-41F2-87FE-0255D1F5D62E}">
      <text>
        <r>
          <rPr>
            <b/>
            <sz val="9"/>
            <color indexed="81"/>
            <rFont val="Tahoma"/>
            <family val="2"/>
          </rPr>
          <t>Ignacio Fontova:</t>
        </r>
        <r>
          <rPr>
            <sz val="9"/>
            <color indexed="81"/>
            <rFont val="Tahoma"/>
            <family val="2"/>
          </rPr>
          <t xml:space="preserve">
incluye parte de mayo/19
</t>
        </r>
      </text>
    </comment>
    <comment ref="B14" authorId="2" shapeId="0" xr:uid="{2D615CD5-F399-4EFA-8F64-5492F5A09D64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en la ficha figura 211 m2 de salón y 26 m2 de depósito. Deberíamos poner 211 en m2 de expensas?</t>
        </r>
      </text>
    </comment>
    <comment ref="B41" authorId="2" shapeId="0" xr:uid="{141C217C-F912-43B6-8255-A1543BFB1EA1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cambie numero de local</t>
        </r>
      </text>
    </comment>
    <comment ref="E44" authorId="3" shapeId="0" xr:uid="{9CDE9364-ED92-47FE-B8DB-5BCDA3ED0551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No abona expensas por los mts2 contruidos por el locatario. Solo abona sobre 168 mts2 FER PACOTTO dio el OK 13012016</t>
        </r>
      </text>
    </comment>
    <comment ref="E45" authorId="4" shapeId="0" xr:uid="{9DEDA4F7-3E83-40CD-8FBB-F648FD9E8CF4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152,4 m2+ depósito: 69,3 m2= 221,7 m2 expensables
</t>
        </r>
      </text>
    </comment>
    <comment ref="E47" authorId="4" shapeId="0" xr:uid="{2356B9D8-AA31-4B2A-B30E-71EA25C6B794}">
      <text>
        <r>
          <rPr>
            <sz val="9"/>
            <color indexed="81"/>
            <rFont val="Tahoma"/>
            <family val="2"/>
          </rPr>
          <t xml:space="preserve">
local: 73,9 m2 = 73,9 m2 expensables
No tiene Depósito. </t>
        </r>
      </text>
    </comment>
    <comment ref="E48" authorId="4" shapeId="0" xr:uid="{63954861-FF1C-4B61-86FC-168DA85228BC}">
      <text>
        <r>
          <rPr>
            <sz val="9"/>
            <color indexed="81"/>
            <rFont val="Tahoma"/>
            <family val="2"/>
          </rPr>
          <t xml:space="preserve">
local: 147,8 m2 expensables</t>
        </r>
      </text>
    </comment>
    <comment ref="E49" authorId="4" shapeId="0" xr:uid="{30B5A7D7-1089-41F6-8EA5-5D998542E8E7}">
      <text>
        <r>
          <rPr>
            <sz val="9"/>
            <color indexed="81"/>
            <rFont val="Tahoma"/>
            <family val="2"/>
          </rPr>
          <t xml:space="preserve">
3 depósitos de 35,65 mts2 cada uno. </t>
        </r>
      </text>
    </comment>
    <comment ref="E50" authorId="4" shapeId="0" xr:uid="{55BED484-8314-43AE-9376-EFAA603295B1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147,8m2 + depósito: 71,3 m2= 219,1 m2 expensables</t>
        </r>
      </text>
    </comment>
    <comment ref="E52" authorId="4" shapeId="0" xr:uid="{FF9B17AB-EF3D-4ECE-B9F7-54BEFC9B9A79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118,2m2 + depósito: 50,65m2= 168,5 m2 expensables
168,85</t>
        </r>
      </text>
    </comment>
    <comment ref="E54" authorId="4" shapeId="0" xr:uid="{D58B9B13-3DE9-4D59-BFF6-446F4D6FF764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137,65m2 + depósito: 11,9m2= 149,55 m2 expensables</t>
        </r>
      </text>
    </comment>
    <comment ref="E56" authorId="3" shapeId="0" xr:uid="{AC6AF70F-428D-44B5-92BF-BAA143A55D93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87,28 terraza. 
218,78 PA 
306,79 PB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Debora Rodriguez</author>
    <author>Ignacio Fontova</author>
    <author>Carolina Bertone</author>
    <author>Nbaez</author>
    <author>cdelvalle</author>
  </authors>
  <commentList>
    <comment ref="T7" authorId="0" shapeId="0" xr:uid="{38BD9A2F-7906-4BB0-9A3C-CEA3D82B5217}">
      <text>
        <r>
          <rPr>
            <b/>
            <sz val="9"/>
            <color indexed="81"/>
            <rFont val="Tahoma"/>
            <family val="2"/>
          </rPr>
          <t>Debora Rodriguez:</t>
        </r>
        <r>
          <rPr>
            <sz val="9"/>
            <color indexed="81"/>
            <rFont val="Tahoma"/>
            <family val="2"/>
          </rPr>
          <t xml:space="preserve">
Rentas  aumento el 
30%</t>
        </r>
      </text>
    </comment>
    <comment ref="Q8" authorId="1" shapeId="0" xr:uid="{035B1988-7BFC-4CDC-9BC7-A32E8FB989A6}">
      <text>
        <r>
          <rPr>
            <b/>
            <sz val="9"/>
            <color indexed="81"/>
            <rFont val="Tahoma"/>
            <family val="2"/>
          </rPr>
          <t>Ignacio Fontova:</t>
        </r>
        <r>
          <rPr>
            <sz val="9"/>
            <color indexed="81"/>
            <rFont val="Tahoma"/>
            <family val="2"/>
          </rPr>
          <t xml:space="preserve">
incluye parte de mayo/19
</t>
        </r>
      </text>
    </comment>
    <comment ref="B14" authorId="2" shapeId="0" xr:uid="{E0CC1131-6083-458A-A575-16D1FD460859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en la ficha figura 211 m2 de salón y 26 m2 de depósito. Deberíamos poner 211 en m2 de expensas?</t>
        </r>
      </text>
    </comment>
    <comment ref="B41" authorId="2" shapeId="0" xr:uid="{C2F972FD-B84A-4F8E-805A-8DEDDFEB245C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cambie numero de local</t>
        </r>
      </text>
    </comment>
    <comment ref="E44" authorId="3" shapeId="0" xr:uid="{C5FE31BD-1A30-4BB0-A237-B26F582EA6B2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No abona expensas por los mts2 contruidos por el locatario. Solo abona sobre 168 mts2 FER PACOTTO dio el OK 13012016</t>
        </r>
      </text>
    </comment>
    <comment ref="E45" authorId="4" shapeId="0" xr:uid="{34E8538A-3E70-4606-8EB8-B04A5ADCDCB8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152,4 m2+ depósito: 69,3 m2= 221,7 m2 expensables
</t>
        </r>
      </text>
    </comment>
    <comment ref="E47" authorId="4" shapeId="0" xr:uid="{23A7BCFD-0891-43C1-BA04-30272FD4C038}">
      <text>
        <r>
          <rPr>
            <sz val="9"/>
            <color indexed="81"/>
            <rFont val="Tahoma"/>
            <family val="2"/>
          </rPr>
          <t xml:space="preserve">
local: 73,9 m2 = 73,9 m2 expensables
No tiene Depósito. </t>
        </r>
      </text>
    </comment>
    <comment ref="E48" authorId="4" shapeId="0" xr:uid="{2DC576A4-E818-4012-80F5-C46F5F7EABD6}">
      <text>
        <r>
          <rPr>
            <sz val="9"/>
            <color indexed="81"/>
            <rFont val="Tahoma"/>
            <family val="2"/>
          </rPr>
          <t xml:space="preserve">
local: 147,8 m2 expensables</t>
        </r>
      </text>
    </comment>
    <comment ref="E49" authorId="4" shapeId="0" xr:uid="{4B57EBE5-F8E1-40A5-A2F6-86283D1A2E4E}">
      <text>
        <r>
          <rPr>
            <sz val="9"/>
            <color indexed="81"/>
            <rFont val="Tahoma"/>
            <family val="2"/>
          </rPr>
          <t xml:space="preserve">
3 depósitos de 35,65 mts2 cada uno. </t>
        </r>
      </text>
    </comment>
    <comment ref="E50" authorId="4" shapeId="0" xr:uid="{7F29E61A-0BF9-4DD7-91E5-31B62A883FD8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147,8m2 + depósito: 71,3 m2= 219,1 m2 expensables</t>
        </r>
      </text>
    </comment>
    <comment ref="E52" authorId="4" shapeId="0" xr:uid="{EA0812C1-4FD2-4FD9-9A39-7F6089CCFD6F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118,2m2 + depósito: 50,65m2= 168,5 m2 expensables
168,85</t>
        </r>
      </text>
    </comment>
    <comment ref="E54" authorId="4" shapeId="0" xr:uid="{9A1B9EB1-3ACF-4C1E-9740-D4DFE96CC192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137,65m2 + depósito: 11,9m2= 149,55 m2 expensables</t>
        </r>
      </text>
    </comment>
    <comment ref="E56" authorId="3" shapeId="0" xr:uid="{357C81DD-E475-4577-AD97-608724B6A8E3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87,28 terraza. 
218,78 PA 
306,79 PB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Debora Rodriguez</author>
    <author>Ignacio Fontova</author>
    <author>Carolina Bertone</author>
    <author>Nbaez</author>
    <author>cdelvalle</author>
  </authors>
  <commentList>
    <comment ref="T7" authorId="0" shapeId="0" xr:uid="{E3319102-7990-498F-AC21-4A84691DF85A}">
      <text>
        <r>
          <rPr>
            <b/>
            <sz val="9"/>
            <color indexed="81"/>
            <rFont val="Tahoma"/>
            <family val="2"/>
          </rPr>
          <t>Debora Rodriguez:</t>
        </r>
        <r>
          <rPr>
            <sz val="9"/>
            <color indexed="81"/>
            <rFont val="Tahoma"/>
            <family val="2"/>
          </rPr>
          <t xml:space="preserve">
Rentas  aumento el 
30%</t>
        </r>
      </text>
    </comment>
    <comment ref="Q8" authorId="1" shapeId="0" xr:uid="{B8B2D4E0-A870-4977-B182-70FF6A8D7362}">
      <text>
        <r>
          <rPr>
            <b/>
            <sz val="9"/>
            <color indexed="81"/>
            <rFont val="Tahoma"/>
            <family val="2"/>
          </rPr>
          <t>Ignacio Fontova:</t>
        </r>
        <r>
          <rPr>
            <sz val="9"/>
            <color indexed="81"/>
            <rFont val="Tahoma"/>
            <family val="2"/>
          </rPr>
          <t xml:space="preserve">
incluye parte de mayo/19
</t>
        </r>
      </text>
    </comment>
    <comment ref="B14" authorId="2" shapeId="0" xr:uid="{651B8FE6-7D75-4771-8259-10949859F765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en la ficha figura 211 m2 de salón y 26 m2 de depósito. Deberíamos poner 211 en m2 de expensas?</t>
        </r>
      </text>
    </comment>
    <comment ref="B41" authorId="2" shapeId="0" xr:uid="{0904666C-D718-46C9-8C75-43B9A6BC464C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cambie numero de local</t>
        </r>
      </text>
    </comment>
    <comment ref="E44" authorId="3" shapeId="0" xr:uid="{35A560F7-E0AC-40C7-B81F-5A3A78D86D9B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No abona expensas por los mts2 contruidos por el locatario. Solo abona sobre 168 mts2 FER PACOTTO dio el OK 13012016</t>
        </r>
      </text>
    </comment>
    <comment ref="E45" authorId="4" shapeId="0" xr:uid="{0A5609CD-C60B-453A-A554-CB3D467FEEB2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152,4 m2+ depósito: 69,3 m2= 221,7 m2 expensables
</t>
        </r>
      </text>
    </comment>
    <comment ref="E47" authorId="4" shapeId="0" xr:uid="{4649632E-D1DD-4AE6-868F-E6522BDEFF7C}">
      <text>
        <r>
          <rPr>
            <sz val="9"/>
            <color indexed="81"/>
            <rFont val="Tahoma"/>
            <family val="2"/>
          </rPr>
          <t xml:space="preserve">
local: 73,9 m2 = 73,9 m2 expensables
No tiene Depósito. </t>
        </r>
      </text>
    </comment>
    <comment ref="E48" authorId="4" shapeId="0" xr:uid="{7BEA4272-3366-442F-A7D6-5E1109C278EE}">
      <text>
        <r>
          <rPr>
            <sz val="9"/>
            <color indexed="81"/>
            <rFont val="Tahoma"/>
            <family val="2"/>
          </rPr>
          <t xml:space="preserve">
local: 147,8 m2 expensables</t>
        </r>
      </text>
    </comment>
    <comment ref="E49" authorId="4" shapeId="0" xr:uid="{5D3B5CCD-560E-42C5-8A8A-E7078733980B}">
      <text>
        <r>
          <rPr>
            <sz val="9"/>
            <color indexed="81"/>
            <rFont val="Tahoma"/>
            <family val="2"/>
          </rPr>
          <t xml:space="preserve">
3 depósitos de 35,65 mts2 cada uno. </t>
        </r>
      </text>
    </comment>
    <comment ref="E50" authorId="4" shapeId="0" xr:uid="{C371A8AF-2F36-405A-BDF7-8F0F61DAB55A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147,8m2 + depósito: 71,3 m2= 219,1 m2 expensables</t>
        </r>
      </text>
    </comment>
    <comment ref="E52" authorId="4" shapeId="0" xr:uid="{CA2FDCDB-4752-4062-ABA6-81342573B600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118,2m2 + depósito: 50,65m2= 168,5 m2 expensables
168,85</t>
        </r>
      </text>
    </comment>
    <comment ref="E54" authorId="4" shapeId="0" xr:uid="{130D0791-5B78-4540-8B55-D2F71FC600B7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137,65m2 + depósito: 11,9m2= 149,55 m2 expensables</t>
        </r>
      </text>
    </comment>
    <comment ref="E56" authorId="3" shapeId="0" xr:uid="{2C05BB4A-24D3-4F92-93EA-0D7A78F4EDD2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87,28 terraza. 
218,78 PA 
306,79 PB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Debora Rodriguez</author>
    <author>Ignacio Fontova</author>
    <author>Carolina Bertone</author>
    <author>Nbaez</author>
    <author>cdelvalle</author>
  </authors>
  <commentList>
    <comment ref="T7" authorId="0" shapeId="0" xr:uid="{27D02AE0-D266-4A9E-A262-B35C6F275AF6}">
      <text>
        <r>
          <rPr>
            <b/>
            <sz val="9"/>
            <color indexed="81"/>
            <rFont val="Tahoma"/>
            <family val="2"/>
          </rPr>
          <t>Debora Rodriguez:</t>
        </r>
        <r>
          <rPr>
            <sz val="9"/>
            <color indexed="81"/>
            <rFont val="Tahoma"/>
            <family val="2"/>
          </rPr>
          <t xml:space="preserve">
Rentas  aumento el 
30%</t>
        </r>
      </text>
    </comment>
    <comment ref="Q8" authorId="1" shapeId="0" xr:uid="{48591656-733C-48DC-9432-56281CB2B8D1}">
      <text>
        <r>
          <rPr>
            <b/>
            <sz val="9"/>
            <color indexed="81"/>
            <rFont val="Tahoma"/>
            <family val="2"/>
          </rPr>
          <t>Ignacio Fontova:</t>
        </r>
        <r>
          <rPr>
            <sz val="9"/>
            <color indexed="81"/>
            <rFont val="Tahoma"/>
            <family val="2"/>
          </rPr>
          <t xml:space="preserve">
incluye parte de mayo/19
</t>
        </r>
      </text>
    </comment>
    <comment ref="B14" authorId="2" shapeId="0" xr:uid="{86B1789F-A397-4898-8EE7-93D6EE86467C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en la ficha figura 211 m2 de salón y 26 m2 de depósito. Deberíamos poner 211 en m2 de expensas?</t>
        </r>
      </text>
    </comment>
    <comment ref="B41" authorId="2" shapeId="0" xr:uid="{9280ADD7-8B73-4EFA-88ED-781EE6AA19F6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cambie numero de local</t>
        </r>
      </text>
    </comment>
    <comment ref="E44" authorId="3" shapeId="0" xr:uid="{6FD0CFBF-0DE9-4065-AF18-1A0A9351FB4A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No abona expensas por los mts2 contruidos por el locatario. Solo abona sobre 168 mts2 FER PACOTTO dio el OK 13012016</t>
        </r>
      </text>
    </comment>
    <comment ref="E45" authorId="4" shapeId="0" xr:uid="{A4D1F365-37E9-43A0-8A0B-0392D98BE925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152,4 m2+ depósito: 69,3 m2= 221,7 m2 expensables
</t>
        </r>
      </text>
    </comment>
    <comment ref="E47" authorId="4" shapeId="0" xr:uid="{332951D2-4A4E-4782-A522-D6F15851A04C}">
      <text>
        <r>
          <rPr>
            <sz val="9"/>
            <color indexed="81"/>
            <rFont val="Tahoma"/>
            <family val="2"/>
          </rPr>
          <t xml:space="preserve">
local: 73,9 m2 = 73,9 m2 expensables
No tiene Depósito. </t>
        </r>
      </text>
    </comment>
    <comment ref="E48" authorId="4" shapeId="0" xr:uid="{27609C64-E95E-448E-B573-099CD92F6810}">
      <text>
        <r>
          <rPr>
            <sz val="9"/>
            <color indexed="81"/>
            <rFont val="Tahoma"/>
            <family val="2"/>
          </rPr>
          <t xml:space="preserve">
local: 147,8 m2 expensables</t>
        </r>
      </text>
    </comment>
    <comment ref="E49" authorId="4" shapeId="0" xr:uid="{F31540DE-E362-40A2-B77E-60DE6EEF7FFD}">
      <text>
        <r>
          <rPr>
            <sz val="9"/>
            <color indexed="81"/>
            <rFont val="Tahoma"/>
            <family val="2"/>
          </rPr>
          <t xml:space="preserve">
3 depósitos de 35,65 mts2 cada uno. </t>
        </r>
      </text>
    </comment>
    <comment ref="E50" authorId="4" shapeId="0" xr:uid="{CDD1B337-5248-47F7-86F2-AC50DA2BCFCC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147,8m2 + depósito: 71,3 m2= 219,1 m2 expensables</t>
        </r>
      </text>
    </comment>
    <comment ref="E52" authorId="4" shapeId="0" xr:uid="{76C2139E-0A65-4206-8E8E-4E4A3648A28D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118,2m2 + depósito: 50,65m2= 168,5 m2 expensables
168,85</t>
        </r>
      </text>
    </comment>
    <comment ref="E54" authorId="4" shapeId="0" xr:uid="{F0B9481D-3CB4-4021-83FB-8FB8283518EB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137,65m2 + depósito: 11,9m2= 149,55 m2 expensables</t>
        </r>
      </text>
    </comment>
    <comment ref="E56" authorId="3" shapeId="0" xr:uid="{91A87495-88D0-4B27-9D0C-C215B1A10510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87,28 terraza. 
218,78 PA 
306,79 PB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Debora Rodriguez</author>
    <author>Ignacio Fontova</author>
    <author>Carolina Bertone</author>
    <author>Nbaez</author>
    <author>cdelvalle</author>
  </authors>
  <commentList>
    <comment ref="T7" authorId="0" shapeId="0" xr:uid="{A2732DA1-834E-4B4A-94DB-7D784051C00C}">
      <text>
        <r>
          <rPr>
            <b/>
            <sz val="9"/>
            <color indexed="81"/>
            <rFont val="Tahoma"/>
            <family val="2"/>
          </rPr>
          <t>Debora Rodriguez:</t>
        </r>
        <r>
          <rPr>
            <sz val="9"/>
            <color indexed="81"/>
            <rFont val="Tahoma"/>
            <family val="2"/>
          </rPr>
          <t xml:space="preserve">
Rentas  aumento el 
30%</t>
        </r>
      </text>
    </comment>
    <comment ref="Q8" authorId="1" shapeId="0" xr:uid="{7D694676-40CA-4FF9-90D5-FE7666BE5E4E}">
      <text>
        <r>
          <rPr>
            <b/>
            <sz val="9"/>
            <color indexed="81"/>
            <rFont val="Tahoma"/>
            <family val="2"/>
          </rPr>
          <t>Ignacio Fontova:</t>
        </r>
        <r>
          <rPr>
            <sz val="9"/>
            <color indexed="81"/>
            <rFont val="Tahoma"/>
            <family val="2"/>
          </rPr>
          <t xml:space="preserve">
incluye parte de mayo/19
</t>
        </r>
      </text>
    </comment>
    <comment ref="B14" authorId="2" shapeId="0" xr:uid="{6FA4F81E-E94E-4E35-87AA-745F9C08B713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en la ficha figura 211 m2 de salón y 26 m2 de depósito. Deberíamos poner 211 en m2 de expensas?</t>
        </r>
      </text>
    </comment>
    <comment ref="B41" authorId="2" shapeId="0" xr:uid="{5CB62975-D482-4C82-876C-8AF69E46369B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cambie numero de local</t>
        </r>
      </text>
    </comment>
    <comment ref="E44" authorId="3" shapeId="0" xr:uid="{970FF644-7047-409B-80E9-E3AAE0003095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No abona expensas por los mts2 contruidos por el locatario. Solo abona sobre 168 mts2 FER PACOTTO dio el OK 13012016</t>
        </r>
      </text>
    </comment>
    <comment ref="E45" authorId="4" shapeId="0" xr:uid="{F41BBAA9-5A9A-4695-9C06-E19A906BC62B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152,4 m2+ depósito: 69,3 m2= 221,7 m2 expensables
</t>
        </r>
      </text>
    </comment>
    <comment ref="E47" authorId="4" shapeId="0" xr:uid="{6E1DF5BB-F3D9-4F29-B070-55F9D8AC9F7C}">
      <text>
        <r>
          <rPr>
            <sz val="9"/>
            <color indexed="81"/>
            <rFont val="Tahoma"/>
            <family val="2"/>
          </rPr>
          <t xml:space="preserve">
local: 73,9 m2 = 73,9 m2 expensables
No tiene Depósito. </t>
        </r>
      </text>
    </comment>
    <comment ref="E48" authorId="4" shapeId="0" xr:uid="{9EC08737-FED8-47D4-9ECF-E2B16FB99479}">
      <text>
        <r>
          <rPr>
            <sz val="9"/>
            <color indexed="81"/>
            <rFont val="Tahoma"/>
            <family val="2"/>
          </rPr>
          <t xml:space="preserve">
local: 147,8 m2 expensables</t>
        </r>
      </text>
    </comment>
    <comment ref="E49" authorId="4" shapeId="0" xr:uid="{47BD0E7F-7ECE-4609-860B-9EF98458B909}">
      <text>
        <r>
          <rPr>
            <sz val="9"/>
            <color indexed="81"/>
            <rFont val="Tahoma"/>
            <family val="2"/>
          </rPr>
          <t xml:space="preserve">
3 depósitos de 35,65 mts2 cada uno. </t>
        </r>
      </text>
    </comment>
    <comment ref="E50" authorId="4" shapeId="0" xr:uid="{D700DA89-2BB6-4EBC-825A-A46AB370AEE3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147,8m2 + depósito: 71,3 m2= 219,1 m2 expensables</t>
        </r>
      </text>
    </comment>
    <comment ref="E52" authorId="4" shapeId="0" xr:uid="{C5A5FA4F-979F-4CB4-9204-FC5B62AFC2B1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118,2m2 + depósito: 50,65m2= 168,5 m2 expensables
168,85</t>
        </r>
      </text>
    </comment>
    <comment ref="E54" authorId="4" shapeId="0" xr:uid="{5C773B7A-3196-4AEE-9F9C-FB20C00A7CAD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137,65m2 + depósito: 11,9m2= 149,55 m2 expensables</t>
        </r>
      </text>
    </comment>
    <comment ref="E56" authorId="3" shapeId="0" xr:uid="{EA55E6E7-A012-482D-AFF3-451AE7E3C887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87,28 terraza. 
218,78 PA 
306,79 PB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Debora Rodriguez</author>
    <author>Ignacio Fontova</author>
    <author>Carolina Bertone</author>
    <author>Nbaez</author>
    <author>cdelvalle</author>
  </authors>
  <commentList>
    <comment ref="T7" authorId="0" shapeId="0" xr:uid="{03136E5C-4764-417F-870B-88CF8700ACD6}">
      <text>
        <r>
          <rPr>
            <b/>
            <sz val="9"/>
            <color indexed="81"/>
            <rFont val="Tahoma"/>
            <family val="2"/>
          </rPr>
          <t>Debora Rodriguez:</t>
        </r>
        <r>
          <rPr>
            <sz val="9"/>
            <color indexed="81"/>
            <rFont val="Tahoma"/>
            <family val="2"/>
          </rPr>
          <t xml:space="preserve">
Rentas  aumento el 
30%</t>
        </r>
      </text>
    </comment>
    <comment ref="Q8" authorId="1" shapeId="0" xr:uid="{07671ABC-54DC-491B-97E3-42641725F020}">
      <text>
        <r>
          <rPr>
            <b/>
            <sz val="9"/>
            <color indexed="81"/>
            <rFont val="Tahoma"/>
            <family val="2"/>
          </rPr>
          <t>Ignacio Fontova:</t>
        </r>
        <r>
          <rPr>
            <sz val="9"/>
            <color indexed="81"/>
            <rFont val="Tahoma"/>
            <family val="2"/>
          </rPr>
          <t xml:space="preserve">
incluye parte de mayo/19
</t>
        </r>
      </text>
    </comment>
    <comment ref="B14" authorId="2" shapeId="0" xr:uid="{4ECD28A8-01C9-4450-B331-561207BBB3D9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en la ficha figura 211 m2 de salón y 26 m2 de depósito. Deberíamos poner 211 en m2 de expensas?</t>
        </r>
      </text>
    </comment>
    <comment ref="B41" authorId="2" shapeId="0" xr:uid="{DE173F46-8870-4EE0-9D09-CE7DE80885BC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cambie numero de local</t>
        </r>
      </text>
    </comment>
    <comment ref="E44" authorId="3" shapeId="0" xr:uid="{65DA4B33-0A71-4DB3-A167-67055A494AA9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No abona expensas por los mts2 contruidos por el locatario. Solo abona sobre 168 mts2 FER PACOTTO dio el OK 13012016</t>
        </r>
      </text>
    </comment>
    <comment ref="E45" authorId="4" shapeId="0" xr:uid="{BFB61240-1FCF-48CE-B960-2089241886DA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152,4 m2+ depósito: 69,3 m2= 221,7 m2 expensables
</t>
        </r>
      </text>
    </comment>
    <comment ref="E47" authorId="4" shapeId="0" xr:uid="{298F47F3-E729-4A96-B572-709090F60CDC}">
      <text>
        <r>
          <rPr>
            <sz val="9"/>
            <color indexed="81"/>
            <rFont val="Tahoma"/>
            <family val="2"/>
          </rPr>
          <t xml:space="preserve">
local: 73,9 m2 = 73,9 m2 expensables
No tiene Depósito. </t>
        </r>
      </text>
    </comment>
    <comment ref="E48" authorId="4" shapeId="0" xr:uid="{1EBC1F98-5922-4EE1-A2D5-15EAA189F8F2}">
      <text>
        <r>
          <rPr>
            <sz val="9"/>
            <color indexed="81"/>
            <rFont val="Tahoma"/>
            <family val="2"/>
          </rPr>
          <t xml:space="preserve">
local: 147,8 m2 expensables</t>
        </r>
      </text>
    </comment>
    <comment ref="E49" authorId="4" shapeId="0" xr:uid="{356A4F3C-B02D-456C-87A3-2BE2FFB5AB9B}">
      <text>
        <r>
          <rPr>
            <sz val="9"/>
            <color indexed="81"/>
            <rFont val="Tahoma"/>
            <family val="2"/>
          </rPr>
          <t xml:space="preserve">
3 depósitos de 35,65 mts2 cada uno. </t>
        </r>
      </text>
    </comment>
    <comment ref="E50" authorId="4" shapeId="0" xr:uid="{7F173161-E0B5-403A-97FD-D42FD3B53445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147,8m2 + depósito: 71,3 m2= 219,1 m2 expensables</t>
        </r>
      </text>
    </comment>
    <comment ref="E52" authorId="4" shapeId="0" xr:uid="{68732923-A605-4D23-AC4B-C4CCB415564A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118,2m2 + depósito: 50,65m2= 168,5 m2 expensables
168,85</t>
        </r>
      </text>
    </comment>
    <comment ref="E54" authorId="4" shapeId="0" xr:uid="{364F6B98-4B1F-499F-9410-5419AED8470D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137,65m2 + depósito: 11,9m2= 149,55 m2 expensables</t>
        </r>
      </text>
    </comment>
    <comment ref="E56" authorId="3" shapeId="0" xr:uid="{CE2680D7-26FE-4C87-8221-16A01FE36BB1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87,28 terraza. 
218,78 PA 
306,79 PB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Debora Rodriguez</author>
    <author>Carolina Bertone</author>
    <author>Nbaez</author>
    <author>cdelvalle</author>
  </authors>
  <commentList>
    <comment ref="T7" authorId="0" shapeId="0" xr:uid="{E107D15D-47FA-470C-9C04-D0CC2C35E94D}">
      <text>
        <r>
          <rPr>
            <b/>
            <sz val="9"/>
            <color indexed="81"/>
            <rFont val="Tahoma"/>
            <family val="2"/>
          </rPr>
          <t>Debora Rodriguez:</t>
        </r>
        <r>
          <rPr>
            <sz val="9"/>
            <color indexed="81"/>
            <rFont val="Tahoma"/>
            <family val="2"/>
          </rPr>
          <t xml:space="preserve">
Rentas  aumento el 
30%</t>
        </r>
      </text>
    </comment>
    <comment ref="B14" authorId="1" shapeId="0" xr:uid="{DC318CF3-B762-4AAE-A18E-99A345BA8481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en la ficha figura 211 m2 de salón y 26 m2 de depósito. Deberíamos poner 211 en m2 de expensas?</t>
        </r>
      </text>
    </comment>
    <comment ref="B41" authorId="1" shapeId="0" xr:uid="{15CFF17B-BBAB-4A5B-A3C9-AFD1826A9861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cambie numero de local</t>
        </r>
      </text>
    </comment>
    <comment ref="E44" authorId="2" shapeId="0" xr:uid="{5F5BCDA3-C224-4FB6-A61E-BB98AD75898D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No abona expensas por los mts2 contruidos por el locatario. Solo abona sobre 168 mts2 FER PACOTTO dio el OK 13012016</t>
        </r>
      </text>
    </comment>
    <comment ref="E45" authorId="3" shapeId="0" xr:uid="{A8071F73-8DF8-4371-9E44-2F19F80F6F34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152,4 m2+ depósito: 69,3 m2= 221,7 m2 expensables
</t>
        </r>
      </text>
    </comment>
    <comment ref="E47" authorId="3" shapeId="0" xr:uid="{23E223D9-2927-4B18-8A1D-EC5349FBDF20}">
      <text>
        <r>
          <rPr>
            <sz val="9"/>
            <color indexed="81"/>
            <rFont val="Tahoma"/>
            <family val="2"/>
          </rPr>
          <t xml:space="preserve">
local: 73,9 m2 = 73,9 m2 expensables
No tiene Depósito. </t>
        </r>
      </text>
    </comment>
    <comment ref="E48" authorId="3" shapeId="0" xr:uid="{C6FFE794-C022-4A56-B991-444F55132F99}">
      <text>
        <r>
          <rPr>
            <sz val="9"/>
            <color indexed="81"/>
            <rFont val="Tahoma"/>
            <family val="2"/>
          </rPr>
          <t xml:space="preserve">
local: 147,8 m2 expensables</t>
        </r>
      </text>
    </comment>
    <comment ref="E49" authorId="3" shapeId="0" xr:uid="{B290B895-95B9-4DB9-9299-9513E0E19F33}">
      <text>
        <r>
          <rPr>
            <sz val="9"/>
            <color indexed="81"/>
            <rFont val="Tahoma"/>
            <family val="2"/>
          </rPr>
          <t xml:space="preserve">
3 depósitos de 35,65 mts2 cada uno. </t>
        </r>
      </text>
    </comment>
    <comment ref="E50" authorId="3" shapeId="0" xr:uid="{AC6107E3-3D20-4BFD-AAB9-5A8E5D1BB3D0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147,8m2 + depósito: 71,3 m2= 219,1 m2 expensables</t>
        </r>
      </text>
    </comment>
    <comment ref="E52" authorId="3" shapeId="0" xr:uid="{2EC0B71D-5BE5-45B9-8AC1-549F7FD1283E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118,2m2 + depósito: 50,65m2= 168,5 m2 expensables
168,85</t>
        </r>
      </text>
    </comment>
    <comment ref="E54" authorId="3" shapeId="0" xr:uid="{D838DA0D-D822-45DF-99A7-54E564A85258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137,65m2 + depósito: 11,9m2= 149,55 m2 expensables</t>
        </r>
      </text>
    </comment>
    <comment ref="E56" authorId="2" shapeId="0" xr:uid="{89327078-E173-4ABC-9113-21E2EBFA6EFB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87,28 terraza. 
218,78 PA 
306,79 PB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Debora Rodriguez</author>
    <author>Carolina Bertone</author>
    <author>Nbaez</author>
    <author>cdelvalle</author>
  </authors>
  <commentList>
    <comment ref="T7" authorId="0" shapeId="0" xr:uid="{AEB79018-95EA-4114-810F-A567B24E4BC1}">
      <text>
        <r>
          <rPr>
            <b/>
            <sz val="9"/>
            <color indexed="81"/>
            <rFont val="Tahoma"/>
            <family val="2"/>
          </rPr>
          <t>Debora Rodriguez:</t>
        </r>
        <r>
          <rPr>
            <sz val="9"/>
            <color indexed="81"/>
            <rFont val="Tahoma"/>
            <family val="2"/>
          </rPr>
          <t xml:space="preserve">
Rentas  aumento el 
30%</t>
        </r>
      </text>
    </comment>
    <comment ref="B14" authorId="1" shapeId="0" xr:uid="{E6DAF16C-DD5D-4E3B-8371-0345AB13803F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en la ficha figura 211 m2 de salón y 26 m2 de depósito. Deberíamos poner 211 en m2 de expensas?</t>
        </r>
      </text>
    </comment>
    <comment ref="B41" authorId="1" shapeId="0" xr:uid="{E25779C4-8C65-4AEF-BA2D-757E88AE2CC7}">
      <text>
        <r>
          <rPr>
            <b/>
            <sz val="9"/>
            <color indexed="81"/>
            <rFont val="Tahoma"/>
            <family val="2"/>
          </rPr>
          <t>Carolina Bertone:</t>
        </r>
        <r>
          <rPr>
            <sz val="9"/>
            <color indexed="81"/>
            <rFont val="Tahoma"/>
            <family val="2"/>
          </rPr>
          <t xml:space="preserve">
cambie numero de local</t>
        </r>
      </text>
    </comment>
    <comment ref="E44" authorId="2" shapeId="0" xr:uid="{8369C1B0-B955-4FB8-A046-EB1AB2FF6A85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No abona expensas por los mts2 contruidos por el locatario. Solo abona sobre 168 mts2 FER PACOTTO dio el OK 13012016</t>
        </r>
      </text>
    </comment>
    <comment ref="E45" authorId="3" shapeId="0" xr:uid="{B6523B67-DA8A-4BF7-922B-A2E132195167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152,4 m2+ depósito: 69,3 m2= 221,7 m2 expensables
</t>
        </r>
      </text>
    </comment>
    <comment ref="E47" authorId="3" shapeId="0" xr:uid="{9857AFD9-81BA-470E-A31C-D825C08112CD}">
      <text>
        <r>
          <rPr>
            <sz val="9"/>
            <color indexed="81"/>
            <rFont val="Tahoma"/>
            <family val="2"/>
          </rPr>
          <t xml:space="preserve">
local: 73,9 m2 = 73,9 m2 expensables
No tiene Depósito. </t>
        </r>
      </text>
    </comment>
    <comment ref="E48" authorId="3" shapeId="0" xr:uid="{A82BE42F-5748-4B9F-9E96-B9327CBAA236}">
      <text>
        <r>
          <rPr>
            <sz val="9"/>
            <color indexed="81"/>
            <rFont val="Tahoma"/>
            <family val="2"/>
          </rPr>
          <t xml:space="preserve">
local: 147,8 m2 expensables</t>
        </r>
      </text>
    </comment>
    <comment ref="E49" authorId="3" shapeId="0" xr:uid="{FE338BA7-5132-42EC-8028-CFF7AE8CC4AF}">
      <text>
        <r>
          <rPr>
            <sz val="9"/>
            <color indexed="81"/>
            <rFont val="Tahoma"/>
            <family val="2"/>
          </rPr>
          <t xml:space="preserve">
3 depósitos de 35,65 mts2 cada uno. </t>
        </r>
      </text>
    </comment>
    <comment ref="E50" authorId="3" shapeId="0" xr:uid="{99DE57C9-7414-48AE-B046-68B6B05B6584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147,8m2 + depósito: 71,3 m2= 219,1 m2 expensables</t>
        </r>
      </text>
    </comment>
    <comment ref="E52" authorId="3" shapeId="0" xr:uid="{12D21E37-CEB6-432E-B5B2-CC8A8FBD2725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118,2m2 + depósito: 50,65m2= 168,5 m2 expensables
168,85</t>
        </r>
      </text>
    </comment>
    <comment ref="E54" authorId="3" shapeId="0" xr:uid="{94D09487-80EE-47DD-B5F9-FD3FFE15B8BC}">
      <text>
        <r>
          <rPr>
            <b/>
            <sz val="9"/>
            <color indexed="81"/>
            <rFont val="Tahoma"/>
            <family val="2"/>
          </rPr>
          <t>cdelvalle:</t>
        </r>
        <r>
          <rPr>
            <sz val="9"/>
            <color indexed="81"/>
            <rFont val="Tahoma"/>
            <family val="2"/>
          </rPr>
          <t xml:space="preserve">
local: 137,65m2 + depósito: 11,9m2= 149,55 m2 expensables</t>
        </r>
      </text>
    </comment>
    <comment ref="E56" authorId="2" shapeId="0" xr:uid="{CC11492E-C166-478A-9B44-F17C4C1643F8}">
      <text>
        <r>
          <rPr>
            <b/>
            <sz val="9"/>
            <color indexed="81"/>
            <rFont val="Tahoma"/>
            <family val="2"/>
          </rPr>
          <t>Nbaez:</t>
        </r>
        <r>
          <rPr>
            <sz val="9"/>
            <color indexed="81"/>
            <rFont val="Tahoma"/>
            <family val="2"/>
          </rPr>
          <t xml:space="preserve">
87,28 terraza. 
218,78 PA 
306,79 PB
</t>
        </r>
      </text>
    </comment>
  </commentList>
</comments>
</file>

<file path=xl/sharedStrings.xml><?xml version="1.0" encoding="utf-8"?>
<sst xmlns="http://schemas.openxmlformats.org/spreadsheetml/2006/main" count="1789" uniqueCount="247">
  <si>
    <t>expensas</t>
  </si>
  <si>
    <t>sueldos</t>
  </si>
  <si>
    <t>a</t>
  </si>
  <si>
    <t>ccss</t>
  </si>
  <si>
    <t>p</t>
  </si>
  <si>
    <t>honorarios</t>
  </si>
  <si>
    <t>o</t>
  </si>
  <si>
    <t>expensas Stands</t>
  </si>
  <si>
    <t>OSDE</t>
  </si>
  <si>
    <t>r</t>
  </si>
  <si>
    <t>gtos operaciones</t>
  </si>
  <si>
    <t>t</t>
  </si>
  <si>
    <t>aporte bauleras</t>
  </si>
  <si>
    <t>impuestos</t>
  </si>
  <si>
    <t>locales sin subsidio</t>
  </si>
  <si>
    <t>e</t>
  </si>
  <si>
    <t>gtos bcarios</t>
  </si>
  <si>
    <t>locales con subsidio</t>
  </si>
  <si>
    <t>s</t>
  </si>
  <si>
    <t>locales desocupados</t>
  </si>
  <si>
    <t>TOTAL s/ IVA</t>
  </si>
  <si>
    <t>total a prorratear</t>
  </si>
  <si>
    <t>Local</t>
  </si>
  <si>
    <t>Locatario</t>
  </si>
  <si>
    <t>superficie real</t>
  </si>
  <si>
    <t>factor correc sup</t>
  </si>
  <si>
    <t>Factor correc planta</t>
  </si>
  <si>
    <t>superficie corregido</t>
  </si>
  <si>
    <t>frente local</t>
  </si>
  <si>
    <t>factor correc</t>
  </si>
  <si>
    <t>frente corregido</t>
  </si>
  <si>
    <t>total corregido</t>
  </si>
  <si>
    <t>% por local</t>
  </si>
  <si>
    <t>por m2</t>
  </si>
  <si>
    <t>incremento %</t>
  </si>
  <si>
    <t>control facturación</t>
  </si>
  <si>
    <t>101</t>
  </si>
  <si>
    <t>102</t>
  </si>
  <si>
    <t>Rapsodia</t>
  </si>
  <si>
    <t>103A</t>
  </si>
  <si>
    <t>Herencia</t>
  </si>
  <si>
    <t>103B</t>
  </si>
  <si>
    <t>Wanama Boys &amp; Girls</t>
  </si>
  <si>
    <t>104</t>
  </si>
  <si>
    <t>105</t>
  </si>
  <si>
    <t>Justa Osadía</t>
  </si>
  <si>
    <t>106</t>
  </si>
  <si>
    <t>107</t>
  </si>
  <si>
    <t>108</t>
  </si>
  <si>
    <t>110</t>
  </si>
  <si>
    <t>111</t>
  </si>
  <si>
    <t>Prüne</t>
  </si>
  <si>
    <t>112</t>
  </si>
  <si>
    <t>Ayres</t>
  </si>
  <si>
    <t>113/114</t>
  </si>
  <si>
    <t>grimoldi</t>
  </si>
  <si>
    <t>118/119/225/226</t>
  </si>
  <si>
    <t>Ipharm</t>
  </si>
  <si>
    <t>120/121</t>
  </si>
  <si>
    <t>Freddo</t>
  </si>
  <si>
    <t>122</t>
  </si>
  <si>
    <t>Kosiuko</t>
  </si>
  <si>
    <t>123</t>
  </si>
  <si>
    <t>124</t>
  </si>
  <si>
    <t>125</t>
  </si>
  <si>
    <t>126</t>
  </si>
  <si>
    <t>127</t>
  </si>
  <si>
    <t>India Style</t>
  </si>
  <si>
    <t>128</t>
  </si>
  <si>
    <t>129</t>
  </si>
  <si>
    <t>130</t>
  </si>
  <si>
    <t>Nucha</t>
  </si>
  <si>
    <t>131</t>
  </si>
  <si>
    <t>134/135/planta sup</t>
  </si>
  <si>
    <t>136</t>
  </si>
  <si>
    <t>137</t>
  </si>
  <si>
    <t xml:space="preserve">Almacen de Pizzas </t>
  </si>
  <si>
    <t>138</t>
  </si>
  <si>
    <t>Havanna</t>
  </si>
  <si>
    <t>139 y 140</t>
  </si>
  <si>
    <t>141 y 142</t>
  </si>
  <si>
    <t>143/144</t>
  </si>
  <si>
    <t>Starbucks</t>
  </si>
  <si>
    <t>145/146</t>
  </si>
  <si>
    <t>147</t>
  </si>
  <si>
    <t xml:space="preserve">Cines </t>
  </si>
  <si>
    <t>212</t>
  </si>
  <si>
    <t>Neverland</t>
  </si>
  <si>
    <t>215</t>
  </si>
  <si>
    <t>Halcry</t>
  </si>
  <si>
    <t>220/2221/222/223</t>
  </si>
  <si>
    <t>227/228/229</t>
  </si>
  <si>
    <t>230</t>
  </si>
  <si>
    <t>231/232</t>
  </si>
  <si>
    <t>232/233/234/235</t>
  </si>
  <si>
    <t>linea lina</t>
  </si>
  <si>
    <t>G4</t>
  </si>
  <si>
    <t>Delimoon</t>
  </si>
  <si>
    <t>G3</t>
  </si>
  <si>
    <t>G2</t>
  </si>
  <si>
    <t>G1</t>
  </si>
  <si>
    <t>SD 3</t>
  </si>
  <si>
    <t xml:space="preserve">SD 4 </t>
  </si>
  <si>
    <t>SD 5</t>
  </si>
  <si>
    <t xml:space="preserve">5 a sec </t>
  </si>
  <si>
    <t xml:space="preserve">SD 7 </t>
  </si>
  <si>
    <t xml:space="preserve">SD 8 </t>
  </si>
  <si>
    <t xml:space="preserve">Banco Francés </t>
  </si>
  <si>
    <t>Isondú</t>
  </si>
  <si>
    <t>SD 14</t>
  </si>
  <si>
    <t>SD 15</t>
  </si>
  <si>
    <t xml:space="preserve">Freddo (Cámara de frío) </t>
  </si>
  <si>
    <t xml:space="preserve">Kosiuko </t>
  </si>
  <si>
    <t>47 Street</t>
  </si>
  <si>
    <t>Mimo &amp; Co.</t>
  </si>
  <si>
    <t xml:space="preserve">Rever Pass </t>
  </si>
  <si>
    <t>Key Biscayne</t>
  </si>
  <si>
    <t>Cristobal Colón</t>
  </si>
  <si>
    <t>Visión.ar</t>
  </si>
  <si>
    <t>totales</t>
  </si>
  <si>
    <t>mts actuales subsidiados</t>
  </si>
  <si>
    <t>Nuevos mts</t>
  </si>
  <si>
    <t>Totales Proyectados</t>
  </si>
  <si>
    <t>Jazmin Chebar</t>
  </si>
  <si>
    <t>GINEBRA</t>
  </si>
  <si>
    <t>Mishka</t>
  </si>
  <si>
    <t>Graciela Naum</t>
  </si>
  <si>
    <t>Matilda</t>
  </si>
  <si>
    <t>Vasalissa</t>
  </si>
  <si>
    <t>swarovski</t>
  </si>
  <si>
    <t>Análisis de Importes</t>
  </si>
  <si>
    <t>concepto</t>
  </si>
  <si>
    <t>importe</t>
  </si>
  <si>
    <t>observaciones</t>
  </si>
  <si>
    <t>Sueldos</t>
  </si>
  <si>
    <t>CCSS</t>
  </si>
  <si>
    <t>Honorarios</t>
  </si>
  <si>
    <t>Gastos Bcarios</t>
  </si>
  <si>
    <t>estos fluctúan en el mes dependiendo de los movimientos.</t>
  </si>
  <si>
    <t>Impuestos</t>
  </si>
  <si>
    <t>Municipalidad de Tigre</t>
  </si>
  <si>
    <t>Seguridad e Higiene, este impuesto es mensual</t>
  </si>
  <si>
    <t>locatario</t>
  </si>
  <si>
    <t>local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</si>
  <si>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</si>
  <si>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</si>
  <si>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</si>
  <si>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</si>
  <si>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</si>
  <si>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</si>
  <si>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</si>
  <si>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</si>
  <si>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</si>
  <si>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</si>
  <si>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</si>
  <si>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</si>
  <si>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neverland</t>
  </si>
  <si>
    <t>totales mensuales</t>
  </si>
  <si>
    <t>totales acumulados</t>
  </si>
  <si>
    <t xml:space="preserve"> </t>
  </si>
  <si>
    <t>Tasa Industria y comercio</t>
  </si>
  <si>
    <t>109</t>
  </si>
  <si>
    <t>216/217/218/219</t>
  </si>
  <si>
    <t>NAIMA</t>
  </si>
  <si>
    <t>SAMSUNG</t>
  </si>
  <si>
    <t>The Candel Shop</t>
  </si>
  <si>
    <t>Maria Cher</t>
  </si>
  <si>
    <t>Cipitria</t>
  </si>
  <si>
    <t>ARBA: $ 1172294,4x 5cuotas/12meses</t>
  </si>
  <si>
    <t>SD 2</t>
  </si>
  <si>
    <t xml:space="preserve">SD 1 </t>
  </si>
  <si>
    <t>Tostado Club</t>
  </si>
  <si>
    <t>El Banquito</t>
  </si>
  <si>
    <t>Valenti</t>
  </si>
  <si>
    <t>Etiqueta Mujer</t>
  </si>
  <si>
    <t>Crocs</t>
  </si>
  <si>
    <t>Lucciano´s</t>
  </si>
  <si>
    <t>SD 10, 11 ,12 y 13</t>
  </si>
  <si>
    <t>SD 16</t>
  </si>
  <si>
    <t xml:space="preserve">Footolophy </t>
  </si>
  <si>
    <t>Della Casa</t>
  </si>
  <si>
    <t>circular</t>
  </si>
  <si>
    <t>santa claus</t>
  </si>
  <si>
    <t>Juleriaque</t>
  </si>
  <si>
    <t>Grill west</t>
  </si>
  <si>
    <t>SD 9</t>
  </si>
  <si>
    <t>213</t>
  </si>
  <si>
    <t>214</t>
  </si>
  <si>
    <t xml:space="preserve">Antique Noveau </t>
  </si>
  <si>
    <t xml:space="preserve">SD 14 </t>
  </si>
  <si>
    <t>Almacen de Pizzas (Depósito)</t>
  </si>
  <si>
    <t>El Banquito (Depósito)</t>
  </si>
  <si>
    <t xml:space="preserve">Starbucks (Depósito) </t>
  </si>
  <si>
    <t xml:space="preserve">Tostado Club (Depósito) </t>
  </si>
  <si>
    <t>Allo martinez</t>
  </si>
  <si>
    <t>Praga</t>
  </si>
  <si>
    <t>caro cuore</t>
  </si>
  <si>
    <t>Res</t>
  </si>
  <si>
    <t>sensu</t>
  </si>
  <si>
    <t>joyas Karat</t>
  </si>
  <si>
    <t>Track music</t>
  </si>
  <si>
    <t>Rochas</t>
  </si>
  <si>
    <t>|</t>
  </si>
  <si>
    <t>Casa Chic</t>
  </si>
  <si>
    <t>SD 6A</t>
  </si>
  <si>
    <t>Sprinkles and more</t>
  </si>
  <si>
    <t>Artesanos del Mar</t>
  </si>
  <si>
    <t>SD 6B</t>
  </si>
  <si>
    <t>Garmin</t>
  </si>
  <si>
    <t>Mudra</t>
  </si>
  <si>
    <t>Holy</t>
  </si>
  <si>
    <t>115</t>
  </si>
  <si>
    <t>116/117/224</t>
  </si>
  <si>
    <t>Lovely denim</t>
  </si>
  <si>
    <t>131A / 132</t>
  </si>
  <si>
    <t>133/239</t>
  </si>
  <si>
    <t>Estación Libro</t>
  </si>
  <si>
    <t>Mac Station</t>
  </si>
  <si>
    <t>23</t>
  </si>
  <si>
    <t>Pampa</t>
  </si>
  <si>
    <t xml:space="preserve">Jumbo </t>
  </si>
  <si>
    <t>Go Bar</t>
  </si>
  <si>
    <t>Almundo</t>
  </si>
  <si>
    <t>Ipharm Plus</t>
  </si>
  <si>
    <t>Babycottons</t>
  </si>
  <si>
    <t>Mariacher</t>
  </si>
  <si>
    <t>Mono Coco</t>
  </si>
  <si>
    <t xml:space="preserve">Elbita </t>
  </si>
  <si>
    <t>Laura Audisio</t>
  </si>
  <si>
    <t>track music</t>
  </si>
  <si>
    <t>n</t>
  </si>
  <si>
    <t>Beltran</t>
  </si>
  <si>
    <t>Cálculo de Expensas - 2023</t>
  </si>
  <si>
    <t>Springwall</t>
  </si>
  <si>
    <t>bagels</t>
  </si>
  <si>
    <t>beltran</t>
  </si>
  <si>
    <t>expensas locales desocupados: año 2023</t>
  </si>
  <si>
    <t>importe facturado en enero</t>
  </si>
  <si>
    <t>importe facturado en febrero</t>
  </si>
  <si>
    <t>importe facturado en diciembre</t>
  </si>
  <si>
    <t>importe facturado en marzo</t>
  </si>
  <si>
    <t>importe facturado en abril</t>
  </si>
  <si>
    <t>nucha</t>
  </si>
  <si>
    <t>pampa</t>
  </si>
  <si>
    <t>Cerini</t>
  </si>
  <si>
    <t>Tea Connection</t>
  </si>
  <si>
    <t>importe facturado en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</si>
</sst>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 &quot;$&quot;\ * #,##0.00_ ;_ &quot;$&quot;\ * \-#,##0.00_ ;_ &quot;$&quot;\ * &quot;-&quot;??_ ;_ @_ "/>
    <numFmt numFmtId="168" formatCode="[$$-2C0A]\ #,##0.00"/>
    <numFmt numFmtId="169" formatCode="_ [$$-2C0A]\ * #,##0.00_ ;_ [$$-2C0A]\ * \-#,##0.00_ ;_ [$$-2C0A]\ * &quot;-&quot;??_ ;_ @_ "/>
    <numFmt numFmtId="170" formatCode="_ * #,##0.00_ ;_ * \-#,##0.00_ ;_ * &quot;-&quot;??_ ;_ @_ "/>
    <numFmt numFmtId="171" formatCode="0.0000"/>
  </numFmts>
  <fonts count="21" x14ac:knownFonts="1">
    <font>
      <sz val="10"/>
      <name val="Arial"/>
    </font>
    <font>
      <sz val="10"/>
      <name val="Calibri"/>
      <family val="2"/>
      <scheme val="minor"/>
    </font>
    <font>
      <sz val="10"/>
      <name val="Arial"/>
      <family val="2"/>
    </font>
    <font>
      <sz val="4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i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i/>
      <sz val="11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7" tint="-0.24994659260841701"/>
      </left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7" fontId="1" fillId="0" borderId="0" xfId="2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7" fontId="4" fillId="0" borderId="4" xfId="2" applyFont="1" applyBorder="1" applyAlignment="1">
      <alignment horizontal="center" vertical="center"/>
    </xf>
    <xf numFmtId="167" fontId="4" fillId="0" borderId="5" xfId="2" applyFont="1" applyBorder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left" vertical="center"/>
    </xf>
    <xf numFmtId="169" fontId="5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7" fontId="1" fillId="2" borderId="9" xfId="2" applyFont="1" applyFill="1" applyBorder="1" applyAlignment="1">
      <alignment horizontal="center" vertical="center"/>
    </xf>
    <xf numFmtId="167" fontId="1" fillId="0" borderId="3" xfId="2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7" fontId="1" fillId="2" borderId="10" xfId="2" applyFont="1" applyFill="1" applyBorder="1" applyAlignment="1">
      <alignment horizontal="center" vertical="center"/>
    </xf>
    <xf numFmtId="167" fontId="1" fillId="0" borderId="11" xfId="2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7" fontId="1" fillId="0" borderId="12" xfId="2" applyFont="1" applyBorder="1" applyAlignment="1">
      <alignment horizontal="center" vertical="center"/>
    </xf>
    <xf numFmtId="167" fontId="1" fillId="0" borderId="7" xfId="2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6" fillId="0" borderId="0" xfId="0" applyFont="1"/>
    <xf numFmtId="167" fontId="7" fillId="0" borderId="0" xfId="2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7" fontId="1" fillId="0" borderId="12" xfId="2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167" fontId="1" fillId="0" borderId="16" xfId="2" applyFont="1" applyBorder="1" applyAlignment="1">
      <alignment horizontal="center" vertical="center"/>
    </xf>
    <xf numFmtId="167" fontId="1" fillId="0" borderId="15" xfId="2" applyFont="1" applyBorder="1" applyAlignment="1">
      <alignment horizontal="center" vertical="center"/>
    </xf>
    <xf numFmtId="169" fontId="1" fillId="0" borderId="17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7" fontId="4" fillId="3" borderId="4" xfId="2" applyFont="1" applyFill="1" applyBorder="1" applyAlignment="1">
      <alignment horizontal="center" vertical="center"/>
    </xf>
    <xf numFmtId="4" fontId="4" fillId="4" borderId="22" xfId="0" applyNumberFormat="1" applyFont="1" applyFill="1" applyBorder="1" applyAlignment="1">
      <alignment horizontal="center" vertical="center" wrapText="1"/>
    </xf>
    <xf numFmtId="4" fontId="1" fillId="0" borderId="27" xfId="0" applyNumberFormat="1" applyFont="1" applyBorder="1" applyAlignment="1">
      <alignment horizontal="center" vertical="center" wrapText="1"/>
    </xf>
    <xf numFmtId="2" fontId="1" fillId="0" borderId="27" xfId="1" applyNumberFormat="1" applyFont="1" applyFill="1" applyBorder="1" applyAlignment="1">
      <alignment horizontal="center" vertical="center" wrapText="1"/>
    </xf>
    <xf numFmtId="170" fontId="1" fillId="0" borderId="27" xfId="1" applyFont="1" applyFill="1" applyBorder="1" applyAlignment="1">
      <alignment horizontal="center" vertical="center" wrapText="1"/>
    </xf>
    <xf numFmtId="2" fontId="1" fillId="0" borderId="30" xfId="1" applyNumberFormat="1" applyFont="1" applyFill="1" applyBorder="1" applyAlignment="1">
      <alignment horizontal="center" vertical="center" wrapText="1"/>
    </xf>
    <xf numFmtId="170" fontId="1" fillId="0" borderId="30" xfId="1" applyFont="1" applyFill="1" applyBorder="1" applyAlignment="1">
      <alignment horizontal="center" vertical="center" wrapText="1"/>
    </xf>
    <xf numFmtId="4" fontId="1" fillId="0" borderId="3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center" vertical="center" wrapText="1"/>
    </xf>
    <xf numFmtId="2" fontId="1" fillId="0" borderId="0" xfId="1" applyNumberFormat="1" applyFont="1" applyFill="1" applyBorder="1" applyAlignment="1">
      <alignment horizontal="center" vertical="center" wrapText="1"/>
    </xf>
    <xf numFmtId="170" fontId="1" fillId="0" borderId="0" xfId="1" applyFont="1" applyFill="1" applyBorder="1" applyAlignment="1">
      <alignment horizontal="center" vertical="center" wrapText="1"/>
    </xf>
    <xf numFmtId="171" fontId="1" fillId="0" borderId="0" xfId="0" applyNumberFormat="1" applyFont="1" applyAlignment="1">
      <alignment horizontal="center" vertical="center"/>
    </xf>
    <xf numFmtId="167" fontId="1" fillId="0" borderId="0" xfId="2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4" fontId="4" fillId="4" borderId="18" xfId="0" applyNumberFormat="1" applyFont="1" applyFill="1" applyBorder="1" applyAlignment="1">
      <alignment horizontal="center" vertical="center" wrapText="1"/>
    </xf>
    <xf numFmtId="2" fontId="4" fillId="4" borderId="22" xfId="0" applyNumberFormat="1" applyFont="1" applyFill="1" applyBorder="1" applyAlignment="1">
      <alignment horizontal="center" vertical="center" wrapText="1"/>
    </xf>
    <xf numFmtId="4" fontId="4" fillId="4" borderId="19" xfId="0" applyNumberFormat="1" applyFont="1" applyFill="1" applyBorder="1" applyAlignment="1">
      <alignment horizontal="center" vertical="center" wrapText="1"/>
    </xf>
    <xf numFmtId="167" fontId="4" fillId="6" borderId="18" xfId="2" applyFont="1" applyFill="1" applyBorder="1" applyAlignment="1">
      <alignment horizontal="center" vertical="center"/>
    </xf>
    <xf numFmtId="167" fontId="1" fillId="6" borderId="5" xfId="2" applyFont="1" applyFill="1" applyBorder="1" applyAlignment="1">
      <alignment horizontal="center" vertical="center"/>
    </xf>
    <xf numFmtId="167" fontId="4" fillId="5" borderId="18" xfId="2" applyFont="1" applyFill="1" applyBorder="1" applyAlignment="1">
      <alignment horizontal="center" vertical="center"/>
    </xf>
    <xf numFmtId="167" fontId="1" fillId="5" borderId="5" xfId="2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9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167" fontId="1" fillId="0" borderId="0" xfId="2" applyFont="1" applyAlignment="1">
      <alignment vertical="center"/>
    </xf>
    <xf numFmtId="167" fontId="4" fillId="0" borderId="0" xfId="2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0" xfId="3" applyFont="1" applyFill="1" applyAlignment="1">
      <alignment horizontal="center" vertical="center"/>
    </xf>
    <xf numFmtId="167" fontId="1" fillId="0" borderId="0" xfId="2" applyFont="1" applyFill="1" applyAlignment="1">
      <alignment horizontal="center" vertical="center"/>
    </xf>
    <xf numFmtId="0" fontId="13" fillId="0" borderId="0" xfId="0" applyFont="1"/>
    <xf numFmtId="169" fontId="13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Font="1"/>
    <xf numFmtId="0" fontId="16" fillId="7" borderId="37" xfId="0" applyFont="1" applyFill="1" applyBorder="1"/>
    <xf numFmtId="49" fontId="16" fillId="7" borderId="37" xfId="0" applyNumberFormat="1" applyFont="1" applyFill="1" applyBorder="1"/>
    <xf numFmtId="0" fontId="16" fillId="7" borderId="37" xfId="0" applyFont="1" applyFill="1" applyBorder="1" applyAlignment="1">
      <alignment horizontal="center"/>
    </xf>
    <xf numFmtId="169" fontId="15" fillId="0" borderId="0" xfId="0" applyNumberFormat="1" applyFont="1"/>
    <xf numFmtId="169" fontId="17" fillId="0" borderId="0" xfId="0" applyNumberFormat="1" applyFont="1"/>
    <xf numFmtId="167" fontId="18" fillId="0" borderId="0" xfId="2" applyFont="1"/>
    <xf numFmtId="49" fontId="9" fillId="8" borderId="28" xfId="0" applyNumberFormat="1" applyFont="1" applyFill="1" applyBorder="1" applyAlignment="1">
      <alignment horizontal="center" vertical="center" wrapText="1"/>
    </xf>
    <xf numFmtId="39" fontId="9" fillId="8" borderId="29" xfId="0" applyNumberFormat="1" applyFont="1" applyFill="1" applyBorder="1" applyAlignment="1">
      <alignment horizontal="left" vertical="center" wrapText="1"/>
    </xf>
    <xf numFmtId="0" fontId="1" fillId="8" borderId="0" xfId="0" applyFont="1" applyFill="1" applyAlignment="1">
      <alignment horizontal="center" vertical="center"/>
    </xf>
    <xf numFmtId="4" fontId="1" fillId="8" borderId="31" xfId="0" applyNumberFormat="1" applyFont="1" applyFill="1" applyBorder="1" applyAlignment="1">
      <alignment horizontal="center" vertical="center" wrapText="1"/>
    </xf>
    <xf numFmtId="4" fontId="1" fillId="8" borderId="30" xfId="0" applyNumberFormat="1" applyFont="1" applyFill="1" applyBorder="1" applyAlignment="1">
      <alignment horizontal="center" vertical="center" wrapText="1"/>
    </xf>
    <xf numFmtId="4" fontId="10" fillId="8" borderId="31" xfId="0" applyNumberFormat="1" applyFont="1" applyFill="1" applyBorder="1" applyAlignment="1">
      <alignment horizontal="center" vertical="center" wrapText="1"/>
    </xf>
    <xf numFmtId="167" fontId="1" fillId="0" borderId="28" xfId="2" applyFont="1" applyFill="1" applyBorder="1" applyAlignment="1">
      <alignment horizontal="center" vertical="center"/>
    </xf>
    <xf numFmtId="4" fontId="1" fillId="0" borderId="29" xfId="0" applyNumberFormat="1" applyFont="1" applyBorder="1" applyAlignment="1">
      <alignment horizontal="center" vertical="center" wrapText="1"/>
    </xf>
    <xf numFmtId="171" fontId="1" fillId="0" borderId="12" xfId="0" applyNumberFormat="1" applyFont="1" applyBorder="1" applyAlignment="1">
      <alignment horizontal="center" vertical="center"/>
    </xf>
    <xf numFmtId="167" fontId="1" fillId="0" borderId="29" xfId="2" applyFont="1" applyFill="1" applyBorder="1" applyAlignment="1">
      <alignment horizontal="center" vertical="center"/>
    </xf>
    <xf numFmtId="10" fontId="1" fillId="0" borderId="12" xfId="3" applyNumberFormat="1" applyFont="1" applyFill="1" applyBorder="1" applyAlignment="1">
      <alignment horizontal="center" vertical="center"/>
    </xf>
    <xf numFmtId="167" fontId="1" fillId="0" borderId="33" xfId="2" applyFont="1" applyFill="1" applyBorder="1" applyAlignment="1">
      <alignment horizontal="center" vertical="center"/>
    </xf>
    <xf numFmtId="10" fontId="1" fillId="0" borderId="36" xfId="3" applyNumberFormat="1" applyFont="1" applyFill="1" applyBorder="1" applyAlignment="1">
      <alignment horizontal="center" vertical="center"/>
    </xf>
    <xf numFmtId="167" fontId="1" fillId="0" borderId="11" xfId="2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vertical="center"/>
    </xf>
    <xf numFmtId="49" fontId="9" fillId="11" borderId="28" xfId="0" quotePrefix="1" applyNumberFormat="1" applyFont="1" applyFill="1" applyBorder="1" applyAlignment="1">
      <alignment horizontal="center" vertical="center" wrapText="1"/>
    </xf>
    <xf numFmtId="39" fontId="9" fillId="11" borderId="29" xfId="0" applyNumberFormat="1" applyFont="1" applyFill="1" applyBorder="1" applyAlignment="1">
      <alignment horizontal="left" vertical="center" wrapText="1"/>
    </xf>
    <xf numFmtId="0" fontId="1" fillId="11" borderId="0" xfId="0" applyFont="1" applyFill="1" applyAlignment="1">
      <alignment horizontal="center" vertical="center"/>
    </xf>
    <xf numFmtId="2" fontId="1" fillId="11" borderId="28" xfId="0" applyNumberFormat="1" applyFont="1" applyFill="1" applyBorder="1" applyAlignment="1">
      <alignment horizontal="center" vertical="center" wrapText="1"/>
    </xf>
    <xf numFmtId="4" fontId="1" fillId="11" borderId="30" xfId="0" applyNumberFormat="1" applyFont="1" applyFill="1" applyBorder="1" applyAlignment="1">
      <alignment horizontal="center" vertical="center" wrapText="1"/>
    </xf>
    <xf numFmtId="49" fontId="9" fillId="11" borderId="28" xfId="0" applyNumberFormat="1" applyFont="1" applyFill="1" applyBorder="1" applyAlignment="1">
      <alignment horizontal="center" vertical="center" wrapText="1"/>
    </xf>
    <xf numFmtId="0" fontId="3" fillId="11" borderId="0" xfId="0" applyFont="1" applyFill="1" applyAlignment="1">
      <alignment vertical="center"/>
    </xf>
    <xf numFmtId="4" fontId="1" fillId="11" borderId="31" xfId="0" applyNumberFormat="1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left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1" fillId="11" borderId="29" xfId="0" applyFont="1" applyFill="1" applyBorder="1" applyAlignment="1">
      <alignment horizontal="left" vertical="center" wrapText="1"/>
    </xf>
    <xf numFmtId="4" fontId="1" fillId="11" borderId="28" xfId="0" applyNumberFormat="1" applyFont="1" applyFill="1" applyBorder="1" applyAlignment="1">
      <alignment horizontal="center" vertical="center" wrapText="1"/>
    </xf>
    <xf numFmtId="0" fontId="1" fillId="10" borderId="28" xfId="0" applyFont="1" applyFill="1" applyBorder="1" applyAlignment="1">
      <alignment horizontal="center" vertical="center" wrapText="1"/>
    </xf>
    <xf numFmtId="0" fontId="1" fillId="10" borderId="29" xfId="0" applyFont="1" applyFill="1" applyBorder="1" applyAlignment="1">
      <alignment horizontal="left" vertical="center" wrapText="1"/>
    </xf>
    <xf numFmtId="4" fontId="1" fillId="10" borderId="28" xfId="0" applyNumberFormat="1" applyFont="1" applyFill="1" applyBorder="1" applyAlignment="1">
      <alignment horizontal="center" vertical="center" wrapText="1"/>
    </xf>
    <xf numFmtId="4" fontId="1" fillId="10" borderId="30" xfId="0" applyNumberFormat="1" applyFont="1" applyFill="1" applyBorder="1" applyAlignment="1">
      <alignment horizontal="center" vertical="center" wrapText="1"/>
    </xf>
    <xf numFmtId="0" fontId="1" fillId="10" borderId="32" xfId="0" applyFont="1" applyFill="1" applyBorder="1" applyAlignment="1">
      <alignment horizontal="center" vertical="center" wrapText="1"/>
    </xf>
    <xf numFmtId="0" fontId="1" fillId="10" borderId="33" xfId="0" applyFont="1" applyFill="1" applyBorder="1" applyAlignment="1">
      <alignment horizontal="left" vertical="center" wrapText="1"/>
    </xf>
    <xf numFmtId="4" fontId="1" fillId="10" borderId="35" xfId="0" applyNumberFormat="1" applyFont="1" applyFill="1" applyBorder="1" applyAlignment="1">
      <alignment horizontal="center" vertical="center" wrapText="1"/>
    </xf>
    <xf numFmtId="4" fontId="1" fillId="10" borderId="31" xfId="0" applyNumberFormat="1" applyFont="1" applyFill="1" applyBorder="1" applyAlignment="1">
      <alignment horizontal="center" vertical="center" wrapText="1"/>
    </xf>
    <xf numFmtId="49" fontId="9" fillId="10" borderId="28" xfId="0" applyNumberFormat="1" applyFont="1" applyFill="1" applyBorder="1" applyAlignment="1">
      <alignment horizontal="center" vertical="center" wrapText="1"/>
    </xf>
    <xf numFmtId="39" fontId="9" fillId="10" borderId="29" xfId="0" applyNumberFormat="1" applyFont="1" applyFill="1" applyBorder="1" applyAlignment="1">
      <alignment horizontal="left" vertical="center" wrapText="1"/>
    </xf>
    <xf numFmtId="49" fontId="9" fillId="10" borderId="28" xfId="0" quotePrefix="1" applyNumberFormat="1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2" fontId="4" fillId="9" borderId="20" xfId="0" applyNumberFormat="1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4" fontId="4" fillId="9" borderId="22" xfId="0" applyNumberFormat="1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167" fontId="4" fillId="9" borderId="18" xfId="2" applyFont="1" applyFill="1" applyBorder="1" applyAlignment="1">
      <alignment horizontal="center" vertical="center"/>
    </xf>
    <xf numFmtId="167" fontId="4" fillId="9" borderId="19" xfId="2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69" fontId="19" fillId="0" borderId="37" xfId="0" applyNumberFormat="1" applyFont="1" applyBorder="1"/>
    <xf numFmtId="169" fontId="19" fillId="0" borderId="0" xfId="0" applyNumberFormat="1" applyFont="1"/>
    <xf numFmtId="0" fontId="20" fillId="7" borderId="37" xfId="0" applyFont="1" applyFill="1" applyBorder="1"/>
    <xf numFmtId="49" fontId="20" fillId="7" borderId="37" xfId="0" applyNumberFormat="1" applyFont="1" applyFill="1" applyBorder="1"/>
    <xf numFmtId="169" fontId="19" fillId="0" borderId="37" xfId="0" quotePrefix="1" applyNumberFormat="1" applyFont="1" applyBorder="1" applyAlignment="1">
      <alignment horizontal="center"/>
    </xf>
    <xf numFmtId="0" fontId="19" fillId="0" borderId="0" xfId="0" applyFont="1"/>
    <xf numFmtId="49" fontId="19" fillId="0" borderId="0" xfId="0" applyNumberFormat="1" applyFont="1"/>
    <xf numFmtId="4" fontId="1" fillId="10" borderId="32" xfId="0" applyNumberFormat="1" applyFont="1" applyFill="1" applyBorder="1" applyAlignment="1">
      <alignment horizontal="center" vertical="center" wrapText="1"/>
    </xf>
    <xf numFmtId="167" fontId="1" fillId="0" borderId="30" xfId="2" applyFont="1" applyFill="1" applyBorder="1" applyAlignment="1">
      <alignment horizontal="center" vertical="center"/>
    </xf>
    <xf numFmtId="167" fontId="4" fillId="0" borderId="0" xfId="2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 wrapText="1"/>
    </xf>
    <xf numFmtId="0" fontId="1" fillId="11" borderId="25" xfId="0" applyFont="1" applyFill="1" applyBorder="1" applyAlignment="1">
      <alignment horizontal="left" vertical="center" wrapText="1"/>
    </xf>
    <xf numFmtId="4" fontId="1" fillId="11" borderId="24" xfId="0" applyNumberFormat="1" applyFont="1" applyFill="1" applyBorder="1" applyAlignment="1">
      <alignment horizontal="center" vertical="center" wrapText="1"/>
    </xf>
    <xf numFmtId="4" fontId="1" fillId="11" borderId="27" xfId="0" applyNumberFormat="1" applyFont="1" applyFill="1" applyBorder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0" fontId="1" fillId="11" borderId="32" xfId="0" applyFont="1" applyFill="1" applyBorder="1" applyAlignment="1">
      <alignment horizontal="center" vertical="center" wrapText="1"/>
    </xf>
    <xf numFmtId="0" fontId="1" fillId="11" borderId="33" xfId="0" applyFont="1" applyFill="1" applyBorder="1" applyAlignment="1">
      <alignment horizontal="left" vertical="center" wrapText="1"/>
    </xf>
    <xf numFmtId="167" fontId="1" fillId="0" borderId="32" xfId="2" applyFont="1" applyFill="1" applyBorder="1" applyAlignment="1">
      <alignment horizontal="center" vertical="center"/>
    </xf>
    <xf numFmtId="4" fontId="1" fillId="11" borderId="32" xfId="0" applyNumberFormat="1" applyFont="1" applyFill="1" applyBorder="1" applyAlignment="1">
      <alignment horizontal="center" vertical="center" wrapText="1"/>
    </xf>
    <xf numFmtId="4" fontId="1" fillId="11" borderId="35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7" fontId="0" fillId="0" borderId="0" xfId="2" applyFont="1"/>
    <xf numFmtId="167" fontId="1" fillId="0" borderId="24" xfId="2" applyFont="1" applyFill="1" applyBorder="1" applyAlignment="1">
      <alignment horizontal="center" vertical="center"/>
    </xf>
    <xf numFmtId="4" fontId="1" fillId="0" borderId="25" xfId="0" applyNumberFormat="1" applyFont="1" applyBorder="1" applyAlignment="1">
      <alignment horizontal="center" vertical="center" wrapText="1"/>
    </xf>
    <xf numFmtId="167" fontId="1" fillId="0" borderId="25" xfId="2" applyFont="1" applyFill="1" applyBorder="1" applyAlignment="1">
      <alignment horizontal="center" vertical="center"/>
    </xf>
    <xf numFmtId="10" fontId="1" fillId="0" borderId="9" xfId="3" applyNumberFormat="1" applyFont="1" applyFill="1" applyBorder="1" applyAlignment="1">
      <alignment horizontal="center" vertical="center"/>
    </xf>
    <xf numFmtId="2" fontId="1" fillId="0" borderId="35" xfId="1" applyNumberFormat="1" applyFont="1" applyFill="1" applyBorder="1" applyAlignment="1">
      <alignment horizontal="center" vertical="center" wrapText="1"/>
    </xf>
    <xf numFmtId="170" fontId="1" fillId="0" borderId="35" xfId="1" applyFont="1" applyFill="1" applyBorder="1" applyAlignment="1">
      <alignment horizontal="center" vertical="center" wrapText="1"/>
    </xf>
    <xf numFmtId="4" fontId="1" fillId="0" borderId="35" xfId="0" applyNumberFormat="1" applyFont="1" applyBorder="1" applyAlignment="1">
      <alignment horizontal="center" vertical="center" wrapText="1"/>
    </xf>
    <xf numFmtId="4" fontId="1" fillId="0" borderId="33" xfId="0" applyNumberFormat="1" applyFont="1" applyBorder="1" applyAlignment="1">
      <alignment horizontal="center" vertical="center" wrapText="1"/>
    </xf>
    <xf numFmtId="49" fontId="1" fillId="10" borderId="24" xfId="0" quotePrefix="1" applyNumberFormat="1" applyFont="1" applyFill="1" applyBorder="1" applyAlignment="1">
      <alignment horizontal="center" vertical="center" wrapText="1"/>
    </xf>
    <xf numFmtId="39" fontId="1" fillId="10" borderId="25" xfId="0" applyNumberFormat="1" applyFont="1" applyFill="1" applyBorder="1" applyAlignment="1">
      <alignment horizontal="left" vertical="center" wrapText="1"/>
    </xf>
    <xf numFmtId="4" fontId="1" fillId="10" borderId="26" xfId="0" applyNumberFormat="1" applyFont="1" applyFill="1" applyBorder="1" applyAlignment="1">
      <alignment horizontal="center" vertical="center" wrapText="1"/>
    </xf>
    <xf numFmtId="4" fontId="1" fillId="10" borderId="27" xfId="0" applyNumberFormat="1" applyFont="1" applyFill="1" applyBorder="1" applyAlignment="1">
      <alignment horizontal="center" vertical="center" wrapText="1"/>
    </xf>
    <xf numFmtId="4" fontId="1" fillId="11" borderId="34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2" fontId="1" fillId="8" borderId="30" xfId="1" applyNumberFormat="1" applyFont="1" applyFill="1" applyBorder="1" applyAlignment="1">
      <alignment horizontal="center" vertical="center" wrapText="1"/>
    </xf>
    <xf numFmtId="170" fontId="1" fillId="8" borderId="30" xfId="1" applyFont="1" applyFill="1" applyBorder="1" applyAlignment="1">
      <alignment horizontal="center" vertical="center" wrapText="1"/>
    </xf>
    <xf numFmtId="4" fontId="1" fillId="8" borderId="29" xfId="0" applyNumberFormat="1" applyFont="1" applyFill="1" applyBorder="1" applyAlignment="1">
      <alignment horizontal="center" vertical="center" wrapText="1"/>
    </xf>
    <xf numFmtId="167" fontId="1" fillId="8" borderId="28" xfId="2" applyFont="1" applyFill="1" applyBorder="1" applyAlignment="1">
      <alignment horizontal="center" vertical="center"/>
    </xf>
    <xf numFmtId="167" fontId="1" fillId="8" borderId="29" xfId="2" applyFont="1" applyFill="1" applyBorder="1" applyAlignment="1">
      <alignment horizontal="center" vertical="center"/>
    </xf>
    <xf numFmtId="10" fontId="1" fillId="8" borderId="12" xfId="3" applyNumberFormat="1" applyFont="1" applyFill="1" applyBorder="1" applyAlignment="1">
      <alignment horizontal="center" vertical="center"/>
    </xf>
    <xf numFmtId="2" fontId="1" fillId="12" borderId="30" xfId="1" applyNumberFormat="1" applyFont="1" applyFill="1" applyBorder="1" applyAlignment="1">
      <alignment horizontal="center" vertical="center" wrapText="1"/>
    </xf>
    <xf numFmtId="170" fontId="1" fillId="12" borderId="30" xfId="1" applyFont="1" applyFill="1" applyBorder="1" applyAlignment="1">
      <alignment horizontal="center" vertical="center" wrapText="1"/>
    </xf>
    <xf numFmtId="4" fontId="1" fillId="12" borderId="30" xfId="0" applyNumberFormat="1" applyFont="1" applyFill="1" applyBorder="1" applyAlignment="1">
      <alignment horizontal="center" vertical="center" wrapText="1"/>
    </xf>
    <xf numFmtId="4" fontId="1" fillId="12" borderId="29" xfId="0" applyNumberFormat="1" applyFont="1" applyFill="1" applyBorder="1" applyAlignment="1">
      <alignment horizontal="center" vertical="center" wrapText="1"/>
    </xf>
    <xf numFmtId="2" fontId="1" fillId="12" borderId="35" xfId="1" applyNumberFormat="1" applyFont="1" applyFill="1" applyBorder="1" applyAlignment="1">
      <alignment horizontal="center" vertical="center" wrapText="1"/>
    </xf>
    <xf numFmtId="170" fontId="1" fillId="12" borderId="35" xfId="1" applyFont="1" applyFill="1" applyBorder="1" applyAlignment="1">
      <alignment horizontal="center" vertical="center" wrapText="1"/>
    </xf>
    <xf numFmtId="4" fontId="1" fillId="12" borderId="35" xfId="0" applyNumberFormat="1" applyFont="1" applyFill="1" applyBorder="1" applyAlignment="1">
      <alignment horizontal="center" vertical="center" wrapText="1"/>
    </xf>
    <xf numFmtId="4" fontId="1" fillId="12" borderId="3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71" fontId="1" fillId="0" borderId="9" xfId="0" applyNumberFormat="1" applyFont="1" applyBorder="1" applyAlignment="1">
      <alignment horizontal="center" vertical="center"/>
    </xf>
    <xf numFmtId="171" fontId="1" fillId="0" borderId="3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 wrapText="1"/>
    </xf>
    <xf numFmtId="0" fontId="1" fillId="11" borderId="41" xfId="0" applyFont="1" applyFill="1" applyBorder="1" applyAlignment="1">
      <alignment horizontal="left" vertical="center" wrapText="1"/>
    </xf>
    <xf numFmtId="4" fontId="1" fillId="11" borderId="42" xfId="0" applyNumberFormat="1" applyFont="1" applyFill="1" applyBorder="1" applyAlignment="1">
      <alignment horizontal="center" vertical="center" wrapText="1"/>
    </xf>
    <xf numFmtId="167" fontId="1" fillId="0" borderId="40" xfId="2" applyFont="1" applyFill="1" applyBorder="1" applyAlignment="1">
      <alignment horizontal="center" vertical="center"/>
    </xf>
    <xf numFmtId="167" fontId="1" fillId="0" borderId="41" xfId="2" applyFont="1" applyFill="1" applyBorder="1" applyAlignment="1">
      <alignment horizontal="center" vertical="center"/>
    </xf>
    <xf numFmtId="49" fontId="9" fillId="8" borderId="28" xfId="0" quotePrefix="1" applyNumberFormat="1" applyFont="1" applyFill="1" applyBorder="1" applyAlignment="1">
      <alignment horizontal="center" vertical="center" wrapText="1"/>
    </xf>
    <xf numFmtId="171" fontId="1" fillId="8" borderId="12" xfId="0" applyNumberFormat="1" applyFont="1" applyFill="1" applyBorder="1" applyAlignment="1">
      <alignment horizontal="center" vertical="center"/>
    </xf>
    <xf numFmtId="4" fontId="10" fillId="10" borderId="3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7" fontId="4" fillId="9" borderId="23" xfId="2" applyFont="1" applyFill="1" applyBorder="1" applyAlignment="1">
      <alignment horizontal="center" vertical="center"/>
    </xf>
    <xf numFmtId="167" fontId="4" fillId="9" borderId="5" xfId="2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0" fillId="7" borderId="38" xfId="0" applyFont="1" applyFill="1" applyBorder="1" applyAlignment="1">
      <alignment horizontal="left"/>
    </xf>
    <xf numFmtId="0" fontId="20" fillId="7" borderId="39" xfId="0" applyFont="1" applyFill="1" applyBorder="1" applyAlignment="1">
      <alignment horizontal="left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microsoft.com/office/2017/10/relationships/person" Target="persons/person5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20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4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F15"/>
  <sheetViews>
    <sheetView workbookViewId="0">
      <selection activeCell="F12" sqref="F12"/>
    </sheetView>
  </sheetViews>
  <sheetFormatPr baseColWidth="10" defaultColWidth="11.453125" defaultRowHeight="13" outlineLevelRow="1" x14ac:dyDescent="0.3"/>
  <cols>
    <col min="1" max="1" width="11.453125" style="67"/>
    <col min="2" max="2" width="18" style="67" bestFit="1" customWidth="1"/>
    <col min="3" max="3" width="1.7265625" style="67" customWidth="1"/>
    <col min="4" max="4" width="15" style="68" bestFit="1" customWidth="1"/>
    <col min="5" max="5" width="1.7265625" style="67" customWidth="1"/>
    <col min="6" max="6" width="68.81640625" style="67" bestFit="1" customWidth="1"/>
    <col min="7" max="16384" width="11.453125" style="67"/>
  </cols>
  <sheetData>
    <row r="2" spans="2:6" x14ac:dyDescent="0.3">
      <c r="B2" s="67" t="s">
        <v>130</v>
      </c>
    </row>
    <row r="3" spans="2:6" ht="7" customHeight="1" x14ac:dyDescent="0.3"/>
    <row r="4" spans="2:6" x14ac:dyDescent="0.3">
      <c r="B4" s="67" t="s">
        <v>131</v>
      </c>
      <c r="D4" s="68" t="s">
        <v>132</v>
      </c>
      <c r="F4" s="67" t="s">
        <v>133</v>
      </c>
    </row>
    <row r="5" spans="2:6" ht="7" customHeight="1" x14ac:dyDescent="0.3"/>
    <row r="6" spans="2:6" x14ac:dyDescent="0.3">
      <c r="B6" s="67" t="s">
        <v>134</v>
      </c>
      <c r="D6" s="10">
        <f>377441.82*1.15</f>
        <v>434058.09299999999</v>
      </c>
    </row>
    <row r="7" spans="2:6" x14ac:dyDescent="0.3">
      <c r="B7" s="67" t="s">
        <v>135</v>
      </c>
      <c r="D7" s="10">
        <f>95085.88*1.15</f>
        <v>109348.762</v>
      </c>
    </row>
    <row r="8" spans="2:6" x14ac:dyDescent="0.3">
      <c r="B8" s="67" t="s">
        <v>136</v>
      </c>
      <c r="D8" s="68">
        <v>104188</v>
      </c>
    </row>
    <row r="9" spans="2:6" x14ac:dyDescent="0.3">
      <c r="B9" s="67" t="s">
        <v>8</v>
      </c>
      <c r="D9" s="68">
        <v>20000</v>
      </c>
    </row>
    <row r="10" spans="2:6" x14ac:dyDescent="0.3">
      <c r="B10" s="67" t="s">
        <v>137</v>
      </c>
      <c r="D10" s="68">
        <v>70000</v>
      </c>
      <c r="F10" s="67" t="s">
        <v>138</v>
      </c>
    </row>
    <row r="11" spans="2:6" x14ac:dyDescent="0.3">
      <c r="B11" s="67" t="s">
        <v>139</v>
      </c>
      <c r="D11" s="68">
        <f>SUM(D12:D15)</f>
        <v>1043597.8118181818</v>
      </c>
    </row>
    <row r="12" spans="2:6" outlineLevel="1" x14ac:dyDescent="0.3">
      <c r="D12" s="68">
        <f>(((1353114.7*5)-502340.57)/11)</f>
        <v>569384.81181818177</v>
      </c>
      <c r="F12" s="67" t="s">
        <v>168</v>
      </c>
    </row>
    <row r="13" spans="2:6" outlineLevel="1" x14ac:dyDescent="0.3">
      <c r="D13" s="68">
        <v>276020</v>
      </c>
      <c r="F13" s="67" t="s">
        <v>140</v>
      </c>
    </row>
    <row r="14" spans="2:6" outlineLevel="1" x14ac:dyDescent="0.3">
      <c r="D14" s="68">
        <v>180000</v>
      </c>
      <c r="F14" s="67" t="s">
        <v>141</v>
      </c>
    </row>
    <row r="15" spans="2:6" x14ac:dyDescent="0.3">
      <c r="D15" s="68">
        <v>18193</v>
      </c>
      <c r="F15" s="67" t="s">
        <v>160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6">
    <pageSetUpPr fitToPage="1"/>
  </sheetPr>
  <dimension ref="B2:O23"/>
  <sheetViews>
    <sheetView showGridLines="0" tabSelected="1" view="pageLayout" topLeftCell="E2" zoomScaleNormal="90" workbookViewId="0">
      <selection activeCell="K6" sqref="K6"/>
    </sheetView>
  </sheetViews>
  <sheetFormatPr baseColWidth="10" defaultColWidth="11.453125" defaultRowHeight="14.5" x14ac:dyDescent="0.35"/>
  <cols>
    <col min="1" max="1" width="11.453125" style="71"/>
    <col min="2" max="2" width="30.81640625" style="71" customWidth="1"/>
    <col min="3" max="3" width="16.1796875" style="70" bestFit="1" customWidth="1"/>
    <col min="4" max="4" width="16.08984375" style="71" customWidth="1"/>
    <col min="5" max="5" width="15.7265625" style="71" customWidth="1"/>
    <col min="6" max="6" width="16.81640625" style="71" customWidth="1"/>
    <col min="7" max="7" width="17.453125" style="71" customWidth="1"/>
    <col min="8" max="8" width="18" style="71" customWidth="1"/>
    <col min="9" max="10" width="15.54296875" style="71" customWidth="1"/>
    <col min="11" max="11" width="19.453125" style="71" customWidth="1"/>
    <col min="12" max="12" width="18.26953125" style="71" customWidth="1"/>
    <col min="13" max="15" width="15.7265625" style="71" bestFit="1" customWidth="1"/>
    <col min="16" max="16384" width="11.453125" style="71"/>
  </cols>
  <sheetData>
    <row r="2" spans="2:15" ht="18.5" x14ac:dyDescent="0.45">
      <c r="B2" s="69" t="s">
        <v>236</v>
      </c>
    </row>
    <row r="3" spans="2:15" ht="15" thickBot="1" x14ac:dyDescent="0.4"/>
    <row r="4" spans="2:15" ht="15" thickBot="1" x14ac:dyDescent="0.4">
      <c r="B4" s="72" t="s">
        <v>142</v>
      </c>
      <c r="C4" s="73" t="s">
        <v>143</v>
      </c>
      <c r="D4" s="74" t="s">
        <v>144</v>
      </c>
      <c r="E4" s="74" t="s">
        <v>145</v>
      </c>
      <c r="F4" s="74" t="s">
        <v>146</v>
      </c>
      <c r="G4" s="74" t="s">
        <v>147</v>
      </c>
      <c r="H4" s="74" t="s">
        <v>148</v>
      </c>
      <c r="I4" s="74" t="s">
        <v>149</v>
      </c>
      <c r="J4" s="74" t="s">
        <v>150</v>
      </c>
      <c r="K4" s="74" t="s">
        <v>151</v>
      </c>
      <c r="L4" s="74" t="s">
        <v>152</v>
      </c>
      <c r="M4" s="74" t="s">
        <v>153</v>
      </c>
      <c r="N4" s="74" t="s">
        <v>154</v>
      </c>
      <c r="O4" s="74" t="s">
        <v>155</v>
      </c>
    </row>
    <row r="5" spans="2:15" ht="15" thickBot="1" x14ac:dyDescent="0.4">
      <c r="B5" s="131" t="s">
        <v>156</v>
      </c>
      <c r="C5" s="131"/>
      <c r="D5" s="129">
        <f>enero!P59</f>
        <v>913986.35200999631</v>
      </c>
      <c r="E5" s="129">
        <f>febrero!P59</f>
        <v>962610.48092094529</v>
      </c>
      <c r="F5" s="129">
        <f>marzo!P59</f>
        <v>1011091.5935369453</v>
      </c>
      <c r="G5" s="129">
        <f>abril!P59</f>
        <v>1090897.5935369453</v>
      </c>
      <c r="H5" s="129">
        <f>mayo!P59</f>
        <v>1146124.8893585452</v>
      </c>
      <c r="I5" s="129">
        <f>junio!P59</f>
        <v>1256661.0186221453</v>
      </c>
      <c r="J5" s="129">
        <f>julio!P59</f>
        <v>1382866.6009217454</v>
      </c>
      <c r="K5" s="129">
        <f>agosto!P59</f>
        <v>1448968.3475429455</v>
      </c>
      <c r="L5" s="129"/>
      <c r="M5" s="129"/>
      <c r="N5" s="133"/>
      <c r="O5" s="129"/>
    </row>
    <row r="6" spans="2:15" ht="15" thickBot="1" x14ac:dyDescent="0.4">
      <c r="B6" s="131" t="s">
        <v>235</v>
      </c>
      <c r="C6" s="132"/>
      <c r="D6" s="129">
        <f>enero!P44</f>
        <v>407654.22857843729</v>
      </c>
      <c r="E6" s="129">
        <f>febrero!P44</f>
        <v>831427.87474597071</v>
      </c>
      <c r="F6" s="129">
        <f>marzo!P44</f>
        <v>873302.0795531706</v>
      </c>
      <c r="G6" s="129">
        <f>abril!P44</f>
        <v>942232.27955317067</v>
      </c>
      <c r="H6" s="129">
        <f>mayo!P44</f>
        <v>989933.3113858907</v>
      </c>
      <c r="I6" s="129"/>
      <c r="J6" s="129"/>
      <c r="K6" s="129"/>
      <c r="L6" s="129"/>
      <c r="M6" s="129"/>
      <c r="N6" s="129"/>
      <c r="O6" s="129"/>
    </row>
    <row r="7" spans="2:15" ht="15" thickBot="1" x14ac:dyDescent="0.4">
      <c r="B7" s="131" t="s">
        <v>229</v>
      </c>
      <c r="C7" s="132"/>
      <c r="D7" s="129">
        <f>enero!P41</f>
        <v>226483.2870211291</v>
      </c>
      <c r="E7" s="129">
        <f>febrero!P41</f>
        <v>238526.71369109995</v>
      </c>
      <c r="F7" s="129">
        <f>marzo!P41</f>
        <v>250539.92225009997</v>
      </c>
      <c r="G7" s="129">
        <f>abril!P41</f>
        <v>270315.17225009995</v>
      </c>
      <c r="H7" s="129">
        <f>mayo!P41</f>
        <v>284000.02779600001</v>
      </c>
      <c r="I7" s="129"/>
      <c r="J7" s="129"/>
      <c r="K7" s="129"/>
      <c r="L7" s="129"/>
      <c r="M7" s="129"/>
      <c r="N7" s="133"/>
      <c r="O7" s="129"/>
    </row>
    <row r="8" spans="2:15" ht="15" thickBot="1" x14ac:dyDescent="0.4">
      <c r="B8" s="131" t="s">
        <v>243</v>
      </c>
      <c r="C8" s="132"/>
      <c r="D8" s="129"/>
      <c r="E8" s="129"/>
      <c r="F8" s="129"/>
      <c r="G8" s="129">
        <f>abril!P56</f>
        <v>709982.88022242533</v>
      </c>
      <c r="H8" s="129">
        <f>mayo!P56</f>
        <v>745926.15737934527</v>
      </c>
      <c r="I8" s="129">
        <f>junio!P56</f>
        <v>817865.7783741653</v>
      </c>
      <c r="J8" s="129"/>
      <c r="K8" s="129"/>
      <c r="L8" s="129"/>
      <c r="M8" s="129"/>
      <c r="N8" s="133"/>
      <c r="O8" s="129"/>
    </row>
    <row r="9" spans="2:15" ht="15" thickBot="1" x14ac:dyDescent="0.4">
      <c r="B9" s="131" t="s">
        <v>242</v>
      </c>
      <c r="C9" s="132"/>
      <c r="D9" s="129"/>
      <c r="E9" s="129"/>
      <c r="F9" s="129"/>
      <c r="G9" s="129">
        <f>abril!P39</f>
        <v>524215.48377295083</v>
      </c>
      <c r="H9" s="129">
        <f>mayo!P39</f>
        <v>550754.18343469081</v>
      </c>
      <c r="I9" s="129">
        <f>junio!P39</f>
        <v>603870.76451398071</v>
      </c>
      <c r="J9" s="129"/>
      <c r="K9" s="129"/>
      <c r="L9" s="129"/>
      <c r="M9" s="129"/>
      <c r="N9" s="133"/>
      <c r="O9" s="129"/>
    </row>
    <row r="10" spans="2:15" ht="15" thickBot="1" x14ac:dyDescent="0.4">
      <c r="B10" s="131" t="s">
        <v>242</v>
      </c>
      <c r="C10" s="132"/>
      <c r="D10" s="129"/>
      <c r="E10" s="129"/>
      <c r="F10" s="129"/>
      <c r="G10" s="129">
        <f>abril!P40</f>
        <v>83423.470271361803</v>
      </c>
      <c r="H10" s="129">
        <f>mayo!P40</f>
        <v>87646.829730981815</v>
      </c>
      <c r="I10" s="129">
        <f>junio!P40</f>
        <v>96099.784021251791</v>
      </c>
      <c r="J10" s="129"/>
      <c r="K10" s="129"/>
      <c r="L10" s="129"/>
      <c r="M10" s="129"/>
      <c r="N10" s="129"/>
      <c r="O10" s="129"/>
    </row>
    <row r="11" spans="2:15" ht="7" customHeight="1" thickBot="1" x14ac:dyDescent="0.4">
      <c r="B11" s="134"/>
      <c r="C11" s="135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2:15" ht="15" thickBot="1" x14ac:dyDescent="0.4">
      <c r="B12" s="206" t="s">
        <v>157</v>
      </c>
      <c r="C12" s="207"/>
      <c r="D12" s="129">
        <f>SUM(D5:D7)</f>
        <v>1548123.8676095628</v>
      </c>
      <c r="E12" s="129">
        <f>SUM(E5:E11)</f>
        <v>2032565.0693580159</v>
      </c>
      <c r="F12" s="129">
        <f>SUM(F5:F10)</f>
        <v>2134933.5953402161</v>
      </c>
      <c r="G12" s="129">
        <f>SUM(G5:G10)</f>
        <v>3621066.8796069538</v>
      </c>
      <c r="H12" s="129">
        <f>SUM(H5:H10)</f>
        <v>3804385.3990854542</v>
      </c>
      <c r="I12" s="129">
        <f>SUM(I5:I10)</f>
        <v>2774497.3455315433</v>
      </c>
      <c r="J12" s="129">
        <f>SUM(J5:J6)</f>
        <v>1382866.6009217454</v>
      </c>
      <c r="K12" s="129">
        <f>SUM(K5:K6)</f>
        <v>1448968.3475429455</v>
      </c>
      <c r="L12" s="129">
        <f>SUM(L5:L6)</f>
        <v>0</v>
      </c>
      <c r="M12" s="129">
        <f>SUM(M5:M6)</f>
        <v>0</v>
      </c>
      <c r="N12" s="129">
        <f>SUM(N5:N10)</f>
        <v>0</v>
      </c>
      <c r="O12" s="129">
        <f>SUM(O5:O10)</f>
        <v>0</v>
      </c>
    </row>
    <row r="13" spans="2:15" ht="7" customHeight="1" thickBot="1" x14ac:dyDescent="0.4">
      <c r="B13" s="134"/>
      <c r="C13" s="135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2:15" ht="15" thickBot="1" x14ac:dyDescent="0.4">
      <c r="B14" s="206" t="s">
        <v>158</v>
      </c>
      <c r="C14" s="207"/>
      <c r="D14" s="129">
        <f>+D12</f>
        <v>1548123.8676095628</v>
      </c>
      <c r="E14" s="129">
        <f>+D14+E12</f>
        <v>3580688.9369675787</v>
      </c>
      <c r="F14" s="129">
        <f t="shared" ref="F14:O14" si="0">+E14+F12</f>
        <v>5715622.5323077943</v>
      </c>
      <c r="G14" s="129">
        <f t="shared" si="0"/>
        <v>9336689.4119147472</v>
      </c>
      <c r="H14" s="129">
        <f t="shared" si="0"/>
        <v>13141074.811000202</v>
      </c>
      <c r="I14" s="129">
        <f t="shared" si="0"/>
        <v>15915572.156531746</v>
      </c>
      <c r="J14" s="129">
        <f t="shared" si="0"/>
        <v>17298438.75745349</v>
      </c>
      <c r="K14" s="129">
        <f t="shared" si="0"/>
        <v>18747407.104996435</v>
      </c>
      <c r="L14" s="129">
        <f t="shared" si="0"/>
        <v>18747407.104996435</v>
      </c>
      <c r="M14" s="129">
        <f t="shared" si="0"/>
        <v>18747407.104996435</v>
      </c>
      <c r="N14" s="129">
        <f t="shared" si="0"/>
        <v>18747407.104996435</v>
      </c>
      <c r="O14" s="129">
        <f t="shared" si="0"/>
        <v>18747407.104996435</v>
      </c>
    </row>
    <row r="15" spans="2:15" x14ac:dyDescent="0.35"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</row>
    <row r="16" spans="2:15" ht="16" x14ac:dyDescent="0.5">
      <c r="D16" s="76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</row>
    <row r="17" spans="4:15" ht="7" customHeight="1" x14ac:dyDescent="0.35"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</row>
    <row r="18" spans="4:15" x14ac:dyDescent="0.35">
      <c r="D18" s="75"/>
      <c r="E18" s="75"/>
      <c r="F18" s="75"/>
      <c r="G18" s="75"/>
      <c r="H18" s="75"/>
      <c r="I18" s="75"/>
      <c r="J18" s="75"/>
      <c r="K18" s="75"/>
      <c r="L18" s="75" t="s">
        <v>159</v>
      </c>
      <c r="M18" s="75"/>
      <c r="N18" s="75"/>
      <c r="O18" s="75"/>
    </row>
    <row r="19" spans="4:15" x14ac:dyDescent="0.35"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</row>
    <row r="20" spans="4:15" x14ac:dyDescent="0.35"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</row>
    <row r="21" spans="4:15" x14ac:dyDescent="0.35"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</row>
    <row r="22" spans="4:15" x14ac:dyDescent="0.35"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</row>
    <row r="23" spans="4:15" x14ac:dyDescent="0.35"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</row>
  </sheetData>
  <mergeCells count="2">
    <mergeCell ref="B12:C12"/>
    <mergeCell ref="B14:C14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7"/>
  <dimension ref="I12:L12"/>
  <sheetViews>
    <sheetView workbookViewId="0">
      <selection activeCell="J22" sqref="J22"/>
    </sheetView>
  </sheetViews>
  <sheetFormatPr baseColWidth="10" defaultRowHeight="12.5" x14ac:dyDescent="0.25"/>
  <cols>
    <col min="9" max="12" width="11.81640625" bestFit="1" customWidth="1"/>
  </cols>
  <sheetData>
    <row r="12" spans="9:12" x14ac:dyDescent="0.25">
      <c r="I12" s="151"/>
      <c r="J12" s="151"/>
      <c r="K12" s="151"/>
      <c r="L12" s="1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424-2D3D-46B0-B883-6EAA71EB9835}">
  <sheetPr>
    <tabColor theme="4" tint="0.39997558519241921"/>
  </sheetPr>
  <dimension ref="A1:AB133"/>
  <sheetViews>
    <sheetView topLeftCell="L3" zoomScale="115" zoomScaleNormal="115" workbookViewId="0">
      <selection activeCell="Y7" sqref="Y7"/>
    </sheetView>
  </sheetViews>
  <sheetFormatPr baseColWidth="10" defaultColWidth="10.81640625" defaultRowHeight="13" x14ac:dyDescent="0.25"/>
  <cols>
    <col min="1" max="1" width="4.453125" style="1" customWidth="1"/>
    <col min="2" max="2" width="19.54296875" style="1" customWidth="1"/>
    <col min="3" max="3" width="29.453125" style="1" customWidth="1"/>
    <col min="4" max="4" width="1.453125" style="1" customWidth="1"/>
    <col min="5" max="5" width="11.453125" style="1" customWidth="1"/>
    <col min="6" max="6" width="14.453125" style="1" customWidth="1"/>
    <col min="7" max="7" width="13.81640625" style="2" customWidth="1"/>
    <col min="8" max="8" width="13.453125" style="1" customWidth="1"/>
    <col min="9" max="9" width="12.453125" style="1" customWidth="1"/>
    <col min="10" max="11" width="11.453125" style="1" customWidth="1"/>
    <col min="12" max="12" width="8.26953125" style="1" customWidth="1"/>
    <col min="13" max="13" width="0.1796875" style="1" customWidth="1"/>
    <col min="14" max="14" width="19.453125" style="1" customWidth="1"/>
    <col min="15" max="15" width="0.1796875" style="1" customWidth="1"/>
    <col min="16" max="16" width="22.7265625" style="4" customWidth="1"/>
    <col min="17" max="17" width="15" style="4" customWidth="1"/>
    <col min="18" max="18" width="1.7265625" style="1" customWidth="1"/>
    <col min="19" max="19" width="17.26953125" style="5" bestFit="1" customWidth="1"/>
    <col min="20" max="20" width="15.26953125" style="1" customWidth="1"/>
    <col min="21" max="21" width="1.7265625" style="1" customWidth="1"/>
    <col min="22" max="22" width="13.1796875" style="1" customWidth="1"/>
    <col min="23" max="23" width="1.7265625" style="1" customWidth="1"/>
    <col min="24" max="24" width="14.453125" style="1" bestFit="1" customWidth="1"/>
    <col min="25" max="25" width="15.81640625" style="1" customWidth="1"/>
    <col min="26" max="26" width="14.26953125" style="1" customWidth="1"/>
    <col min="27" max="27" width="11.81640625" style="1" bestFit="1" customWidth="1"/>
    <col min="28" max="28" width="15.7265625" style="1" customWidth="1"/>
    <col min="29" max="16384" width="10.81640625" style="1"/>
  </cols>
  <sheetData>
    <row r="1" spans="2:28" ht="13.5" thickBot="1" x14ac:dyDescent="0.3">
      <c r="I1" s="3"/>
    </row>
    <row r="2" spans="2:28" ht="13.5" thickBot="1" x14ac:dyDescent="0.3">
      <c r="B2" s="193" t="s">
        <v>232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P2" s="6" t="s">
        <v>0</v>
      </c>
      <c r="Q2" s="7">
        <f>T10</f>
        <v>31083389.831818182</v>
      </c>
      <c r="R2" s="8"/>
      <c r="S2" s="9" t="s">
        <v>1</v>
      </c>
      <c r="T2" s="10">
        <f>519334.36+137332.91+33332.73</f>
        <v>690000</v>
      </c>
      <c r="U2" s="8"/>
      <c r="W2" s="8"/>
    </row>
    <row r="3" spans="2:28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8"/>
      <c r="O3" s="11" t="s">
        <v>2</v>
      </c>
      <c r="P3" s="12"/>
      <c r="Q3" s="13"/>
      <c r="S3" s="9" t="s">
        <v>3</v>
      </c>
      <c r="T3" s="10"/>
    </row>
    <row r="4" spans="2:28" x14ac:dyDescent="0.25"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8"/>
      <c r="O4" s="14" t="s">
        <v>4</v>
      </c>
      <c r="P4" s="15"/>
      <c r="Q4" s="16"/>
      <c r="S4" s="9" t="s">
        <v>5</v>
      </c>
      <c r="T4" s="17">
        <v>119150</v>
      </c>
    </row>
    <row r="5" spans="2:28" ht="14.5" x14ac:dyDescent="0.35">
      <c r="B5" s="196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8"/>
      <c r="O5" s="14" t="s">
        <v>6</v>
      </c>
      <c r="P5" s="18" t="s">
        <v>7</v>
      </c>
      <c r="Q5" s="19">
        <f>648598+288953.2</f>
        <v>937551.2</v>
      </c>
      <c r="S5" s="9" t="s">
        <v>8</v>
      </c>
      <c r="T5" s="17">
        <v>27642</v>
      </c>
      <c r="V5" s="20"/>
      <c r="Y5" s="21"/>
    </row>
    <row r="6" spans="2:28" ht="15" thickBot="1" x14ac:dyDescent="0.4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O6" s="14" t="s">
        <v>9</v>
      </c>
      <c r="P6" s="18" t="s">
        <v>220</v>
      </c>
      <c r="Q6" s="16">
        <v>3527819.39</v>
      </c>
      <c r="S6" s="9" t="s">
        <v>10</v>
      </c>
      <c r="T6" s="77">
        <v>3603000.02</v>
      </c>
      <c r="V6" s="22"/>
      <c r="Y6" s="149"/>
      <c r="AB6" s="22"/>
    </row>
    <row r="7" spans="2:28" ht="13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0"/>
      <c r="O7" s="14" t="s">
        <v>11</v>
      </c>
      <c r="P7" s="25" t="s">
        <v>12</v>
      </c>
      <c r="Q7" s="19">
        <v>142356</v>
      </c>
      <c r="S7" s="9" t="s">
        <v>13</v>
      </c>
      <c r="T7" s="17">
        <f>Premisas!D11</f>
        <v>1043597.8118181818</v>
      </c>
      <c r="V7" s="20"/>
      <c r="Y7" s="149"/>
    </row>
    <row r="8" spans="2:28" ht="13" customHeight="1" x14ac:dyDescent="0.25">
      <c r="B8" s="26" t="s">
        <v>14</v>
      </c>
      <c r="C8" s="102"/>
      <c r="D8" s="24"/>
      <c r="E8" s="24"/>
      <c r="F8" s="24"/>
      <c r="G8" s="24"/>
      <c r="H8" s="24"/>
      <c r="I8" s="24"/>
      <c r="J8" s="24"/>
      <c r="K8" s="24"/>
      <c r="L8" s="24"/>
      <c r="M8" s="24"/>
      <c r="O8" s="14" t="s">
        <v>15</v>
      </c>
      <c r="P8" s="18" t="s">
        <v>181</v>
      </c>
      <c r="Q8" s="16">
        <v>328897.25</v>
      </c>
      <c r="S8" s="9" t="s">
        <v>16</v>
      </c>
      <c r="T8" s="17">
        <v>600000</v>
      </c>
    </row>
    <row r="9" spans="2:28" ht="13" customHeight="1" thickBot="1" x14ac:dyDescent="0.3">
      <c r="B9" s="26" t="s">
        <v>17</v>
      </c>
      <c r="C9" s="95"/>
      <c r="D9" s="24"/>
      <c r="E9" s="24"/>
      <c r="F9" s="24"/>
      <c r="G9" s="24"/>
      <c r="H9" s="24"/>
      <c r="I9" s="24"/>
      <c r="J9" s="24"/>
      <c r="K9" s="24"/>
      <c r="L9" s="24"/>
      <c r="M9" s="24"/>
      <c r="O9" s="27" t="s">
        <v>18</v>
      </c>
      <c r="P9" s="28"/>
      <c r="Q9" s="29">
        <v>0</v>
      </c>
      <c r="S9" s="9"/>
      <c r="T9" s="30">
        <v>25000000</v>
      </c>
      <c r="V9" s="31"/>
      <c r="W9" s="32"/>
      <c r="X9" s="150"/>
    </row>
    <row r="10" spans="2:28" ht="13.5" thickBot="1" x14ac:dyDescent="0.3">
      <c r="B10" s="26" t="s">
        <v>19</v>
      </c>
      <c r="C10" s="80"/>
      <c r="I10" s="3"/>
      <c r="P10" s="6" t="s">
        <v>20</v>
      </c>
      <c r="Q10" s="34">
        <f>Q2-Q3-Q4-Q5-Q6-Q7-Q8-Q9</f>
        <v>26146765.991818182</v>
      </c>
      <c r="S10" s="5" t="s">
        <v>21</v>
      </c>
      <c r="T10" s="17">
        <f>SUM(T2:T9)</f>
        <v>31083389.831818182</v>
      </c>
      <c r="V10" s="138"/>
      <c r="W10" s="32"/>
      <c r="X10" s="33"/>
      <c r="Z10" s="138"/>
    </row>
    <row r="11" spans="2:28" ht="13.5" thickBot="1" x14ac:dyDescent="0.3">
      <c r="I11" s="3"/>
    </row>
    <row r="12" spans="2:28" ht="26.5" thickBot="1" x14ac:dyDescent="0.3">
      <c r="B12" s="119" t="s">
        <v>22</v>
      </c>
      <c r="C12" s="120" t="s">
        <v>23</v>
      </c>
      <c r="E12" s="119" t="s">
        <v>24</v>
      </c>
      <c r="F12" s="121" t="s">
        <v>25</v>
      </c>
      <c r="G12" s="122" t="s">
        <v>26</v>
      </c>
      <c r="H12" s="123" t="s">
        <v>27</v>
      </c>
      <c r="I12" s="124" t="s">
        <v>28</v>
      </c>
      <c r="J12" s="121" t="s">
        <v>29</v>
      </c>
      <c r="K12" s="121" t="s">
        <v>30</v>
      </c>
      <c r="L12" s="120" t="s">
        <v>31</v>
      </c>
      <c r="M12" s="125"/>
      <c r="N12" s="180" t="s">
        <v>32</v>
      </c>
      <c r="O12" s="125"/>
      <c r="P12" s="126">
        <f>+Q10</f>
        <v>26146765.991818182</v>
      </c>
      <c r="Q12" s="127" t="s">
        <v>33</v>
      </c>
      <c r="S12" s="202" t="s">
        <v>239</v>
      </c>
      <c r="T12" s="203"/>
      <c r="V12" s="128" t="s">
        <v>34</v>
      </c>
      <c r="X12" s="202" t="s">
        <v>35</v>
      </c>
      <c r="Y12" s="203"/>
    </row>
    <row r="13" spans="2:28" ht="7" customHeight="1" thickBot="1" x14ac:dyDescent="0.3">
      <c r="I13" s="3"/>
      <c r="X13" s="5"/>
    </row>
    <row r="14" spans="2:28" x14ac:dyDescent="0.25">
      <c r="B14" s="160" t="s">
        <v>36</v>
      </c>
      <c r="C14" s="161" t="s">
        <v>198</v>
      </c>
      <c r="D14" s="94"/>
      <c r="E14" s="162">
        <v>211</v>
      </c>
      <c r="F14" s="163">
        <v>0.9</v>
      </c>
      <c r="G14" s="37">
        <v>1</v>
      </c>
      <c r="H14" s="38">
        <f t="shared" ref="H14:H85" si="0">ROUND(E14*G14*F14,2)</f>
        <v>189.9</v>
      </c>
      <c r="I14" s="36">
        <v>0</v>
      </c>
      <c r="J14" s="36">
        <v>1</v>
      </c>
      <c r="K14" s="36">
        <f t="shared" ref="K14:K84" si="1">ROUND(I14*J14,2)</f>
        <v>0</v>
      </c>
      <c r="L14" s="153">
        <f t="shared" ref="L14:L84" si="2">H14+K14</f>
        <v>189.9</v>
      </c>
      <c r="N14" s="181">
        <f t="shared" ref="N14:N77" si="3">ROUND((L14/$L$113)*100,4)</f>
        <v>2.3498000000000001</v>
      </c>
      <c r="P14" s="152">
        <f t="shared" ref="P14:P85" si="4">($P$12*N14)/100</f>
        <v>614396.70727574371</v>
      </c>
      <c r="Q14" s="154">
        <f t="shared" ref="Q14:Q85" si="5">P14/E14</f>
        <v>2911.8327359039986</v>
      </c>
      <c r="R14" s="2"/>
      <c r="S14" s="152">
        <v>558445.43407652364</v>
      </c>
      <c r="T14" s="154">
        <v>2646.6608250072209</v>
      </c>
      <c r="U14" s="2"/>
      <c r="V14" s="155">
        <f t="shared" ref="V14:V78" si="6">(P14/S14)-1</f>
        <v>0.10019111946316506</v>
      </c>
      <c r="W14" s="2"/>
      <c r="X14" s="152">
        <v>43179.58</v>
      </c>
      <c r="Y14" s="154">
        <f t="shared" ref="Y14:Y48" si="7">+P14-X14</f>
        <v>571217.12727574375</v>
      </c>
      <c r="Z14" s="4"/>
    </row>
    <row r="15" spans="2:28" x14ac:dyDescent="0.25">
      <c r="B15" s="96" t="s">
        <v>37</v>
      </c>
      <c r="C15" s="97" t="s">
        <v>38</v>
      </c>
      <c r="D15" s="98"/>
      <c r="E15" s="99">
        <f>140.4+64.1</f>
        <v>204.5</v>
      </c>
      <c r="F15" s="100">
        <v>1</v>
      </c>
      <c r="G15" s="39">
        <v>1</v>
      </c>
      <c r="H15" s="40">
        <f t="shared" si="0"/>
        <v>204.5</v>
      </c>
      <c r="I15" s="41">
        <v>0</v>
      </c>
      <c r="J15" s="41">
        <v>1</v>
      </c>
      <c r="K15" s="41">
        <f t="shared" si="1"/>
        <v>0</v>
      </c>
      <c r="L15" s="85">
        <f t="shared" si="2"/>
        <v>204.5</v>
      </c>
      <c r="N15" s="86">
        <f t="shared" si="3"/>
        <v>2.5304000000000002</v>
      </c>
      <c r="P15" s="84">
        <f t="shared" si="4"/>
        <v>661617.76665696735</v>
      </c>
      <c r="Q15" s="91">
        <f t="shared" si="5"/>
        <v>3235.2947024790578</v>
      </c>
      <c r="S15" s="84">
        <v>601366.21260840725</v>
      </c>
      <c r="T15" s="91">
        <v>2940.6660763247301</v>
      </c>
      <c r="V15" s="88">
        <f t="shared" si="6"/>
        <v>0.10019111946316506</v>
      </c>
      <c r="X15" s="84">
        <v>26671.86</v>
      </c>
      <c r="Y15" s="87">
        <f t="shared" si="7"/>
        <v>634945.90665696736</v>
      </c>
      <c r="Z15" s="4"/>
    </row>
    <row r="16" spans="2:28" x14ac:dyDescent="0.25">
      <c r="B16" s="96" t="s">
        <v>39</v>
      </c>
      <c r="C16" s="97" t="s">
        <v>40</v>
      </c>
      <c r="D16" s="98"/>
      <c r="E16" s="99">
        <v>81.3</v>
      </c>
      <c r="F16" s="100">
        <v>1</v>
      </c>
      <c r="G16" s="39">
        <v>1</v>
      </c>
      <c r="H16" s="40">
        <f t="shared" si="0"/>
        <v>81.3</v>
      </c>
      <c r="I16" s="41">
        <v>0</v>
      </c>
      <c r="J16" s="41">
        <v>1</v>
      </c>
      <c r="K16" s="41">
        <f t="shared" si="1"/>
        <v>0</v>
      </c>
      <c r="L16" s="85">
        <f t="shared" si="2"/>
        <v>81.3</v>
      </c>
      <c r="N16" s="86">
        <f t="shared" si="3"/>
        <v>1.006</v>
      </c>
      <c r="P16" s="84">
        <f t="shared" si="4"/>
        <v>263036.46587769093</v>
      </c>
      <c r="Q16" s="91">
        <f t="shared" si="5"/>
        <v>3235.3808841044397</v>
      </c>
      <c r="S16" s="84">
        <v>239082.52050429091</v>
      </c>
      <c r="T16" s="91">
        <v>2940.7444096468748</v>
      </c>
      <c r="V16" s="88">
        <f t="shared" si="6"/>
        <v>0.10019111946316506</v>
      </c>
      <c r="X16" s="84">
        <v>15444.87</v>
      </c>
      <c r="Y16" s="87">
        <f t="shared" si="7"/>
        <v>247591.59587769094</v>
      </c>
      <c r="Z16" s="4"/>
    </row>
    <row r="17" spans="1:26" x14ac:dyDescent="0.25">
      <c r="B17" s="96" t="s">
        <v>41</v>
      </c>
      <c r="C17" s="97" t="s">
        <v>42</v>
      </c>
      <c r="D17" s="98"/>
      <c r="E17" s="99">
        <v>56.6</v>
      </c>
      <c r="F17" s="100">
        <v>1</v>
      </c>
      <c r="G17" s="39">
        <v>1</v>
      </c>
      <c r="H17" s="40">
        <f t="shared" si="0"/>
        <v>56.6</v>
      </c>
      <c r="I17" s="41">
        <v>0</v>
      </c>
      <c r="J17" s="41">
        <v>1</v>
      </c>
      <c r="K17" s="41">
        <f t="shared" si="1"/>
        <v>0</v>
      </c>
      <c r="L17" s="85">
        <f t="shared" si="2"/>
        <v>56.6</v>
      </c>
      <c r="N17" s="86">
        <f t="shared" si="3"/>
        <v>0.70030000000000003</v>
      </c>
      <c r="P17" s="84">
        <f t="shared" si="4"/>
        <v>183105.80224070273</v>
      </c>
      <c r="Q17" s="91">
        <f t="shared" si="5"/>
        <v>3235.0848452420978</v>
      </c>
      <c r="S17" s="84">
        <v>166430.90368703275</v>
      </c>
      <c r="T17" s="91">
        <v>2940.4753301595892</v>
      </c>
      <c r="V17" s="88">
        <f t="shared" si="6"/>
        <v>0.10019111946316483</v>
      </c>
      <c r="X17" s="84">
        <v>10752.68</v>
      </c>
      <c r="Y17" s="87">
        <f t="shared" si="7"/>
        <v>172353.12224070274</v>
      </c>
      <c r="Z17" s="4"/>
    </row>
    <row r="18" spans="1:26" x14ac:dyDescent="0.25">
      <c r="A18" s="1" t="s">
        <v>230</v>
      </c>
      <c r="B18" s="96" t="s">
        <v>43</v>
      </c>
      <c r="C18" s="97" t="s">
        <v>129</v>
      </c>
      <c r="D18" s="98"/>
      <c r="E18" s="99">
        <v>24.35</v>
      </c>
      <c r="F18" s="100">
        <v>1</v>
      </c>
      <c r="G18" s="39">
        <v>1</v>
      </c>
      <c r="H18" s="40">
        <f t="shared" si="0"/>
        <v>24.35</v>
      </c>
      <c r="I18" s="41">
        <v>0</v>
      </c>
      <c r="J18" s="41">
        <v>1</v>
      </c>
      <c r="K18" s="41">
        <f t="shared" si="1"/>
        <v>0</v>
      </c>
      <c r="L18" s="85">
        <f t="shared" si="2"/>
        <v>24.35</v>
      </c>
      <c r="N18" s="86">
        <f t="shared" si="3"/>
        <v>0.30130000000000001</v>
      </c>
      <c r="P18" s="84">
        <f t="shared" si="4"/>
        <v>78780.205933348188</v>
      </c>
      <c r="Q18" s="91">
        <f t="shared" si="5"/>
        <v>3235.3267323756954</v>
      </c>
      <c r="S18" s="84">
        <v>71605.927860778189</v>
      </c>
      <c r="T18" s="91">
        <v>2940.6951893543401</v>
      </c>
      <c r="V18" s="88">
        <f t="shared" si="6"/>
        <v>0.10019111946316506</v>
      </c>
      <c r="X18" s="84">
        <v>4625.1400000000003</v>
      </c>
      <c r="Y18" s="87">
        <f t="shared" si="7"/>
        <v>74155.065933348189</v>
      </c>
      <c r="Z18" s="4"/>
    </row>
    <row r="19" spans="1:26" x14ac:dyDescent="0.25">
      <c r="B19" s="96" t="s">
        <v>44</v>
      </c>
      <c r="C19" s="97" t="s">
        <v>45</v>
      </c>
      <c r="D19" s="98"/>
      <c r="E19" s="99">
        <v>55.25</v>
      </c>
      <c r="F19" s="100">
        <v>1</v>
      </c>
      <c r="G19" s="39">
        <v>1</v>
      </c>
      <c r="H19" s="40">
        <f t="shared" si="0"/>
        <v>55.25</v>
      </c>
      <c r="I19" s="41">
        <v>0</v>
      </c>
      <c r="J19" s="41">
        <v>1</v>
      </c>
      <c r="K19" s="41">
        <f t="shared" si="1"/>
        <v>0</v>
      </c>
      <c r="L19" s="85">
        <f t="shared" si="2"/>
        <v>55.25</v>
      </c>
      <c r="N19" s="86">
        <f t="shared" si="3"/>
        <v>0.68359999999999999</v>
      </c>
      <c r="P19" s="84">
        <f t="shared" si="4"/>
        <v>178739.29232006907</v>
      </c>
      <c r="Q19" s="87">
        <f t="shared" si="5"/>
        <v>3235.1003134854132</v>
      </c>
      <c r="S19" s="84">
        <v>162462.03878402908</v>
      </c>
      <c r="T19" s="87">
        <v>2940.4893897561824</v>
      </c>
      <c r="V19" s="88">
        <f t="shared" si="6"/>
        <v>0.10019111946316483</v>
      </c>
      <c r="X19" s="84">
        <v>10495.66</v>
      </c>
      <c r="Y19" s="87">
        <f t="shared" si="7"/>
        <v>168243.63232006907</v>
      </c>
      <c r="Z19" s="4"/>
    </row>
    <row r="20" spans="1:26" x14ac:dyDescent="0.25">
      <c r="B20" s="101" t="s">
        <v>46</v>
      </c>
      <c r="C20" s="97" t="s">
        <v>123</v>
      </c>
      <c r="D20" s="98"/>
      <c r="E20" s="99">
        <v>48.9</v>
      </c>
      <c r="F20" s="100">
        <v>1</v>
      </c>
      <c r="G20" s="39">
        <v>1</v>
      </c>
      <c r="H20" s="40">
        <f t="shared" si="0"/>
        <v>48.9</v>
      </c>
      <c r="I20" s="41">
        <v>0</v>
      </c>
      <c r="J20" s="41">
        <v>1</v>
      </c>
      <c r="K20" s="41">
        <f t="shared" si="1"/>
        <v>0</v>
      </c>
      <c r="L20" s="85">
        <f t="shared" si="2"/>
        <v>48.9</v>
      </c>
      <c r="N20" s="86">
        <f t="shared" si="3"/>
        <v>0.60509999999999997</v>
      </c>
      <c r="P20" s="84">
        <f t="shared" si="4"/>
        <v>158214.08101649181</v>
      </c>
      <c r="Q20" s="87">
        <f t="shared" si="5"/>
        <v>3235.4617794783603</v>
      </c>
      <c r="S20" s="84">
        <v>143805.99717410179</v>
      </c>
      <c r="T20" s="87">
        <v>2940.817938120691</v>
      </c>
      <c r="V20" s="88">
        <f t="shared" si="6"/>
        <v>0.10019111946316506</v>
      </c>
      <c r="X20" s="84">
        <v>9290.02</v>
      </c>
      <c r="Y20" s="87">
        <f t="shared" si="7"/>
        <v>148924.06101649182</v>
      </c>
      <c r="Z20" s="4"/>
    </row>
    <row r="21" spans="1:26" x14ac:dyDescent="0.25">
      <c r="B21" s="101" t="s">
        <v>47</v>
      </c>
      <c r="C21" s="97" t="s">
        <v>123</v>
      </c>
      <c r="D21" s="98"/>
      <c r="E21" s="99">
        <v>48.7</v>
      </c>
      <c r="F21" s="100">
        <v>1</v>
      </c>
      <c r="G21" s="39">
        <v>1</v>
      </c>
      <c r="H21" s="40">
        <f t="shared" si="0"/>
        <v>48.7</v>
      </c>
      <c r="I21" s="41">
        <v>0</v>
      </c>
      <c r="J21" s="41">
        <v>1</v>
      </c>
      <c r="K21" s="41">
        <f t="shared" si="1"/>
        <v>0</v>
      </c>
      <c r="L21" s="85">
        <f t="shared" si="2"/>
        <v>48.7</v>
      </c>
      <c r="N21" s="86">
        <f t="shared" si="3"/>
        <v>0.60260000000000002</v>
      </c>
      <c r="P21" s="84">
        <f t="shared" si="4"/>
        <v>157560.41186669638</v>
      </c>
      <c r="Q21" s="87">
        <f t="shared" si="5"/>
        <v>3235.3267323756954</v>
      </c>
      <c r="S21" s="84">
        <v>143211.85572155638</v>
      </c>
      <c r="T21" s="87">
        <v>2940.6951893543401</v>
      </c>
      <c r="V21" s="88">
        <f t="shared" si="6"/>
        <v>0.10019111946316506</v>
      </c>
      <c r="X21" s="84">
        <v>9251.5300000000007</v>
      </c>
      <c r="Y21" s="87">
        <f t="shared" si="7"/>
        <v>148308.88186669638</v>
      </c>
      <c r="Z21" s="4"/>
    </row>
    <row r="22" spans="1:26" x14ac:dyDescent="0.25">
      <c r="B22" s="101" t="s">
        <v>48</v>
      </c>
      <c r="C22" s="97" t="s">
        <v>124</v>
      </c>
      <c r="D22" s="98"/>
      <c r="E22" s="99">
        <v>43.65</v>
      </c>
      <c r="F22" s="100">
        <v>1</v>
      </c>
      <c r="G22" s="39">
        <v>1</v>
      </c>
      <c r="H22" s="40">
        <f t="shared" si="0"/>
        <v>43.65</v>
      </c>
      <c r="I22" s="41">
        <v>0</v>
      </c>
      <c r="J22" s="41">
        <v>1</v>
      </c>
      <c r="K22" s="41">
        <f t="shared" si="1"/>
        <v>0</v>
      </c>
      <c r="L22" s="85">
        <f t="shared" si="2"/>
        <v>43.65</v>
      </c>
      <c r="N22" s="86">
        <f t="shared" si="3"/>
        <v>0.54010000000000002</v>
      </c>
      <c r="P22" s="84">
        <f t="shared" si="4"/>
        <v>141218.68312181003</v>
      </c>
      <c r="Q22" s="87">
        <f t="shared" si="5"/>
        <v>3235.2504724355103</v>
      </c>
      <c r="S22" s="84">
        <v>128358.31940792</v>
      </c>
      <c r="T22" s="87">
        <v>2940.6258741791526</v>
      </c>
      <c r="V22" s="88">
        <f t="shared" si="6"/>
        <v>0.10019111946316506</v>
      </c>
      <c r="X22" s="84">
        <v>8291.73</v>
      </c>
      <c r="Y22" s="87">
        <f t="shared" si="7"/>
        <v>132926.95312181002</v>
      </c>
      <c r="Z22" s="4"/>
    </row>
    <row r="23" spans="1:26" x14ac:dyDescent="0.25">
      <c r="B23" s="96" t="s">
        <v>49</v>
      </c>
      <c r="C23" s="97" t="s">
        <v>51</v>
      </c>
      <c r="D23" s="98"/>
      <c r="E23" s="99">
        <v>44.85</v>
      </c>
      <c r="F23" s="100">
        <v>1</v>
      </c>
      <c r="G23" s="39">
        <v>1</v>
      </c>
      <c r="H23" s="40">
        <f t="shared" si="0"/>
        <v>44.85</v>
      </c>
      <c r="I23" s="41">
        <v>0</v>
      </c>
      <c r="J23" s="41">
        <v>1</v>
      </c>
      <c r="K23" s="41">
        <f t="shared" si="1"/>
        <v>0</v>
      </c>
      <c r="L23" s="85">
        <f t="shared" si="2"/>
        <v>44.85</v>
      </c>
      <c r="N23" s="86">
        <f t="shared" si="3"/>
        <v>0.55500000000000005</v>
      </c>
      <c r="P23" s="84">
        <f t="shared" si="4"/>
        <v>145114.55125459092</v>
      </c>
      <c r="Q23" s="87">
        <f t="shared" si="5"/>
        <v>3235.552982265126</v>
      </c>
      <c r="R23" s="92"/>
      <c r="S23" s="84">
        <v>131899.40246509091</v>
      </c>
      <c r="T23" s="87">
        <v>2940.900835342049</v>
      </c>
      <c r="U23" s="92"/>
      <c r="V23" s="88">
        <f t="shared" si="6"/>
        <v>0.10019111946316506</v>
      </c>
      <c r="W23" s="92"/>
      <c r="X23" s="84">
        <v>8520.19</v>
      </c>
      <c r="Y23" s="87">
        <f t="shared" si="7"/>
        <v>136594.36125459091</v>
      </c>
      <c r="Z23" s="4"/>
    </row>
    <row r="24" spans="1:26" x14ac:dyDescent="0.25">
      <c r="B24" s="96" t="s">
        <v>50</v>
      </c>
      <c r="C24" s="97" t="s">
        <v>51</v>
      </c>
      <c r="D24" s="98"/>
      <c r="E24" s="99">
        <v>55.65</v>
      </c>
      <c r="F24" s="100">
        <v>1</v>
      </c>
      <c r="G24" s="39">
        <v>1</v>
      </c>
      <c r="H24" s="40">
        <f t="shared" si="0"/>
        <v>55.65</v>
      </c>
      <c r="I24" s="41">
        <v>0</v>
      </c>
      <c r="J24" s="41">
        <v>1</v>
      </c>
      <c r="K24" s="41">
        <f t="shared" si="1"/>
        <v>0</v>
      </c>
      <c r="L24" s="85">
        <f t="shared" si="2"/>
        <v>55.65</v>
      </c>
      <c r="N24" s="86">
        <f t="shared" si="3"/>
        <v>0.68859999999999999</v>
      </c>
      <c r="P24" s="84">
        <f t="shared" si="4"/>
        <v>180046.63061965999</v>
      </c>
      <c r="Q24" s="87">
        <f t="shared" si="5"/>
        <v>3235.3392743874215</v>
      </c>
      <c r="S24" s="84">
        <v>163650.32168912</v>
      </c>
      <c r="T24" s="87">
        <v>2940.7065892025157</v>
      </c>
      <c r="V24" s="88">
        <f t="shared" si="6"/>
        <v>0.10019111946316483</v>
      </c>
      <c r="X24" s="84">
        <v>10571.4</v>
      </c>
      <c r="Y24" s="87">
        <f t="shared" si="7"/>
        <v>169475.23061966</v>
      </c>
      <c r="Z24" s="4"/>
    </row>
    <row r="25" spans="1:26" x14ac:dyDescent="0.25">
      <c r="B25" s="101" t="s">
        <v>52</v>
      </c>
      <c r="C25" s="97" t="s">
        <v>53</v>
      </c>
      <c r="D25" s="98"/>
      <c r="E25" s="99">
        <v>55.65</v>
      </c>
      <c r="F25" s="100">
        <v>1</v>
      </c>
      <c r="G25" s="39">
        <v>1</v>
      </c>
      <c r="H25" s="40">
        <f t="shared" si="0"/>
        <v>55.65</v>
      </c>
      <c r="I25" s="41">
        <v>0</v>
      </c>
      <c r="J25" s="41">
        <v>1</v>
      </c>
      <c r="K25" s="41">
        <f t="shared" si="1"/>
        <v>0</v>
      </c>
      <c r="L25" s="85">
        <f t="shared" si="2"/>
        <v>55.65</v>
      </c>
      <c r="M25" s="80"/>
      <c r="N25" s="86">
        <f t="shared" si="3"/>
        <v>0.68859999999999999</v>
      </c>
      <c r="O25" s="80"/>
      <c r="P25" s="84">
        <f t="shared" si="4"/>
        <v>180046.63061965999</v>
      </c>
      <c r="Q25" s="87">
        <f t="shared" si="5"/>
        <v>3235.3392743874215</v>
      </c>
      <c r="S25" s="84">
        <v>163650.32168912</v>
      </c>
      <c r="T25" s="87">
        <v>2940.7065892025157</v>
      </c>
      <c r="V25" s="88">
        <f t="shared" si="6"/>
        <v>0.10019111946316483</v>
      </c>
      <c r="X25" s="84">
        <v>10571.4</v>
      </c>
      <c r="Y25" s="87">
        <f t="shared" si="7"/>
        <v>169475.23061966</v>
      </c>
      <c r="Z25" s="4"/>
    </row>
    <row r="26" spans="1:26" x14ac:dyDescent="0.25">
      <c r="B26" s="101" t="s">
        <v>54</v>
      </c>
      <c r="C26" s="97" t="s">
        <v>55</v>
      </c>
      <c r="D26" s="98"/>
      <c r="E26" s="103">
        <f>44.85+43.5</f>
        <v>88.35</v>
      </c>
      <c r="F26" s="100">
        <v>1</v>
      </c>
      <c r="G26" s="39">
        <v>1</v>
      </c>
      <c r="H26" s="40">
        <f t="shared" si="0"/>
        <v>88.35</v>
      </c>
      <c r="I26" s="41">
        <v>0</v>
      </c>
      <c r="J26" s="41">
        <v>1</v>
      </c>
      <c r="K26" s="41">
        <f t="shared" si="1"/>
        <v>0</v>
      </c>
      <c r="L26" s="85">
        <f t="shared" si="2"/>
        <v>88.35</v>
      </c>
      <c r="N26" s="86">
        <f t="shared" si="3"/>
        <v>1.0931999999999999</v>
      </c>
      <c r="P26" s="84">
        <f t="shared" si="4"/>
        <v>285836.44582255633</v>
      </c>
      <c r="Q26" s="87">
        <f t="shared" si="5"/>
        <v>3235.2738633000154</v>
      </c>
      <c r="S26" s="84">
        <v>259806.17436907635</v>
      </c>
      <c r="T26" s="87">
        <v>2940.6471349074859</v>
      </c>
      <c r="V26" s="88">
        <f t="shared" si="6"/>
        <v>0.10019111946316483</v>
      </c>
      <c r="X26" s="84">
        <v>16783.37</v>
      </c>
      <c r="Y26" s="87">
        <f t="shared" si="7"/>
        <v>269053.07582255633</v>
      </c>
      <c r="Z26" s="4"/>
    </row>
    <row r="27" spans="1:26" x14ac:dyDescent="0.25">
      <c r="B27" s="78" t="s">
        <v>211</v>
      </c>
      <c r="C27" s="79" t="s">
        <v>45</v>
      </c>
      <c r="D27" s="80"/>
      <c r="E27" s="81">
        <v>52.8</v>
      </c>
      <c r="F27" s="82">
        <v>1</v>
      </c>
      <c r="G27" s="166">
        <v>1</v>
      </c>
      <c r="H27" s="167">
        <f t="shared" si="0"/>
        <v>52.8</v>
      </c>
      <c r="I27" s="82">
        <v>0</v>
      </c>
      <c r="J27" s="82">
        <v>1</v>
      </c>
      <c r="K27" s="82">
        <v>0</v>
      </c>
      <c r="L27" s="168">
        <f t="shared" si="2"/>
        <v>52.8</v>
      </c>
      <c r="N27" s="86">
        <f t="shared" si="3"/>
        <v>0.65329999999999999</v>
      </c>
      <c r="P27" s="169">
        <f t="shared" si="4"/>
        <v>170816.8222245482</v>
      </c>
      <c r="Q27" s="170">
        <f t="shared" si="5"/>
        <v>3235.1670875861405</v>
      </c>
      <c r="R27" s="80"/>
      <c r="S27" s="169">
        <v>155261.04437917817</v>
      </c>
      <c r="T27" s="170">
        <v>2940.5500829389807</v>
      </c>
      <c r="U27" s="80"/>
      <c r="V27" s="171">
        <f t="shared" si="6"/>
        <v>0.10019111946316528</v>
      </c>
      <c r="W27" s="80"/>
      <c r="X27" s="169">
        <v>16783.37</v>
      </c>
      <c r="Y27" s="170">
        <f t="shared" si="7"/>
        <v>154033.45222454821</v>
      </c>
      <c r="Z27" s="4"/>
    </row>
    <row r="28" spans="1:26" x14ac:dyDescent="0.25">
      <c r="B28" s="101" t="s">
        <v>212</v>
      </c>
      <c r="C28" s="97" t="s">
        <v>208</v>
      </c>
      <c r="D28" s="98"/>
      <c r="E28" s="103">
        <v>133.85</v>
      </c>
      <c r="F28" s="100">
        <v>1</v>
      </c>
      <c r="G28" s="39">
        <v>1</v>
      </c>
      <c r="H28" s="40">
        <f t="shared" si="0"/>
        <v>133.85</v>
      </c>
      <c r="I28" s="41">
        <v>0</v>
      </c>
      <c r="J28" s="41">
        <v>1</v>
      </c>
      <c r="K28" s="41">
        <f t="shared" si="1"/>
        <v>0</v>
      </c>
      <c r="L28" s="85">
        <f t="shared" si="2"/>
        <v>133.85</v>
      </c>
      <c r="M28" s="80"/>
      <c r="N28" s="86">
        <f t="shared" si="3"/>
        <v>1.6561999999999999</v>
      </c>
      <c r="O28" s="80"/>
      <c r="P28" s="84">
        <f t="shared" si="4"/>
        <v>433042.73835649266</v>
      </c>
      <c r="Q28" s="87">
        <f t="shared" si="5"/>
        <v>3235.2838128987128</v>
      </c>
      <c r="S28" s="84">
        <v>393606.82948231272</v>
      </c>
      <c r="T28" s="87">
        <v>2940.6561784259452</v>
      </c>
      <c r="V28" s="88">
        <f t="shared" si="6"/>
        <v>0.10019111946316483</v>
      </c>
      <c r="X28" s="84">
        <v>31563.96</v>
      </c>
      <c r="Y28" s="87">
        <f t="shared" si="7"/>
        <v>401478.77835649264</v>
      </c>
      <c r="Z28" s="4"/>
    </row>
    <row r="29" spans="1:26" x14ac:dyDescent="0.25">
      <c r="B29" s="101" t="s">
        <v>56</v>
      </c>
      <c r="C29" s="97" t="s">
        <v>57</v>
      </c>
      <c r="D29" s="98"/>
      <c r="E29" s="103">
        <v>232.05</v>
      </c>
      <c r="F29" s="100">
        <v>1</v>
      </c>
      <c r="G29" s="39">
        <v>1</v>
      </c>
      <c r="H29" s="40">
        <f t="shared" si="0"/>
        <v>232.05</v>
      </c>
      <c r="I29" s="41">
        <v>0</v>
      </c>
      <c r="J29" s="41">
        <v>1</v>
      </c>
      <c r="K29" s="41">
        <f t="shared" si="1"/>
        <v>0</v>
      </c>
      <c r="L29" s="85">
        <f t="shared" si="2"/>
        <v>232.05</v>
      </c>
      <c r="N29" s="86">
        <f t="shared" si="3"/>
        <v>2.8713000000000002</v>
      </c>
      <c r="P29" s="84">
        <f t="shared" si="4"/>
        <v>750752.0919230755</v>
      </c>
      <c r="Q29" s="87">
        <f t="shared" si="5"/>
        <v>3235.3031326139862</v>
      </c>
      <c r="S29" s="84">
        <v>682383.34107750549</v>
      </c>
      <c r="T29" s="87">
        <v>2940.6737387524477</v>
      </c>
      <c r="V29" s="88">
        <f t="shared" si="6"/>
        <v>0.10019111946316506</v>
      </c>
      <c r="X29" s="84">
        <v>44082.26</v>
      </c>
      <c r="Y29" s="87">
        <f t="shared" si="7"/>
        <v>706669.83192307549</v>
      </c>
      <c r="Z29" s="4"/>
    </row>
    <row r="30" spans="1:26" x14ac:dyDescent="0.25">
      <c r="B30" s="101" t="s">
        <v>58</v>
      </c>
      <c r="C30" s="97" t="s">
        <v>59</v>
      </c>
      <c r="D30" s="98"/>
      <c r="E30" s="103">
        <f>69.8+54.8</f>
        <v>124.6</v>
      </c>
      <c r="F30" s="100">
        <v>1</v>
      </c>
      <c r="G30" s="39">
        <v>1</v>
      </c>
      <c r="H30" s="40">
        <f t="shared" si="0"/>
        <v>124.6</v>
      </c>
      <c r="I30" s="41">
        <v>0</v>
      </c>
      <c r="J30" s="41">
        <v>1</v>
      </c>
      <c r="K30" s="41">
        <f t="shared" si="1"/>
        <v>0</v>
      </c>
      <c r="L30" s="85">
        <f t="shared" si="2"/>
        <v>124.6</v>
      </c>
      <c r="N30" s="86">
        <f t="shared" si="3"/>
        <v>1.5418000000000001</v>
      </c>
      <c r="P30" s="84">
        <f t="shared" si="4"/>
        <v>403130.83806185273</v>
      </c>
      <c r="Q30" s="87">
        <f t="shared" si="5"/>
        <v>3235.3999844450464</v>
      </c>
      <c r="S30" s="84">
        <v>366418.9166138327</v>
      </c>
      <c r="T30" s="87">
        <v>2940.7617705765065</v>
      </c>
      <c r="V30" s="88">
        <f t="shared" si="6"/>
        <v>0.10019111946316506</v>
      </c>
      <c r="X30" s="84">
        <v>23670.79</v>
      </c>
      <c r="Y30" s="87">
        <f t="shared" si="7"/>
        <v>379460.04806185275</v>
      </c>
      <c r="Z30" s="4"/>
    </row>
    <row r="31" spans="1:26" x14ac:dyDescent="0.25">
      <c r="B31" s="96" t="s">
        <v>60</v>
      </c>
      <c r="C31" s="97" t="s">
        <v>61</v>
      </c>
      <c r="D31" s="98"/>
      <c r="E31" s="103">
        <v>89.65</v>
      </c>
      <c r="F31" s="100">
        <v>1</v>
      </c>
      <c r="G31" s="39">
        <v>1</v>
      </c>
      <c r="H31" s="40">
        <f t="shared" si="0"/>
        <v>89.65</v>
      </c>
      <c r="I31" s="41">
        <v>0</v>
      </c>
      <c r="J31" s="41">
        <v>1</v>
      </c>
      <c r="K31" s="41">
        <f t="shared" si="1"/>
        <v>0</v>
      </c>
      <c r="L31" s="85">
        <f t="shared" si="2"/>
        <v>89.65</v>
      </c>
      <c r="N31" s="86">
        <f t="shared" si="3"/>
        <v>1.1093</v>
      </c>
      <c r="P31" s="84">
        <f t="shared" si="4"/>
        <v>290046.07514723908</v>
      </c>
      <c r="Q31" s="87">
        <f t="shared" si="5"/>
        <v>3235.315952562622</v>
      </c>
      <c r="S31" s="84">
        <v>263632.44532346906</v>
      </c>
      <c r="T31" s="87">
        <v>2940.6853912266483</v>
      </c>
      <c r="V31" s="88">
        <f t="shared" si="6"/>
        <v>0.10019111946316506</v>
      </c>
      <c r="X31" s="84">
        <v>17030.46</v>
      </c>
      <c r="Y31" s="87">
        <f t="shared" si="7"/>
        <v>273015.61514723906</v>
      </c>
      <c r="Z31" s="4"/>
    </row>
    <row r="32" spans="1:26" x14ac:dyDescent="0.25">
      <c r="B32" s="96" t="s">
        <v>62</v>
      </c>
      <c r="C32" s="97" t="s">
        <v>213</v>
      </c>
      <c r="D32" s="98"/>
      <c r="E32" s="103">
        <v>57.85</v>
      </c>
      <c r="F32" s="100">
        <v>1</v>
      </c>
      <c r="G32" s="39">
        <v>1</v>
      </c>
      <c r="H32" s="40">
        <f t="shared" si="0"/>
        <v>57.85</v>
      </c>
      <c r="I32" s="41">
        <v>0</v>
      </c>
      <c r="J32" s="41">
        <v>1</v>
      </c>
      <c r="K32" s="41">
        <f t="shared" si="1"/>
        <v>0</v>
      </c>
      <c r="L32" s="85">
        <f t="shared" si="2"/>
        <v>57.85</v>
      </c>
      <c r="N32" s="86">
        <f t="shared" si="3"/>
        <v>0.71579999999999999</v>
      </c>
      <c r="P32" s="84">
        <f t="shared" si="4"/>
        <v>187158.55096943452</v>
      </c>
      <c r="Q32" s="87">
        <f t="shared" si="5"/>
        <v>3235.2385647266124</v>
      </c>
      <c r="S32" s="84">
        <v>170114.58069281455</v>
      </c>
      <c r="T32" s="87">
        <v>2940.6150508697415</v>
      </c>
      <c r="V32" s="88">
        <f t="shared" si="6"/>
        <v>0.10019111946316483</v>
      </c>
      <c r="X32" s="84">
        <v>10989.83</v>
      </c>
      <c r="Y32" s="87">
        <f t="shared" si="7"/>
        <v>176168.72096943454</v>
      </c>
      <c r="Z32" s="4"/>
    </row>
    <row r="33" spans="2:26" x14ac:dyDescent="0.25">
      <c r="B33" s="101" t="s">
        <v>63</v>
      </c>
      <c r="C33" s="97" t="s">
        <v>125</v>
      </c>
      <c r="D33" s="98"/>
      <c r="E33" s="103">
        <v>51.5</v>
      </c>
      <c r="F33" s="100">
        <v>1</v>
      </c>
      <c r="G33" s="39">
        <v>1</v>
      </c>
      <c r="H33" s="40">
        <f t="shared" si="0"/>
        <v>51.5</v>
      </c>
      <c r="I33" s="41">
        <v>0</v>
      </c>
      <c r="J33" s="41">
        <v>1</v>
      </c>
      <c r="K33" s="41">
        <f t="shared" si="1"/>
        <v>0</v>
      </c>
      <c r="L33" s="85">
        <f t="shared" si="2"/>
        <v>51.5</v>
      </c>
      <c r="N33" s="86">
        <f t="shared" si="3"/>
        <v>0.63719999999999999</v>
      </c>
      <c r="P33" s="84">
        <f t="shared" si="4"/>
        <v>166607.19289986545</v>
      </c>
      <c r="Q33" s="87">
        <f t="shared" si="5"/>
        <v>3235.0911242692318</v>
      </c>
      <c r="S33" s="84">
        <v>151434.77342478547</v>
      </c>
      <c r="T33" s="87">
        <v>2940.4810373744749</v>
      </c>
      <c r="V33" s="88">
        <f t="shared" si="6"/>
        <v>0.10019111946316483</v>
      </c>
      <c r="X33" s="84">
        <v>9782.9500000000007</v>
      </c>
      <c r="Y33" s="87">
        <f t="shared" si="7"/>
        <v>156824.24289986544</v>
      </c>
      <c r="Z33" s="4"/>
    </row>
    <row r="34" spans="2:26" x14ac:dyDescent="0.25">
      <c r="B34" s="101" t="s">
        <v>64</v>
      </c>
      <c r="C34" s="104" t="s">
        <v>163</v>
      </c>
      <c r="D34" s="98"/>
      <c r="E34" s="103">
        <v>49.85</v>
      </c>
      <c r="F34" s="100">
        <v>1</v>
      </c>
      <c r="G34" s="39">
        <v>1</v>
      </c>
      <c r="H34" s="40">
        <f t="shared" si="0"/>
        <v>49.85</v>
      </c>
      <c r="I34" s="41">
        <v>0</v>
      </c>
      <c r="J34" s="41">
        <v>1</v>
      </c>
      <c r="K34" s="41">
        <f t="shared" si="1"/>
        <v>0</v>
      </c>
      <c r="L34" s="85">
        <f t="shared" si="2"/>
        <v>49.85</v>
      </c>
      <c r="N34" s="86">
        <f t="shared" si="3"/>
        <v>0.61680000000000001</v>
      </c>
      <c r="P34" s="84">
        <f t="shared" si="4"/>
        <v>161273.25263753455</v>
      </c>
      <c r="Q34" s="87">
        <f t="shared" si="5"/>
        <v>3235.1705644440231</v>
      </c>
      <c r="S34" s="84">
        <v>146586.57917201455</v>
      </c>
      <c r="T34" s="87">
        <v>2940.5532431698002</v>
      </c>
      <c r="V34" s="88">
        <f t="shared" si="6"/>
        <v>0.10019111946316506</v>
      </c>
      <c r="X34" s="84">
        <v>9470.06</v>
      </c>
      <c r="Y34" s="87">
        <f t="shared" si="7"/>
        <v>151803.19263753455</v>
      </c>
      <c r="Z34" s="4"/>
    </row>
    <row r="35" spans="2:26" x14ac:dyDescent="0.25">
      <c r="B35" s="101" t="s">
        <v>65</v>
      </c>
      <c r="C35" s="104" t="s">
        <v>183</v>
      </c>
      <c r="D35" s="98"/>
      <c r="E35" s="103">
        <v>75.400000000000006</v>
      </c>
      <c r="F35" s="100">
        <v>1</v>
      </c>
      <c r="G35" s="39">
        <v>1</v>
      </c>
      <c r="H35" s="40">
        <f t="shared" si="0"/>
        <v>75.400000000000006</v>
      </c>
      <c r="I35" s="41">
        <v>0</v>
      </c>
      <c r="J35" s="41">
        <v>1</v>
      </c>
      <c r="K35" s="41">
        <f>ROUND(I35*J35,2)</f>
        <v>0</v>
      </c>
      <c r="L35" s="85">
        <f>H35+K35</f>
        <v>75.400000000000006</v>
      </c>
      <c r="N35" s="86">
        <f t="shared" si="3"/>
        <v>0.93300000000000005</v>
      </c>
      <c r="P35" s="84">
        <f t="shared" si="4"/>
        <v>243949.32670366365</v>
      </c>
      <c r="Q35" s="87">
        <f t="shared" si="5"/>
        <v>3235.4022109239208</v>
      </c>
      <c r="S35" s="84">
        <v>221733.59008996363</v>
      </c>
      <c r="T35" s="87">
        <v>2940.7637942965998</v>
      </c>
      <c r="V35" s="88">
        <f t="shared" si="6"/>
        <v>0.10019111946316506</v>
      </c>
      <c r="X35" s="84">
        <v>14322.66</v>
      </c>
      <c r="Y35" s="87">
        <f t="shared" si="7"/>
        <v>229626.66670366365</v>
      </c>
      <c r="Z35" s="4"/>
    </row>
    <row r="36" spans="2:26" x14ac:dyDescent="0.25">
      <c r="B36" s="101" t="s">
        <v>66</v>
      </c>
      <c r="C36" s="104" t="s">
        <v>126</v>
      </c>
      <c r="D36" s="98"/>
      <c r="E36" s="103">
        <v>45.15</v>
      </c>
      <c r="F36" s="100">
        <v>1</v>
      </c>
      <c r="G36" s="39">
        <v>1</v>
      </c>
      <c r="H36" s="40">
        <f t="shared" si="0"/>
        <v>45.15</v>
      </c>
      <c r="I36" s="41">
        <v>0</v>
      </c>
      <c r="J36" s="41">
        <v>1</v>
      </c>
      <c r="K36" s="41">
        <f t="shared" si="1"/>
        <v>0</v>
      </c>
      <c r="L36" s="85">
        <f t="shared" si="2"/>
        <v>45.15</v>
      </c>
      <c r="N36" s="86">
        <f t="shared" si="3"/>
        <v>0.55869999999999997</v>
      </c>
      <c r="P36" s="84">
        <f t="shared" si="4"/>
        <v>146081.98159628818</v>
      </c>
      <c r="Q36" s="87">
        <f t="shared" si="5"/>
        <v>3235.4813199620862</v>
      </c>
      <c r="S36" s="84">
        <v>132778.73181485815</v>
      </c>
      <c r="T36" s="87">
        <v>2940.8356991109226</v>
      </c>
      <c r="V36" s="88">
        <f t="shared" si="6"/>
        <v>0.10019111946316528</v>
      </c>
      <c r="X36" s="84">
        <v>8577.31</v>
      </c>
      <c r="Y36" s="87">
        <f t="shared" si="7"/>
        <v>137504.67159628819</v>
      </c>
      <c r="Z36" s="4"/>
    </row>
    <row r="37" spans="2:26" x14ac:dyDescent="0.25">
      <c r="B37" s="96" t="s">
        <v>68</v>
      </c>
      <c r="C37" s="97" t="s">
        <v>224</v>
      </c>
      <c r="D37" s="98"/>
      <c r="E37" s="103">
        <v>43.85</v>
      </c>
      <c r="F37" s="100">
        <v>1</v>
      </c>
      <c r="G37" s="39">
        <v>1</v>
      </c>
      <c r="H37" s="40">
        <f t="shared" si="0"/>
        <v>43.85</v>
      </c>
      <c r="I37" s="41">
        <v>0</v>
      </c>
      <c r="J37" s="41">
        <v>1</v>
      </c>
      <c r="K37" s="41">
        <f t="shared" si="1"/>
        <v>0</v>
      </c>
      <c r="L37" s="85">
        <f t="shared" si="2"/>
        <v>43.85</v>
      </c>
      <c r="N37" s="86">
        <f t="shared" si="3"/>
        <v>0.54259999999999997</v>
      </c>
      <c r="P37" s="84">
        <f t="shared" si="4"/>
        <v>141872.35227160546</v>
      </c>
      <c r="Q37" s="87">
        <f t="shared" si="5"/>
        <v>3235.4014201050272</v>
      </c>
      <c r="S37" s="84">
        <v>128952.46086046545</v>
      </c>
      <c r="T37" s="87">
        <v>2940.7630754952211</v>
      </c>
      <c r="V37" s="88">
        <f t="shared" si="6"/>
        <v>0.10019111946316506</v>
      </c>
      <c r="X37" s="84">
        <v>8330.2199999999993</v>
      </c>
      <c r="Y37" s="87">
        <f t="shared" si="7"/>
        <v>133542.13227160546</v>
      </c>
      <c r="Z37" s="4"/>
    </row>
    <row r="38" spans="2:26" x14ac:dyDescent="0.25">
      <c r="B38" s="101" t="s">
        <v>69</v>
      </c>
      <c r="C38" s="97" t="s">
        <v>225</v>
      </c>
      <c r="D38" s="98"/>
      <c r="E38" s="103">
        <v>55.4</v>
      </c>
      <c r="F38" s="100">
        <v>1</v>
      </c>
      <c r="G38" s="39">
        <v>1</v>
      </c>
      <c r="H38" s="40">
        <f t="shared" si="0"/>
        <v>55.4</v>
      </c>
      <c r="I38" s="41">
        <v>0</v>
      </c>
      <c r="J38" s="41">
        <v>1</v>
      </c>
      <c r="K38" s="41">
        <f t="shared" si="1"/>
        <v>0</v>
      </c>
      <c r="L38" s="85">
        <f t="shared" si="2"/>
        <v>55.4</v>
      </c>
      <c r="N38" s="86">
        <f t="shared" si="3"/>
        <v>0.6855</v>
      </c>
      <c r="P38" s="84">
        <f t="shared" si="4"/>
        <v>179236.08087391366</v>
      </c>
      <c r="Q38" s="87">
        <f t="shared" si="5"/>
        <v>3235.3083190237121</v>
      </c>
      <c r="S38" s="84">
        <v>162913.58628796364</v>
      </c>
      <c r="T38" s="87">
        <v>2940.6784528513294</v>
      </c>
      <c r="V38" s="88">
        <f t="shared" si="6"/>
        <v>0.10019111946316506</v>
      </c>
      <c r="X38" s="84">
        <v>10524.22</v>
      </c>
      <c r="Y38" s="87">
        <f t="shared" si="7"/>
        <v>168711.86087391365</v>
      </c>
      <c r="Z38" s="4"/>
    </row>
    <row r="39" spans="2:26" x14ac:dyDescent="0.25">
      <c r="B39" s="96" t="s">
        <v>70</v>
      </c>
      <c r="C39" s="97" t="s">
        <v>71</v>
      </c>
      <c r="D39" s="98"/>
      <c r="E39" s="103">
        <v>135.75</v>
      </c>
      <c r="F39" s="100">
        <v>1</v>
      </c>
      <c r="G39" s="39">
        <v>1</v>
      </c>
      <c r="H39" s="40">
        <f t="shared" si="0"/>
        <v>135.75</v>
      </c>
      <c r="I39" s="41">
        <v>0</v>
      </c>
      <c r="J39" s="41">
        <v>1</v>
      </c>
      <c r="K39" s="41">
        <f t="shared" si="1"/>
        <v>0</v>
      </c>
      <c r="L39" s="85">
        <f t="shared" si="2"/>
        <v>135.75</v>
      </c>
      <c r="N39" s="86">
        <f t="shared" si="3"/>
        <v>1.6797</v>
      </c>
      <c r="P39" s="84">
        <f t="shared" si="4"/>
        <v>439187.22836457001</v>
      </c>
      <c r="Q39" s="87">
        <f t="shared" si="5"/>
        <v>3235.2650339931492</v>
      </c>
      <c r="S39" s="84">
        <v>399191.75913623994</v>
      </c>
      <c r="T39" s="87">
        <v>2940.6391096592261</v>
      </c>
      <c r="V39" s="88">
        <f t="shared" si="6"/>
        <v>0.10019111946316506</v>
      </c>
      <c r="X39" s="84">
        <v>21922.55</v>
      </c>
      <c r="Y39" s="87">
        <f t="shared" si="7"/>
        <v>417264.67836457002</v>
      </c>
      <c r="Z39" s="4"/>
    </row>
    <row r="40" spans="2:26" x14ac:dyDescent="0.25">
      <c r="B40" s="96" t="s">
        <v>72</v>
      </c>
      <c r="C40" s="97" t="s">
        <v>71</v>
      </c>
      <c r="D40" s="98"/>
      <c r="E40" s="103">
        <v>21.6</v>
      </c>
      <c r="F40" s="100">
        <v>1</v>
      </c>
      <c r="G40" s="39">
        <v>1</v>
      </c>
      <c r="H40" s="40">
        <f t="shared" si="0"/>
        <v>21.6</v>
      </c>
      <c r="I40" s="41">
        <v>0</v>
      </c>
      <c r="J40" s="41">
        <v>1</v>
      </c>
      <c r="K40" s="41">
        <f t="shared" si="1"/>
        <v>0</v>
      </c>
      <c r="L40" s="85">
        <f t="shared" si="2"/>
        <v>21.6</v>
      </c>
      <c r="N40" s="86">
        <f t="shared" si="3"/>
        <v>0.26729999999999998</v>
      </c>
      <c r="P40" s="84">
        <f t="shared" si="4"/>
        <v>69890.305496129993</v>
      </c>
      <c r="Q40" s="87">
        <f t="shared" si="5"/>
        <v>3235.6622914874993</v>
      </c>
      <c r="S40" s="84">
        <v>63525.60410615999</v>
      </c>
      <c r="T40" s="87">
        <v>2941.0001900999991</v>
      </c>
      <c r="V40" s="88">
        <f t="shared" si="6"/>
        <v>0.10019111946316506</v>
      </c>
      <c r="X40" s="84">
        <v>21922.55</v>
      </c>
      <c r="Y40" s="87">
        <f t="shared" si="7"/>
        <v>47967.75549612999</v>
      </c>
      <c r="Z40" s="4"/>
    </row>
    <row r="41" spans="2:26" x14ac:dyDescent="0.25">
      <c r="B41" s="96" t="s">
        <v>214</v>
      </c>
      <c r="C41" s="97" t="s">
        <v>200</v>
      </c>
      <c r="D41" s="98"/>
      <c r="E41" s="103">
        <v>70</v>
      </c>
      <c r="F41" s="100">
        <v>1</v>
      </c>
      <c r="G41" s="39">
        <v>1</v>
      </c>
      <c r="H41" s="40">
        <f t="shared" si="0"/>
        <v>70</v>
      </c>
      <c r="I41" s="41">
        <v>0</v>
      </c>
      <c r="J41" s="41">
        <v>1</v>
      </c>
      <c r="K41" s="41">
        <f t="shared" si="1"/>
        <v>0</v>
      </c>
      <c r="L41" s="85">
        <f t="shared" si="2"/>
        <v>70</v>
      </c>
      <c r="N41" s="86">
        <f t="shared" si="3"/>
        <v>0.86619999999999997</v>
      </c>
      <c r="P41" s="84">
        <f t="shared" si="4"/>
        <v>226483.2870211291</v>
      </c>
      <c r="Q41" s="87">
        <f t="shared" si="5"/>
        <v>3235.4755288732727</v>
      </c>
      <c r="S41" s="84">
        <v>205858.13047794907</v>
      </c>
      <c r="T41" s="87">
        <v>2940.8304353992726</v>
      </c>
      <c r="V41" s="88">
        <f t="shared" si="6"/>
        <v>0.10019111946316506</v>
      </c>
      <c r="X41" s="84">
        <v>8377.4</v>
      </c>
      <c r="Y41" s="87">
        <f t="shared" si="7"/>
        <v>218105.88702112911</v>
      </c>
      <c r="Z41" s="4"/>
    </row>
    <row r="42" spans="2:26" x14ac:dyDescent="0.25">
      <c r="B42" s="96" t="s">
        <v>215</v>
      </c>
      <c r="C42" s="104" t="s">
        <v>179</v>
      </c>
      <c r="D42" s="98"/>
      <c r="E42" s="103">
        <v>74.25</v>
      </c>
      <c r="F42" s="100">
        <v>1</v>
      </c>
      <c r="G42" s="39">
        <v>1</v>
      </c>
      <c r="H42" s="40">
        <f t="shared" si="0"/>
        <v>74.25</v>
      </c>
      <c r="I42" s="41">
        <v>0</v>
      </c>
      <c r="J42" s="41">
        <v>1</v>
      </c>
      <c r="K42" s="41">
        <f t="shared" si="1"/>
        <v>0</v>
      </c>
      <c r="L42" s="85">
        <f t="shared" si="2"/>
        <v>74.25</v>
      </c>
      <c r="N42" s="86">
        <f t="shared" si="3"/>
        <v>0.91869999999999996</v>
      </c>
      <c r="P42" s="84">
        <f t="shared" si="4"/>
        <v>240210.33916683364</v>
      </c>
      <c r="Q42" s="87">
        <f t="shared" si="5"/>
        <v>3235.1560830549984</v>
      </c>
      <c r="S42" s="84">
        <v>218335.10098140364</v>
      </c>
      <c r="T42" s="87">
        <v>2940.5400805576246</v>
      </c>
      <c r="V42" s="88">
        <f t="shared" si="6"/>
        <v>0.10019111946316506</v>
      </c>
      <c r="X42" s="84">
        <v>25456.28</v>
      </c>
      <c r="Y42" s="87">
        <f t="shared" si="7"/>
        <v>214754.05916683364</v>
      </c>
      <c r="Z42" s="4"/>
    </row>
    <row r="43" spans="2:26" x14ac:dyDescent="0.25">
      <c r="B43" s="118" t="s">
        <v>73</v>
      </c>
      <c r="C43" s="117" t="s">
        <v>195</v>
      </c>
      <c r="D43" s="94"/>
      <c r="E43" s="115">
        <v>506.75</v>
      </c>
      <c r="F43" s="115">
        <v>0.75</v>
      </c>
      <c r="G43" s="39">
        <v>1</v>
      </c>
      <c r="H43" s="40">
        <f t="shared" si="0"/>
        <v>380.06</v>
      </c>
      <c r="I43" s="41">
        <v>0</v>
      </c>
      <c r="J43" s="41">
        <v>1</v>
      </c>
      <c r="K43" s="41">
        <f t="shared" si="1"/>
        <v>0</v>
      </c>
      <c r="L43" s="85">
        <f t="shared" si="2"/>
        <v>380.06</v>
      </c>
      <c r="N43" s="86">
        <f t="shared" si="3"/>
        <v>4.7027000000000001</v>
      </c>
      <c r="P43" s="84">
        <f t="shared" si="4"/>
        <v>1229603.9642972336</v>
      </c>
      <c r="Q43" s="87">
        <f t="shared" si="5"/>
        <v>2426.4508422244371</v>
      </c>
      <c r="S43" s="84">
        <v>1117627.6035542036</v>
      </c>
      <c r="T43" s="87">
        <v>2205.4812107631055</v>
      </c>
      <c r="V43" s="88">
        <f t="shared" si="6"/>
        <v>0.10019111946316506</v>
      </c>
      <c r="X43" s="84">
        <v>78940.31</v>
      </c>
      <c r="Y43" s="87">
        <f t="shared" si="7"/>
        <v>1150663.6542972336</v>
      </c>
      <c r="Z43" s="4"/>
    </row>
    <row r="44" spans="2:26" x14ac:dyDescent="0.25">
      <c r="B44" s="116" t="s">
        <v>74</v>
      </c>
      <c r="C44" s="117" t="s">
        <v>231</v>
      </c>
      <c r="D44" s="94"/>
      <c r="E44" s="115">
        <v>168</v>
      </c>
      <c r="F44" s="111">
        <v>0.75</v>
      </c>
      <c r="G44" s="39">
        <v>1</v>
      </c>
      <c r="H44" s="40">
        <f t="shared" si="0"/>
        <v>126</v>
      </c>
      <c r="I44" s="41">
        <v>0</v>
      </c>
      <c r="J44" s="41">
        <v>1</v>
      </c>
      <c r="K44" s="41">
        <f t="shared" si="1"/>
        <v>0</v>
      </c>
      <c r="L44" s="85">
        <f t="shared" si="2"/>
        <v>126</v>
      </c>
      <c r="N44" s="86">
        <f t="shared" si="3"/>
        <v>1.5590999999999999</v>
      </c>
      <c r="P44" s="84">
        <f t="shared" si="4"/>
        <v>407654.22857843729</v>
      </c>
      <c r="Q44" s="87">
        <f t="shared" si="5"/>
        <v>2426.5132653478408</v>
      </c>
      <c r="S44" s="84">
        <v>370530.37546544726</v>
      </c>
      <c r="T44" s="87">
        <v>2205.5379491990907</v>
      </c>
      <c r="V44" s="88">
        <f t="shared" si="6"/>
        <v>0.10019111946316506</v>
      </c>
      <c r="X44" s="84">
        <v>23936.51</v>
      </c>
      <c r="Y44" s="87">
        <f t="shared" si="7"/>
        <v>383717.71857843729</v>
      </c>
      <c r="Z44" s="4"/>
    </row>
    <row r="45" spans="2:26" x14ac:dyDescent="0.25">
      <c r="B45" s="116" t="s">
        <v>75</v>
      </c>
      <c r="C45" s="117" t="s">
        <v>76</v>
      </c>
      <c r="D45" s="94"/>
      <c r="E45" s="115">
        <f>221.7-69.3</f>
        <v>152.39999999999998</v>
      </c>
      <c r="F45" s="111">
        <v>0.75</v>
      </c>
      <c r="G45" s="39">
        <v>1</v>
      </c>
      <c r="H45" s="40">
        <f t="shared" si="0"/>
        <v>114.3</v>
      </c>
      <c r="I45" s="41">
        <v>0</v>
      </c>
      <c r="J45" s="41">
        <v>1</v>
      </c>
      <c r="K45" s="41">
        <f t="shared" si="1"/>
        <v>0</v>
      </c>
      <c r="L45" s="85">
        <f t="shared" si="2"/>
        <v>114.3</v>
      </c>
      <c r="N45" s="86">
        <f t="shared" si="3"/>
        <v>1.4142999999999999</v>
      </c>
      <c r="P45" s="84">
        <f t="shared" si="4"/>
        <v>369793.71142228454</v>
      </c>
      <c r="Q45" s="87">
        <f t="shared" si="5"/>
        <v>2426.4679227184029</v>
      </c>
      <c r="S45" s="84">
        <v>336117.70253401453</v>
      </c>
      <c r="T45" s="87">
        <v>2205.4967357874971</v>
      </c>
      <c r="V45" s="88">
        <f t="shared" si="6"/>
        <v>0.10019111946316506</v>
      </c>
      <c r="X45" s="84">
        <v>31587.55</v>
      </c>
      <c r="Y45" s="87">
        <f t="shared" si="7"/>
        <v>338206.16142228455</v>
      </c>
      <c r="Z45" s="4"/>
    </row>
    <row r="46" spans="2:26" x14ac:dyDescent="0.25">
      <c r="B46" s="116" t="s">
        <v>75</v>
      </c>
      <c r="C46" s="117" t="s">
        <v>190</v>
      </c>
      <c r="D46" s="94"/>
      <c r="E46" s="115">
        <v>69.3</v>
      </c>
      <c r="F46" s="111">
        <v>0</v>
      </c>
      <c r="G46" s="39">
        <v>0</v>
      </c>
      <c r="H46" s="40">
        <f t="shared" si="0"/>
        <v>0</v>
      </c>
      <c r="I46" s="41">
        <v>0</v>
      </c>
      <c r="J46" s="41">
        <v>1</v>
      </c>
      <c r="K46" s="41">
        <f t="shared" si="1"/>
        <v>0</v>
      </c>
      <c r="L46" s="85">
        <f t="shared" si="2"/>
        <v>0</v>
      </c>
      <c r="N46" s="86">
        <f t="shared" si="3"/>
        <v>0</v>
      </c>
      <c r="P46" s="84">
        <f t="shared" si="4"/>
        <v>0</v>
      </c>
      <c r="Q46" s="87">
        <f t="shared" si="5"/>
        <v>0</v>
      </c>
      <c r="S46" s="84">
        <v>0</v>
      </c>
      <c r="T46" s="87">
        <v>0</v>
      </c>
      <c r="V46" s="88" t="e">
        <f t="shared" si="6"/>
        <v>#DIV/0!</v>
      </c>
      <c r="X46" s="84">
        <v>0</v>
      </c>
      <c r="Y46" s="87">
        <f t="shared" si="7"/>
        <v>0</v>
      </c>
      <c r="Z46" s="4"/>
    </row>
    <row r="47" spans="2:26" x14ac:dyDescent="0.25">
      <c r="B47" s="116" t="s">
        <v>77</v>
      </c>
      <c r="C47" s="117" t="s">
        <v>78</v>
      </c>
      <c r="D47" s="94"/>
      <c r="E47" s="115">
        <f>109.55-35.65</f>
        <v>73.900000000000006</v>
      </c>
      <c r="F47" s="111">
        <v>0.75</v>
      </c>
      <c r="G47" s="39">
        <v>1</v>
      </c>
      <c r="H47" s="40">
        <f t="shared" si="0"/>
        <v>55.43</v>
      </c>
      <c r="I47" s="41">
        <v>0</v>
      </c>
      <c r="J47" s="41">
        <v>1</v>
      </c>
      <c r="K47" s="41">
        <f t="shared" si="1"/>
        <v>0</v>
      </c>
      <c r="L47" s="85">
        <f t="shared" si="2"/>
        <v>55.43</v>
      </c>
      <c r="N47" s="86">
        <f t="shared" si="3"/>
        <v>0.68589999999999995</v>
      </c>
      <c r="P47" s="84">
        <f t="shared" si="4"/>
        <v>179340.66793788091</v>
      </c>
      <c r="Q47" s="87">
        <f t="shared" si="5"/>
        <v>2426.8020018657767</v>
      </c>
      <c r="S47" s="84">
        <v>163008.64892037091</v>
      </c>
      <c r="T47" s="87">
        <v>2205.8003913446669</v>
      </c>
      <c r="V47" s="88">
        <f t="shared" si="6"/>
        <v>0.10019111946316506</v>
      </c>
      <c r="X47" s="84">
        <v>15607.53</v>
      </c>
      <c r="Y47" s="87">
        <f t="shared" si="7"/>
        <v>163733.13793788091</v>
      </c>
      <c r="Z47" s="4"/>
    </row>
    <row r="48" spans="2:26" x14ac:dyDescent="0.25">
      <c r="B48" s="78" t="s">
        <v>79</v>
      </c>
      <c r="C48" s="79" t="s">
        <v>209</v>
      </c>
      <c r="D48" s="80"/>
      <c r="E48" s="81">
        <f>219.1+35.65-106.95</f>
        <v>147.80000000000001</v>
      </c>
      <c r="F48" s="82">
        <v>0.75</v>
      </c>
      <c r="G48" s="166">
        <v>1</v>
      </c>
      <c r="H48" s="167">
        <f t="shared" si="0"/>
        <v>110.85</v>
      </c>
      <c r="I48" s="82">
        <v>0</v>
      </c>
      <c r="J48" s="82">
        <v>1</v>
      </c>
      <c r="K48" s="82">
        <f t="shared" si="1"/>
        <v>0</v>
      </c>
      <c r="L48" s="168">
        <f t="shared" si="2"/>
        <v>110.85</v>
      </c>
      <c r="M48" s="80"/>
      <c r="N48" s="86">
        <f t="shared" si="3"/>
        <v>1.3715999999999999</v>
      </c>
      <c r="O48" s="80"/>
      <c r="P48" s="169">
        <f t="shared" si="4"/>
        <v>358629.04234377819</v>
      </c>
      <c r="Q48" s="170">
        <f t="shared" si="5"/>
        <v>2426.4481890648049</v>
      </c>
      <c r="R48" s="80"/>
      <c r="S48" s="169">
        <v>325969.76652453816</v>
      </c>
      <c r="T48" s="170">
        <v>2205.4787992187967</v>
      </c>
      <c r="U48" s="80"/>
      <c r="V48" s="171">
        <f t="shared" si="6"/>
        <v>0.10019111946316506</v>
      </c>
      <c r="W48" s="80"/>
      <c r="X48" s="169">
        <v>31217.54</v>
      </c>
      <c r="Y48" s="170">
        <f t="shared" si="7"/>
        <v>327411.50234377821</v>
      </c>
      <c r="Z48" s="4"/>
    </row>
    <row r="49" spans="2:26" x14ac:dyDescent="0.25">
      <c r="B49" s="78" t="s">
        <v>79</v>
      </c>
      <c r="C49" s="79" t="s">
        <v>209</v>
      </c>
      <c r="D49" s="80"/>
      <c r="E49" s="81">
        <v>106.95</v>
      </c>
      <c r="F49" s="82">
        <v>0</v>
      </c>
      <c r="G49" s="166">
        <v>1</v>
      </c>
      <c r="H49" s="167">
        <f t="shared" si="0"/>
        <v>0</v>
      </c>
      <c r="I49" s="82">
        <v>0</v>
      </c>
      <c r="J49" s="82">
        <v>1</v>
      </c>
      <c r="K49" s="82">
        <f t="shared" si="1"/>
        <v>0</v>
      </c>
      <c r="L49" s="168">
        <f t="shared" si="2"/>
        <v>0</v>
      </c>
      <c r="M49" s="80"/>
      <c r="N49" s="86">
        <f t="shared" si="3"/>
        <v>0</v>
      </c>
      <c r="O49" s="80"/>
      <c r="P49" s="169">
        <f t="shared" si="4"/>
        <v>0</v>
      </c>
      <c r="Q49" s="170">
        <f t="shared" si="5"/>
        <v>0</v>
      </c>
      <c r="R49" s="80"/>
      <c r="S49" s="169">
        <v>0</v>
      </c>
      <c r="T49" s="170">
        <v>0</v>
      </c>
      <c r="U49" s="80"/>
      <c r="V49" s="171" t="e">
        <f t="shared" si="6"/>
        <v>#DIV/0!</v>
      </c>
      <c r="W49" s="80"/>
      <c r="X49" s="169"/>
      <c r="Y49" s="170"/>
      <c r="Z49" s="4"/>
    </row>
    <row r="50" spans="2:26" x14ac:dyDescent="0.25">
      <c r="B50" s="116" t="s">
        <v>80</v>
      </c>
      <c r="C50" s="117" t="s">
        <v>210</v>
      </c>
      <c r="D50" s="94"/>
      <c r="E50" s="115">
        <f>219.1-71.3</f>
        <v>147.80000000000001</v>
      </c>
      <c r="F50" s="111">
        <v>0.75</v>
      </c>
      <c r="G50" s="39">
        <v>1</v>
      </c>
      <c r="H50" s="40">
        <f t="shared" si="0"/>
        <v>110.85</v>
      </c>
      <c r="I50" s="41">
        <v>0</v>
      </c>
      <c r="J50" s="41">
        <v>1</v>
      </c>
      <c r="K50" s="41">
        <f t="shared" si="1"/>
        <v>0</v>
      </c>
      <c r="L50" s="85">
        <f t="shared" si="2"/>
        <v>110.85</v>
      </c>
      <c r="N50" s="86">
        <f t="shared" si="3"/>
        <v>1.3715999999999999</v>
      </c>
      <c r="P50" s="84">
        <f t="shared" si="4"/>
        <v>358629.04234377819</v>
      </c>
      <c r="Q50" s="87">
        <f t="shared" si="5"/>
        <v>2426.4481890648049</v>
      </c>
      <c r="S50" s="84">
        <v>325969.76652453816</v>
      </c>
      <c r="T50" s="87">
        <v>2205.4787992187967</v>
      </c>
      <c r="V50" s="88">
        <f t="shared" si="6"/>
        <v>0.10019111946316506</v>
      </c>
      <c r="X50" s="84">
        <v>31217.54</v>
      </c>
      <c r="Y50" s="87">
        <f t="shared" ref="Y50:Y88" si="8">+P50-X50</f>
        <v>327411.50234377821</v>
      </c>
      <c r="Z50" s="4"/>
    </row>
    <row r="51" spans="2:26" x14ac:dyDescent="0.25">
      <c r="B51" s="116" t="s">
        <v>80</v>
      </c>
      <c r="C51" s="117" t="s">
        <v>210</v>
      </c>
      <c r="D51" s="94"/>
      <c r="E51" s="115">
        <v>71.3</v>
      </c>
      <c r="F51" s="111">
        <v>0</v>
      </c>
      <c r="G51" s="39">
        <v>0</v>
      </c>
      <c r="H51" s="40">
        <f t="shared" si="0"/>
        <v>0</v>
      </c>
      <c r="I51" s="41">
        <v>0</v>
      </c>
      <c r="J51" s="41">
        <v>1</v>
      </c>
      <c r="K51" s="41">
        <f t="shared" si="1"/>
        <v>0</v>
      </c>
      <c r="L51" s="85">
        <f t="shared" si="2"/>
        <v>0</v>
      </c>
      <c r="N51" s="86">
        <f t="shared" si="3"/>
        <v>0</v>
      </c>
      <c r="P51" s="84">
        <f t="shared" si="4"/>
        <v>0</v>
      </c>
      <c r="Q51" s="87">
        <f t="shared" si="5"/>
        <v>0</v>
      </c>
      <c r="S51" s="84">
        <v>0</v>
      </c>
      <c r="T51" s="87">
        <v>0</v>
      </c>
      <c r="V51" s="88"/>
      <c r="X51" s="84"/>
      <c r="Y51" s="87"/>
      <c r="Z51" s="4"/>
    </row>
    <row r="52" spans="2:26" x14ac:dyDescent="0.25">
      <c r="B52" s="116" t="s">
        <v>81</v>
      </c>
      <c r="C52" s="117" t="s">
        <v>82</v>
      </c>
      <c r="D52" s="94"/>
      <c r="E52" s="115">
        <f>168.85-50.65</f>
        <v>118.19999999999999</v>
      </c>
      <c r="F52" s="111">
        <v>0.75</v>
      </c>
      <c r="G52" s="39">
        <v>1</v>
      </c>
      <c r="H52" s="40">
        <f t="shared" si="0"/>
        <v>88.65</v>
      </c>
      <c r="I52" s="41">
        <v>0</v>
      </c>
      <c r="J52" s="41">
        <v>1</v>
      </c>
      <c r="K52" s="41">
        <f t="shared" si="1"/>
        <v>0</v>
      </c>
      <c r="L52" s="85">
        <f t="shared" si="2"/>
        <v>88.65</v>
      </c>
      <c r="N52" s="86">
        <f t="shared" si="3"/>
        <v>1.0969</v>
      </c>
      <c r="P52" s="84">
        <f t="shared" si="4"/>
        <v>286803.87616425363</v>
      </c>
      <c r="Q52" s="87">
        <f t="shared" si="5"/>
        <v>2426.4287323540916</v>
      </c>
      <c r="S52" s="84">
        <v>260685.50371884365</v>
      </c>
      <c r="T52" s="87">
        <v>2205.4611143726202</v>
      </c>
      <c r="V52" s="88">
        <f t="shared" si="6"/>
        <v>0.10019111946316483</v>
      </c>
      <c r="X52" s="84">
        <v>23972.51</v>
      </c>
      <c r="Y52" s="87">
        <f t="shared" si="8"/>
        <v>262831.36616425362</v>
      </c>
      <c r="Z52" s="4"/>
    </row>
    <row r="53" spans="2:26" x14ac:dyDescent="0.25">
      <c r="B53" s="116" t="s">
        <v>81</v>
      </c>
      <c r="C53" s="117" t="s">
        <v>192</v>
      </c>
      <c r="D53" s="94"/>
      <c r="E53" s="115">
        <v>50.65</v>
      </c>
      <c r="F53" s="111">
        <v>0</v>
      </c>
      <c r="G53" s="39">
        <v>0</v>
      </c>
      <c r="H53" s="40">
        <f t="shared" si="0"/>
        <v>0</v>
      </c>
      <c r="I53" s="41">
        <v>0</v>
      </c>
      <c r="J53" s="41">
        <v>1</v>
      </c>
      <c r="K53" s="41">
        <f t="shared" si="1"/>
        <v>0</v>
      </c>
      <c r="L53" s="85">
        <f t="shared" si="2"/>
        <v>0</v>
      </c>
      <c r="N53" s="86">
        <f t="shared" si="3"/>
        <v>0</v>
      </c>
      <c r="P53" s="84">
        <f t="shared" si="4"/>
        <v>0</v>
      </c>
      <c r="Q53" s="87">
        <f t="shared" si="5"/>
        <v>0</v>
      </c>
      <c r="S53" s="84">
        <v>0</v>
      </c>
      <c r="T53" s="87">
        <v>0</v>
      </c>
      <c r="V53" s="88"/>
      <c r="X53" s="84"/>
      <c r="Y53" s="87"/>
      <c r="Z53" s="4"/>
    </row>
    <row r="54" spans="2:26" x14ac:dyDescent="0.25">
      <c r="B54" s="116" t="s">
        <v>83</v>
      </c>
      <c r="C54" s="117" t="s">
        <v>171</v>
      </c>
      <c r="D54" s="94"/>
      <c r="E54" s="115">
        <f>149.55-11.9</f>
        <v>137.65</v>
      </c>
      <c r="F54" s="111">
        <v>0.75</v>
      </c>
      <c r="G54" s="39">
        <v>1</v>
      </c>
      <c r="H54" s="40">
        <f t="shared" si="0"/>
        <v>103.24</v>
      </c>
      <c r="I54" s="41">
        <v>0</v>
      </c>
      <c r="J54" s="41">
        <v>1</v>
      </c>
      <c r="K54" s="41">
        <f t="shared" si="1"/>
        <v>0</v>
      </c>
      <c r="L54" s="85">
        <f t="shared" si="2"/>
        <v>103.24</v>
      </c>
      <c r="N54" s="86">
        <f t="shared" si="3"/>
        <v>1.2775000000000001</v>
      </c>
      <c r="P54" s="84">
        <f t="shared" si="4"/>
        <v>334024.93554547732</v>
      </c>
      <c r="Q54" s="87">
        <f t="shared" si="5"/>
        <v>2426.6250312057923</v>
      </c>
      <c r="S54" s="84">
        <v>303606.28225072729</v>
      </c>
      <c r="T54" s="87">
        <v>2205.6395368741537</v>
      </c>
      <c r="V54" s="88">
        <f t="shared" si="6"/>
        <v>0.10019111946316506</v>
      </c>
      <c r="X54" s="84">
        <v>21306.69</v>
      </c>
      <c r="Y54" s="87">
        <f t="shared" si="8"/>
        <v>312718.24554547732</v>
      </c>
      <c r="Z54" s="4"/>
    </row>
    <row r="55" spans="2:26" x14ac:dyDescent="0.25">
      <c r="B55" s="116" t="s">
        <v>83</v>
      </c>
      <c r="C55" s="117" t="s">
        <v>193</v>
      </c>
      <c r="D55" s="94"/>
      <c r="E55" s="115">
        <v>11.9</v>
      </c>
      <c r="F55" s="111">
        <v>0</v>
      </c>
      <c r="G55" s="39">
        <v>0</v>
      </c>
      <c r="H55" s="40">
        <f t="shared" si="0"/>
        <v>0</v>
      </c>
      <c r="I55" s="41">
        <v>0</v>
      </c>
      <c r="J55" s="41">
        <v>1</v>
      </c>
      <c r="K55" s="41">
        <f t="shared" si="1"/>
        <v>0</v>
      </c>
      <c r="L55" s="85">
        <f t="shared" si="2"/>
        <v>0</v>
      </c>
      <c r="N55" s="86">
        <f t="shared" si="3"/>
        <v>0</v>
      </c>
      <c r="P55" s="84">
        <f t="shared" si="4"/>
        <v>0</v>
      </c>
      <c r="Q55" s="87">
        <f t="shared" si="5"/>
        <v>0</v>
      </c>
      <c r="S55" s="84">
        <v>0</v>
      </c>
      <c r="T55" s="87">
        <v>0</v>
      </c>
      <c r="V55" s="88"/>
      <c r="X55" s="84"/>
      <c r="Y55" s="87"/>
      <c r="Z55" s="4"/>
    </row>
    <row r="56" spans="2:26" x14ac:dyDescent="0.25">
      <c r="B56" s="78" t="s">
        <v>218</v>
      </c>
      <c r="C56" s="79" t="s">
        <v>219</v>
      </c>
      <c r="D56" s="80"/>
      <c r="E56" s="81">
        <v>612.85</v>
      </c>
      <c r="F56" s="82">
        <v>0.3</v>
      </c>
      <c r="G56" s="166">
        <v>1</v>
      </c>
      <c r="H56" s="167">
        <f t="shared" si="0"/>
        <v>183.86</v>
      </c>
      <c r="I56" s="82">
        <v>0</v>
      </c>
      <c r="J56" s="82">
        <v>1</v>
      </c>
      <c r="K56" s="82">
        <f t="shared" si="1"/>
        <v>0</v>
      </c>
      <c r="L56" s="168">
        <f t="shared" si="2"/>
        <v>183.86</v>
      </c>
      <c r="N56" s="86">
        <f t="shared" si="3"/>
        <v>2.2749999999999999</v>
      </c>
      <c r="P56" s="169">
        <f t="shared" si="4"/>
        <v>594838.9263138636</v>
      </c>
      <c r="Q56" s="170">
        <f t="shared" si="5"/>
        <v>970.61095914801922</v>
      </c>
      <c r="R56" s="80"/>
      <c r="S56" s="169">
        <v>540668.72181636363</v>
      </c>
      <c r="T56" s="170">
        <v>882.22031788588333</v>
      </c>
      <c r="U56" s="80"/>
      <c r="V56" s="171">
        <f t="shared" si="6"/>
        <v>0.10019111946316483</v>
      </c>
      <c r="W56" s="80"/>
      <c r="X56" s="169"/>
      <c r="Y56" s="170">
        <f t="shared" si="8"/>
        <v>594838.9263138636</v>
      </c>
      <c r="Z56" s="4"/>
    </row>
    <row r="57" spans="2:26" x14ac:dyDescent="0.25">
      <c r="B57" s="101" t="s">
        <v>84</v>
      </c>
      <c r="C57" s="97" t="s">
        <v>222</v>
      </c>
      <c r="D57" s="98"/>
      <c r="E57" s="103">
        <v>30.05</v>
      </c>
      <c r="F57" s="100">
        <v>1</v>
      </c>
      <c r="G57" s="39">
        <v>1</v>
      </c>
      <c r="H57" s="40">
        <f t="shared" si="0"/>
        <v>30.05</v>
      </c>
      <c r="I57" s="41">
        <v>0</v>
      </c>
      <c r="J57" s="41">
        <v>1</v>
      </c>
      <c r="K57" s="41">
        <f>ROUND(I57*J57,2)</f>
        <v>0</v>
      </c>
      <c r="L57" s="85">
        <f>H57+K57</f>
        <v>30.05</v>
      </c>
      <c r="N57" s="86">
        <f t="shared" si="3"/>
        <v>0.37180000000000002</v>
      </c>
      <c r="P57" s="84">
        <f t="shared" si="4"/>
        <v>97213.67595758001</v>
      </c>
      <c r="Q57" s="87">
        <f t="shared" si="5"/>
        <v>3235.0640917663895</v>
      </c>
      <c r="S57" s="84">
        <v>88360.716822560003</v>
      </c>
      <c r="T57" s="87">
        <v>2940.4564666409319</v>
      </c>
      <c r="V57" s="88">
        <f t="shared" si="6"/>
        <v>0.10019111946316506</v>
      </c>
      <c r="X57" s="84">
        <v>5709.1</v>
      </c>
      <c r="Y57" s="87">
        <f t="shared" si="8"/>
        <v>91504.575957580004</v>
      </c>
      <c r="Z57" s="4"/>
    </row>
    <row r="58" spans="2:26" x14ac:dyDescent="0.25">
      <c r="B58" s="116"/>
      <c r="C58" s="117" t="s">
        <v>85</v>
      </c>
      <c r="D58" s="94"/>
      <c r="E58" s="115">
        <v>1934.81</v>
      </c>
      <c r="F58" s="111">
        <v>0.08</v>
      </c>
      <c r="G58" s="39">
        <v>1</v>
      </c>
      <c r="H58" s="40">
        <f t="shared" si="0"/>
        <v>154.78</v>
      </c>
      <c r="I58" s="41">
        <v>0</v>
      </c>
      <c r="J58" s="41">
        <v>1</v>
      </c>
      <c r="K58" s="41">
        <f>ROUND(I58*J58,2)</f>
        <v>0</v>
      </c>
      <c r="L58" s="85">
        <f>H58+K58</f>
        <v>154.78</v>
      </c>
      <c r="N58" s="86">
        <f t="shared" si="3"/>
        <v>1.9152</v>
      </c>
      <c r="P58" s="84">
        <f t="shared" si="4"/>
        <v>500762.86227530183</v>
      </c>
      <c r="Q58" s="87">
        <f t="shared" si="5"/>
        <v>258.81759049999835</v>
      </c>
      <c r="S58" s="84">
        <v>455159.88396602182</v>
      </c>
      <c r="T58" s="87">
        <v>235.24784550732207</v>
      </c>
      <c r="V58" s="88">
        <f t="shared" si="6"/>
        <v>0.10019111946316506</v>
      </c>
      <c r="X58" s="84">
        <v>24417.02</v>
      </c>
      <c r="Y58" s="87">
        <f t="shared" si="8"/>
        <v>476345.84227530181</v>
      </c>
      <c r="Z58" s="4"/>
    </row>
    <row r="59" spans="2:26" x14ac:dyDescent="0.25">
      <c r="B59" s="78" t="s">
        <v>86</v>
      </c>
      <c r="C59" s="79" t="s">
        <v>87</v>
      </c>
      <c r="D59" s="80"/>
      <c r="E59" s="81">
        <v>565</v>
      </c>
      <c r="F59" s="83">
        <v>0.5</v>
      </c>
      <c r="G59" s="166">
        <v>1</v>
      </c>
      <c r="H59" s="167">
        <f t="shared" si="0"/>
        <v>282.5</v>
      </c>
      <c r="I59" s="82">
        <v>0</v>
      </c>
      <c r="J59" s="82">
        <v>1</v>
      </c>
      <c r="K59" s="82">
        <f t="shared" si="1"/>
        <v>0</v>
      </c>
      <c r="L59" s="168">
        <f t="shared" si="2"/>
        <v>282.5</v>
      </c>
      <c r="N59" s="86">
        <f t="shared" si="3"/>
        <v>3.4956</v>
      </c>
      <c r="P59" s="169">
        <f t="shared" si="4"/>
        <v>913986.35200999631</v>
      </c>
      <c r="Q59" s="170">
        <f t="shared" si="5"/>
        <v>1617.6749593097279</v>
      </c>
      <c r="R59" s="80"/>
      <c r="S59" s="169">
        <v>830752.34460715635</v>
      </c>
      <c r="T59" s="170">
        <v>1470.3581320480644</v>
      </c>
      <c r="U59" s="80"/>
      <c r="V59" s="171">
        <f t="shared" si="6"/>
        <v>0.10019111946316483</v>
      </c>
      <c r="W59" s="80"/>
      <c r="X59" s="169"/>
      <c r="Y59" s="170">
        <f t="shared" si="8"/>
        <v>913986.35200999631</v>
      </c>
      <c r="Z59" s="4"/>
    </row>
    <row r="60" spans="2:26" x14ac:dyDescent="0.25">
      <c r="B60" s="101" t="s">
        <v>186</v>
      </c>
      <c r="C60" s="97" t="s">
        <v>199</v>
      </c>
      <c r="D60" s="98"/>
      <c r="E60" s="103">
        <v>31</v>
      </c>
      <c r="F60" s="100">
        <v>1</v>
      </c>
      <c r="G60" s="39">
        <v>1</v>
      </c>
      <c r="H60" s="40">
        <f t="shared" si="0"/>
        <v>31</v>
      </c>
      <c r="I60" s="41">
        <v>0</v>
      </c>
      <c r="J60" s="41">
        <v>1</v>
      </c>
      <c r="K60" s="41">
        <f t="shared" si="1"/>
        <v>0</v>
      </c>
      <c r="L60" s="85">
        <f t="shared" si="2"/>
        <v>31</v>
      </c>
      <c r="N60" s="86">
        <f t="shared" si="3"/>
        <v>0.3836</v>
      </c>
      <c r="P60" s="84">
        <f t="shared" si="4"/>
        <v>100298.99434461453</v>
      </c>
      <c r="Q60" s="87">
        <f t="shared" si="5"/>
        <v>3235.4514304714367</v>
      </c>
      <c r="S60" s="84">
        <v>91165.064478574539</v>
      </c>
      <c r="T60" s="87">
        <v>2940.8085315669205</v>
      </c>
      <c r="V60" s="88">
        <f t="shared" si="6"/>
        <v>0.10019111946316483</v>
      </c>
      <c r="X60" s="84"/>
      <c r="Y60" s="87">
        <f t="shared" si="8"/>
        <v>100298.99434461453</v>
      </c>
      <c r="Z60" s="4"/>
    </row>
    <row r="61" spans="2:26" x14ac:dyDescent="0.25">
      <c r="B61" s="101" t="s">
        <v>187</v>
      </c>
      <c r="C61" s="97" t="s">
        <v>188</v>
      </c>
      <c r="D61" s="98"/>
      <c r="E61" s="103">
        <v>45.3</v>
      </c>
      <c r="F61" s="100">
        <v>1</v>
      </c>
      <c r="G61" s="39">
        <v>1</v>
      </c>
      <c r="H61" s="40">
        <f>ROUND(E61*G61*F61,2)</f>
        <v>45.3</v>
      </c>
      <c r="I61" s="41">
        <v>0</v>
      </c>
      <c r="J61" s="41">
        <v>1</v>
      </c>
      <c r="K61" s="41">
        <f>ROUND(I61*J61,2)</f>
        <v>0</v>
      </c>
      <c r="L61" s="85">
        <f>H61+K61</f>
        <v>45.3</v>
      </c>
      <c r="N61" s="86">
        <f t="shared" si="3"/>
        <v>0.5605</v>
      </c>
      <c r="P61" s="84">
        <f>($P$12*N61)/100</f>
        <v>146552.62338414093</v>
      </c>
      <c r="Q61" s="87">
        <f>P61/E61</f>
        <v>3235.1572490980338</v>
      </c>
      <c r="S61" s="84">
        <v>133206.51366069092</v>
      </c>
      <c r="T61" s="87">
        <v>2940.5411404126035</v>
      </c>
      <c r="V61" s="88">
        <f t="shared" si="6"/>
        <v>0.10019111946316506</v>
      </c>
      <c r="X61" s="84"/>
      <c r="Y61" s="87">
        <f t="shared" si="8"/>
        <v>146552.62338414093</v>
      </c>
      <c r="Z61" s="4"/>
    </row>
    <row r="62" spans="2:26" x14ac:dyDescent="0.25">
      <c r="B62" s="101" t="s">
        <v>88</v>
      </c>
      <c r="C62" s="97" t="s">
        <v>89</v>
      </c>
      <c r="D62" s="98"/>
      <c r="E62" s="103">
        <v>39.799999999999997</v>
      </c>
      <c r="F62" s="100">
        <v>1</v>
      </c>
      <c r="G62" s="39">
        <v>1</v>
      </c>
      <c r="H62" s="40">
        <f t="shared" si="0"/>
        <v>39.799999999999997</v>
      </c>
      <c r="I62" s="41">
        <v>0</v>
      </c>
      <c r="J62" s="41">
        <v>1</v>
      </c>
      <c r="K62" s="41">
        <f t="shared" si="1"/>
        <v>0</v>
      </c>
      <c r="L62" s="85">
        <f t="shared" si="2"/>
        <v>39.799999999999997</v>
      </c>
      <c r="N62" s="86">
        <f t="shared" si="3"/>
        <v>0.49249999999999999</v>
      </c>
      <c r="P62" s="84">
        <f t="shared" si="4"/>
        <v>128772.82250970455</v>
      </c>
      <c r="Q62" s="87">
        <f t="shared" si="5"/>
        <v>3235.4980530076523</v>
      </c>
      <c r="S62" s="84">
        <v>117045.86615145454</v>
      </c>
      <c r="T62" s="87">
        <v>2940.8509083280037</v>
      </c>
      <c r="V62" s="88">
        <f t="shared" si="6"/>
        <v>0.10019111946316506</v>
      </c>
      <c r="X62" s="84">
        <v>7560.4</v>
      </c>
      <c r="Y62" s="87">
        <f t="shared" si="8"/>
        <v>121212.42250970456</v>
      </c>
      <c r="Z62" s="4"/>
    </row>
    <row r="63" spans="2:26" x14ac:dyDescent="0.25">
      <c r="B63" s="101" t="s">
        <v>161</v>
      </c>
      <c r="C63" s="97" t="s">
        <v>194</v>
      </c>
      <c r="D63" s="98"/>
      <c r="E63" s="103">
        <v>43.5</v>
      </c>
      <c r="F63" s="100">
        <v>1</v>
      </c>
      <c r="G63" s="39">
        <v>1</v>
      </c>
      <c r="H63" s="40">
        <f t="shared" si="0"/>
        <v>43.5</v>
      </c>
      <c r="I63" s="41">
        <v>0</v>
      </c>
      <c r="J63" s="41">
        <v>1</v>
      </c>
      <c r="K63" s="41">
        <f t="shared" si="1"/>
        <v>0</v>
      </c>
      <c r="L63" s="85">
        <f t="shared" si="2"/>
        <v>43.5</v>
      </c>
      <c r="N63" s="86">
        <f t="shared" si="3"/>
        <v>0.5383</v>
      </c>
      <c r="P63" s="84">
        <f t="shared" si="4"/>
        <v>140748.04133395728</v>
      </c>
      <c r="Q63" s="87">
        <f t="shared" si="5"/>
        <v>3235.5871571024663</v>
      </c>
      <c r="R63" s="2"/>
      <c r="S63" s="84">
        <v>127930.53756208727</v>
      </c>
      <c r="T63" s="87">
        <v>2940.9318979790178</v>
      </c>
      <c r="U63" s="2"/>
      <c r="V63" s="88">
        <f t="shared" si="6"/>
        <v>0.10019111946316506</v>
      </c>
      <c r="W63" s="2"/>
      <c r="X63" s="84">
        <v>7551.71</v>
      </c>
      <c r="Y63" s="87">
        <f t="shared" si="8"/>
        <v>133196.33133395729</v>
      </c>
      <c r="Z63" s="4"/>
    </row>
    <row r="64" spans="2:26" x14ac:dyDescent="0.25">
      <c r="B64" s="101" t="s">
        <v>162</v>
      </c>
      <c r="C64" s="97" t="s">
        <v>216</v>
      </c>
      <c r="D64" s="98"/>
      <c r="E64" s="100">
        <f>(39.75+33.85+33.8+43.4)*0.85+(23.65/2)</f>
        <v>140.00499999999997</v>
      </c>
      <c r="F64" s="100">
        <v>1</v>
      </c>
      <c r="G64" s="39">
        <v>1</v>
      </c>
      <c r="H64" s="40">
        <f t="shared" si="0"/>
        <v>140.01</v>
      </c>
      <c r="I64" s="41">
        <v>0</v>
      </c>
      <c r="J64" s="41">
        <v>1</v>
      </c>
      <c r="K64" s="41">
        <f t="shared" si="1"/>
        <v>0</v>
      </c>
      <c r="L64" s="85">
        <f t="shared" si="2"/>
        <v>140.01</v>
      </c>
      <c r="N64" s="86">
        <f t="shared" si="3"/>
        <v>1.7323999999999999</v>
      </c>
      <c r="P64" s="84">
        <f t="shared" si="4"/>
        <v>452966.5740422582</v>
      </c>
      <c r="Q64" s="87">
        <f t="shared" si="5"/>
        <v>3235.3599803025486</v>
      </c>
      <c r="R64" s="93"/>
      <c r="S64" s="84">
        <v>411716.26095589815</v>
      </c>
      <c r="T64" s="87">
        <v>2940.7254094917912</v>
      </c>
      <c r="U64" s="93"/>
      <c r="V64" s="88">
        <f t="shared" si="6"/>
        <v>0.10019111946316506</v>
      </c>
      <c r="W64" s="93"/>
      <c r="X64" s="84">
        <v>27406.92</v>
      </c>
      <c r="Y64" s="87">
        <f t="shared" si="8"/>
        <v>425559.65404225822</v>
      </c>
      <c r="Z64" s="4"/>
    </row>
    <row r="65" spans="2:26" x14ac:dyDescent="0.25">
      <c r="B65" s="116" t="s">
        <v>90</v>
      </c>
      <c r="C65" s="117" t="s">
        <v>127</v>
      </c>
      <c r="D65" s="94"/>
      <c r="E65" s="115">
        <f>150.45+23.65-23.65</f>
        <v>150.44999999999999</v>
      </c>
      <c r="F65" s="111">
        <v>0.8</v>
      </c>
      <c r="G65" s="39">
        <v>1</v>
      </c>
      <c r="H65" s="40">
        <f t="shared" si="0"/>
        <v>120.36</v>
      </c>
      <c r="I65" s="41">
        <v>0</v>
      </c>
      <c r="J65" s="41">
        <v>1</v>
      </c>
      <c r="K65" s="41">
        <f t="shared" si="1"/>
        <v>0</v>
      </c>
      <c r="L65" s="85">
        <f t="shared" si="2"/>
        <v>120.36</v>
      </c>
      <c r="N65" s="86">
        <f t="shared" si="3"/>
        <v>1.4893000000000001</v>
      </c>
      <c r="P65" s="84">
        <f t="shared" si="4"/>
        <v>389403.78591614822</v>
      </c>
      <c r="Q65" s="87">
        <f t="shared" si="5"/>
        <v>2588.260458066788</v>
      </c>
      <c r="S65" s="84">
        <v>353941.94611037819</v>
      </c>
      <c r="T65" s="87">
        <v>2352.5553081447538</v>
      </c>
      <c r="V65" s="88">
        <f t="shared" si="6"/>
        <v>0.10019111946316506</v>
      </c>
      <c r="X65" s="84">
        <v>29766.05</v>
      </c>
      <c r="Y65" s="87">
        <f t="shared" si="8"/>
        <v>359637.73591614823</v>
      </c>
      <c r="Z65" s="4"/>
    </row>
    <row r="66" spans="2:26" x14ac:dyDescent="0.25">
      <c r="B66" s="101" t="s">
        <v>91</v>
      </c>
      <c r="C66" s="97" t="s">
        <v>181</v>
      </c>
      <c r="D66" s="98"/>
      <c r="E66" s="103">
        <v>0</v>
      </c>
      <c r="F66" s="100">
        <v>1</v>
      </c>
      <c r="G66" s="39">
        <v>1</v>
      </c>
      <c r="H66" s="40">
        <f t="shared" si="0"/>
        <v>0</v>
      </c>
      <c r="I66" s="41">
        <v>0</v>
      </c>
      <c r="J66" s="41">
        <v>1</v>
      </c>
      <c r="K66" s="41">
        <f t="shared" si="1"/>
        <v>0</v>
      </c>
      <c r="L66" s="85">
        <f t="shared" si="2"/>
        <v>0</v>
      </c>
      <c r="N66" s="86">
        <f t="shared" si="3"/>
        <v>0</v>
      </c>
      <c r="P66" s="84">
        <f t="shared" si="4"/>
        <v>0</v>
      </c>
      <c r="Q66" s="87" t="e">
        <f t="shared" si="5"/>
        <v>#DIV/0!</v>
      </c>
      <c r="S66" s="84">
        <v>0</v>
      </c>
      <c r="T66" s="87" t="e">
        <v>#DIV/0!</v>
      </c>
      <c r="V66" s="88" t="e">
        <f t="shared" si="6"/>
        <v>#DIV/0!</v>
      </c>
      <c r="X66" s="84">
        <v>26253.42</v>
      </c>
      <c r="Y66" s="87">
        <f t="shared" si="8"/>
        <v>-26253.42</v>
      </c>
      <c r="Z66" s="4"/>
    </row>
    <row r="67" spans="2:26" x14ac:dyDescent="0.25">
      <c r="B67" s="101" t="s">
        <v>92</v>
      </c>
      <c r="C67" s="97" t="s">
        <v>181</v>
      </c>
      <c r="D67" s="98"/>
      <c r="E67" s="103">
        <v>0</v>
      </c>
      <c r="F67" s="100">
        <v>1</v>
      </c>
      <c r="G67" s="39">
        <v>1</v>
      </c>
      <c r="H67" s="40">
        <f t="shared" si="0"/>
        <v>0</v>
      </c>
      <c r="I67" s="41">
        <v>0</v>
      </c>
      <c r="J67" s="41">
        <v>1</v>
      </c>
      <c r="K67" s="41">
        <f t="shared" si="1"/>
        <v>0</v>
      </c>
      <c r="L67" s="85">
        <f t="shared" si="2"/>
        <v>0</v>
      </c>
      <c r="N67" s="86">
        <f t="shared" si="3"/>
        <v>0</v>
      </c>
      <c r="P67" s="84">
        <f t="shared" si="4"/>
        <v>0</v>
      </c>
      <c r="Q67" s="87" t="e">
        <f t="shared" si="5"/>
        <v>#DIV/0!</v>
      </c>
      <c r="S67" s="84">
        <v>0</v>
      </c>
      <c r="T67" s="87" t="e">
        <v>#DIV/0!</v>
      </c>
      <c r="V67" s="88" t="e">
        <f t="shared" si="6"/>
        <v>#DIV/0!</v>
      </c>
      <c r="X67" s="84">
        <v>7750.37</v>
      </c>
      <c r="Y67" s="87">
        <f t="shared" si="8"/>
        <v>-7750.37</v>
      </c>
      <c r="Z67" s="4"/>
    </row>
    <row r="68" spans="2:26" x14ac:dyDescent="0.25">
      <c r="B68" s="116" t="s">
        <v>93</v>
      </c>
      <c r="C68" s="109" t="s">
        <v>95</v>
      </c>
      <c r="D68" s="94"/>
      <c r="E68" s="115">
        <v>39.200000000000003</v>
      </c>
      <c r="F68" s="111">
        <v>0.8</v>
      </c>
      <c r="G68" s="39">
        <v>1</v>
      </c>
      <c r="H68" s="40">
        <f t="shared" si="0"/>
        <v>31.36</v>
      </c>
      <c r="I68" s="41">
        <v>0</v>
      </c>
      <c r="J68" s="41">
        <v>1</v>
      </c>
      <c r="K68" s="41">
        <f t="shared" si="1"/>
        <v>0</v>
      </c>
      <c r="L68" s="85">
        <f t="shared" si="2"/>
        <v>31.36</v>
      </c>
      <c r="N68" s="86">
        <f t="shared" si="3"/>
        <v>0.38800000000000001</v>
      </c>
      <c r="P68" s="84">
        <f t="shared" si="4"/>
        <v>101449.45204825455</v>
      </c>
      <c r="Q68" s="87">
        <f t="shared" si="5"/>
        <v>2587.996225720779</v>
      </c>
      <c r="S68" s="84">
        <v>92210.753435054547</v>
      </c>
      <c r="T68" s="87">
        <v>2352.3151386493505</v>
      </c>
      <c r="V68" s="88">
        <f t="shared" si="6"/>
        <v>0.10019111946316506</v>
      </c>
      <c r="X68" s="84">
        <v>7447.41</v>
      </c>
      <c r="Y68" s="87">
        <f t="shared" si="8"/>
        <v>94002.042048254545</v>
      </c>
      <c r="Z68" s="4"/>
    </row>
    <row r="69" spans="2:26" x14ac:dyDescent="0.25">
      <c r="B69" s="108" t="s">
        <v>94</v>
      </c>
      <c r="C69" s="109" t="s">
        <v>95</v>
      </c>
      <c r="D69" s="94"/>
      <c r="E69" s="115">
        <v>179.3</v>
      </c>
      <c r="F69" s="111">
        <v>0.8</v>
      </c>
      <c r="G69" s="39">
        <v>1</v>
      </c>
      <c r="H69" s="40">
        <f t="shared" si="0"/>
        <v>143.44</v>
      </c>
      <c r="I69" s="41">
        <v>0</v>
      </c>
      <c r="J69" s="41">
        <v>1</v>
      </c>
      <c r="K69" s="41">
        <f t="shared" si="1"/>
        <v>0</v>
      </c>
      <c r="L69" s="85">
        <f t="shared" si="2"/>
        <v>143.44</v>
      </c>
      <c r="N69" s="86">
        <f t="shared" si="3"/>
        <v>1.7748999999999999</v>
      </c>
      <c r="P69" s="84">
        <f t="shared" si="4"/>
        <v>464078.94958878093</v>
      </c>
      <c r="Q69" s="87">
        <f t="shared" si="5"/>
        <v>2588.2819274332455</v>
      </c>
      <c r="S69" s="84">
        <v>421816.66564917087</v>
      </c>
      <c r="T69" s="87">
        <v>2352.5748223601272</v>
      </c>
      <c r="V69" s="88">
        <f t="shared" si="6"/>
        <v>0.10019111946316506</v>
      </c>
      <c r="X69" s="84">
        <v>26481.89</v>
      </c>
      <c r="Y69" s="87">
        <f t="shared" si="8"/>
        <v>437597.05958878092</v>
      </c>
      <c r="Z69" s="4"/>
    </row>
    <row r="70" spans="2:26" x14ac:dyDescent="0.25">
      <c r="B70" s="105" t="s">
        <v>96</v>
      </c>
      <c r="C70" s="106" t="s">
        <v>97</v>
      </c>
      <c r="D70" s="98"/>
      <c r="E70" s="103">
        <v>58</v>
      </c>
      <c r="F70" s="100">
        <v>1</v>
      </c>
      <c r="G70" s="39">
        <v>1</v>
      </c>
      <c r="H70" s="40">
        <f t="shared" si="0"/>
        <v>58</v>
      </c>
      <c r="I70" s="41">
        <v>0</v>
      </c>
      <c r="J70" s="41">
        <v>1</v>
      </c>
      <c r="K70" s="41">
        <f>ROUND(I70*J70,2)</f>
        <v>0</v>
      </c>
      <c r="L70" s="85">
        <f>H70+K70</f>
        <v>58</v>
      </c>
      <c r="N70" s="86">
        <f t="shared" si="3"/>
        <v>0.7177</v>
      </c>
      <c r="P70" s="84">
        <f t="shared" si="4"/>
        <v>187655.33952327911</v>
      </c>
      <c r="Q70" s="87">
        <f t="shared" si="5"/>
        <v>3235.4368883323982</v>
      </c>
      <c r="S70" s="84">
        <v>170566.12819674908</v>
      </c>
      <c r="T70" s="87">
        <v>2940.7953137370532</v>
      </c>
      <c r="V70" s="88">
        <f t="shared" si="6"/>
        <v>0.10019111946316506</v>
      </c>
      <c r="X70" s="84">
        <v>11018.39</v>
      </c>
      <c r="Y70" s="87">
        <f t="shared" si="8"/>
        <v>176636.94952327909</v>
      </c>
      <c r="Z70" s="4"/>
    </row>
    <row r="71" spans="2:26" x14ac:dyDescent="0.25">
      <c r="B71" s="105" t="s">
        <v>100</v>
      </c>
      <c r="C71" s="106" t="s">
        <v>128</v>
      </c>
      <c r="D71" s="98"/>
      <c r="E71" s="103">
        <v>33.200000000000003</v>
      </c>
      <c r="F71" s="100">
        <v>1</v>
      </c>
      <c r="G71" s="39">
        <v>1</v>
      </c>
      <c r="H71" s="40">
        <f t="shared" si="0"/>
        <v>33.200000000000003</v>
      </c>
      <c r="I71" s="41">
        <v>0</v>
      </c>
      <c r="J71" s="41">
        <v>1</v>
      </c>
      <c r="K71" s="41">
        <f t="shared" si="1"/>
        <v>0</v>
      </c>
      <c r="L71" s="85">
        <f t="shared" si="2"/>
        <v>33.200000000000003</v>
      </c>
      <c r="N71" s="86">
        <f t="shared" si="3"/>
        <v>0.4108</v>
      </c>
      <c r="P71" s="84">
        <f t="shared" si="4"/>
        <v>107410.91469438908</v>
      </c>
      <c r="Q71" s="87">
        <f t="shared" si="5"/>
        <v>3235.2685148912369</v>
      </c>
      <c r="S71" s="84">
        <v>97629.323482269087</v>
      </c>
      <c r="T71" s="87">
        <v>2940.6422735623214</v>
      </c>
      <c r="V71" s="88">
        <f t="shared" si="6"/>
        <v>0.10019111946316483</v>
      </c>
      <c r="X71" s="84">
        <v>8513.99</v>
      </c>
      <c r="Y71" s="87">
        <f t="shared" si="8"/>
        <v>98896.924694389076</v>
      </c>
      <c r="Z71" s="4"/>
    </row>
    <row r="72" spans="2:26" x14ac:dyDescent="0.25">
      <c r="B72" s="105" t="s">
        <v>99</v>
      </c>
      <c r="C72" s="106" t="s">
        <v>164</v>
      </c>
      <c r="D72" s="98"/>
      <c r="E72" s="103">
        <v>43</v>
      </c>
      <c r="F72" s="100">
        <v>1</v>
      </c>
      <c r="G72" s="39">
        <v>1</v>
      </c>
      <c r="H72" s="40">
        <f t="shared" si="0"/>
        <v>43</v>
      </c>
      <c r="I72" s="41">
        <v>0</v>
      </c>
      <c r="J72" s="41">
        <v>1</v>
      </c>
      <c r="K72" s="41">
        <f>ROUND(I72*J72,2)</f>
        <v>0</v>
      </c>
      <c r="L72" s="85">
        <f>H72+K72</f>
        <v>43</v>
      </c>
      <c r="N72" s="86">
        <f t="shared" si="3"/>
        <v>0.53210000000000002</v>
      </c>
      <c r="P72" s="84">
        <f t="shared" si="4"/>
        <v>139126.94184246456</v>
      </c>
      <c r="Q72" s="87">
        <f t="shared" si="5"/>
        <v>3235.5102754061522</v>
      </c>
      <c r="S72" s="84">
        <v>126457.06675977455</v>
      </c>
      <c r="T72" s="87">
        <v>2940.8620176691757</v>
      </c>
      <c r="V72" s="88">
        <f t="shared" si="6"/>
        <v>0.10019111946316506</v>
      </c>
      <c r="X72" s="84">
        <v>8168.81</v>
      </c>
      <c r="Y72" s="87">
        <f t="shared" si="8"/>
        <v>130958.13184246456</v>
      </c>
      <c r="Z72" s="4"/>
    </row>
    <row r="73" spans="2:26" x14ac:dyDescent="0.25">
      <c r="B73" s="105" t="s">
        <v>98</v>
      </c>
      <c r="C73" s="106" t="s">
        <v>165</v>
      </c>
      <c r="D73" s="98"/>
      <c r="E73" s="103">
        <v>43</v>
      </c>
      <c r="F73" s="100">
        <v>1</v>
      </c>
      <c r="G73" s="39">
        <v>1</v>
      </c>
      <c r="H73" s="40">
        <f t="shared" si="0"/>
        <v>43</v>
      </c>
      <c r="I73" s="41">
        <v>0</v>
      </c>
      <c r="J73" s="41">
        <v>1</v>
      </c>
      <c r="K73" s="41">
        <f>ROUND(I73*J73,2)</f>
        <v>0</v>
      </c>
      <c r="L73" s="85">
        <f>H73+K73</f>
        <v>43</v>
      </c>
      <c r="N73" s="86">
        <f t="shared" si="3"/>
        <v>0.53210000000000002</v>
      </c>
      <c r="P73" s="84">
        <f t="shared" si="4"/>
        <v>139126.94184246456</v>
      </c>
      <c r="Q73" s="87">
        <f t="shared" si="5"/>
        <v>3235.5102754061522</v>
      </c>
      <c r="S73" s="84">
        <v>126457.06675977455</v>
      </c>
      <c r="T73" s="87">
        <v>2940.8620176691757</v>
      </c>
      <c r="V73" s="88">
        <f t="shared" si="6"/>
        <v>0.10019111946316506</v>
      </c>
      <c r="X73" s="84">
        <v>8168.81</v>
      </c>
      <c r="Y73" s="87">
        <f t="shared" si="8"/>
        <v>130958.13184246456</v>
      </c>
      <c r="Z73" s="4"/>
    </row>
    <row r="74" spans="2:26" x14ac:dyDescent="0.25">
      <c r="B74" s="108" t="s">
        <v>170</v>
      </c>
      <c r="C74" s="109" t="s">
        <v>180</v>
      </c>
      <c r="D74" s="94"/>
      <c r="E74" s="115">
        <v>101.8</v>
      </c>
      <c r="F74" s="111">
        <v>0.7</v>
      </c>
      <c r="G74" s="39">
        <v>1</v>
      </c>
      <c r="H74" s="40">
        <f t="shared" si="0"/>
        <v>71.260000000000005</v>
      </c>
      <c r="I74" s="41">
        <v>0</v>
      </c>
      <c r="J74" s="41">
        <v>1</v>
      </c>
      <c r="K74" s="41">
        <f t="shared" si="1"/>
        <v>0</v>
      </c>
      <c r="L74" s="85">
        <f t="shared" si="2"/>
        <v>71.260000000000005</v>
      </c>
      <c r="N74" s="86">
        <f t="shared" si="3"/>
        <v>0.88170000000000004</v>
      </c>
      <c r="P74" s="84">
        <f t="shared" si="4"/>
        <v>230536.03574986092</v>
      </c>
      <c r="Q74" s="87">
        <f t="shared" si="5"/>
        <v>2264.5976006862566</v>
      </c>
      <c r="S74" s="84">
        <v>209541.80748373093</v>
      </c>
      <c r="T74" s="87">
        <v>2058.3674605474553</v>
      </c>
      <c r="V74" s="88">
        <f t="shared" si="6"/>
        <v>0.10019111946316506</v>
      </c>
      <c r="X74" s="84">
        <v>32553.55</v>
      </c>
      <c r="Y74" s="87">
        <f t="shared" si="8"/>
        <v>197982.48574986093</v>
      </c>
      <c r="Z74" s="4"/>
    </row>
    <row r="75" spans="2:26" x14ac:dyDescent="0.25">
      <c r="B75" s="108" t="s">
        <v>169</v>
      </c>
      <c r="C75" s="109" t="s">
        <v>108</v>
      </c>
      <c r="D75" s="94"/>
      <c r="E75" s="115">
        <v>88.6</v>
      </c>
      <c r="F75" s="111">
        <v>0.7</v>
      </c>
      <c r="G75" s="39">
        <v>1</v>
      </c>
      <c r="H75" s="40">
        <f t="shared" si="0"/>
        <v>62.02</v>
      </c>
      <c r="I75" s="41">
        <v>0</v>
      </c>
      <c r="J75" s="41">
        <v>1</v>
      </c>
      <c r="K75" s="41">
        <f t="shared" si="1"/>
        <v>0</v>
      </c>
      <c r="L75" s="85">
        <f t="shared" si="2"/>
        <v>62.02</v>
      </c>
      <c r="N75" s="86">
        <f t="shared" si="3"/>
        <v>0.76739999999999997</v>
      </c>
      <c r="P75" s="84">
        <f t="shared" si="4"/>
        <v>200650.28222121272</v>
      </c>
      <c r="Q75" s="87">
        <f t="shared" si="5"/>
        <v>2264.6758715712499</v>
      </c>
      <c r="S75" s="84">
        <v>182377.66027335273</v>
      </c>
      <c r="T75" s="87">
        <v>2058.4386035367124</v>
      </c>
      <c r="V75" s="88">
        <f t="shared" si="6"/>
        <v>0.10019111946316506</v>
      </c>
      <c r="X75" s="84">
        <v>32553.55</v>
      </c>
      <c r="Y75" s="87">
        <f t="shared" si="8"/>
        <v>168096.73222121273</v>
      </c>
      <c r="Z75" s="4"/>
    </row>
    <row r="76" spans="2:26" x14ac:dyDescent="0.25">
      <c r="B76" s="105" t="s">
        <v>101</v>
      </c>
      <c r="C76" s="106" t="s">
        <v>223</v>
      </c>
      <c r="D76" s="98"/>
      <c r="E76" s="103">
        <f>93.1+30.25</f>
        <v>123.35</v>
      </c>
      <c r="F76" s="100">
        <v>1</v>
      </c>
      <c r="G76" s="39">
        <v>1</v>
      </c>
      <c r="H76" s="40">
        <f t="shared" si="0"/>
        <v>123.35</v>
      </c>
      <c r="I76" s="41">
        <v>0</v>
      </c>
      <c r="J76" s="41">
        <v>1</v>
      </c>
      <c r="K76" s="41">
        <f t="shared" si="1"/>
        <v>0</v>
      </c>
      <c r="L76" s="85">
        <f t="shared" si="2"/>
        <v>123.35</v>
      </c>
      <c r="N76" s="86">
        <f t="shared" si="3"/>
        <v>1.5263</v>
      </c>
      <c r="P76" s="84">
        <f t="shared" si="4"/>
        <v>399078.08933312091</v>
      </c>
      <c r="Q76" s="87">
        <f t="shared" si="5"/>
        <v>3235.331084986793</v>
      </c>
      <c r="S76" s="84">
        <v>362735.23960805091</v>
      </c>
      <c r="T76" s="87">
        <v>2940.6991455861444</v>
      </c>
      <c r="V76" s="88">
        <f t="shared" si="6"/>
        <v>0.10019111946316506</v>
      </c>
      <c r="X76" s="84">
        <v>0</v>
      </c>
      <c r="Y76" s="87">
        <f t="shared" si="8"/>
        <v>399078.08933312091</v>
      </c>
      <c r="Z76" s="4"/>
    </row>
    <row r="77" spans="2:26" x14ac:dyDescent="0.25">
      <c r="B77" s="105" t="s">
        <v>102</v>
      </c>
      <c r="C77" s="106" t="s">
        <v>223</v>
      </c>
      <c r="D77" s="98"/>
      <c r="E77" s="103">
        <v>95.65</v>
      </c>
      <c r="F77" s="100">
        <v>1</v>
      </c>
      <c r="G77" s="39">
        <v>1</v>
      </c>
      <c r="H77" s="40">
        <f t="shared" si="0"/>
        <v>95.65</v>
      </c>
      <c r="I77" s="41">
        <v>0</v>
      </c>
      <c r="J77" s="41">
        <v>1</v>
      </c>
      <c r="K77" s="41">
        <f t="shared" si="1"/>
        <v>0</v>
      </c>
      <c r="L77" s="85">
        <f t="shared" si="2"/>
        <v>95.65</v>
      </c>
      <c r="N77" s="86">
        <f t="shared" si="3"/>
        <v>1.1835</v>
      </c>
      <c r="P77" s="84">
        <f t="shared" si="4"/>
        <v>309446.9755131682</v>
      </c>
      <c r="Q77" s="87">
        <f t="shared" si="5"/>
        <v>3235.2009985694531</v>
      </c>
      <c r="S77" s="84">
        <v>281266.56363501819</v>
      </c>
      <c r="T77" s="87">
        <v>2940.5809057503207</v>
      </c>
      <c r="V77" s="88">
        <f t="shared" si="6"/>
        <v>0.10019111946316506</v>
      </c>
      <c r="X77" s="84"/>
      <c r="Y77" s="87">
        <f t="shared" si="8"/>
        <v>309446.9755131682</v>
      </c>
      <c r="Z77" s="4"/>
    </row>
    <row r="78" spans="2:26" x14ac:dyDescent="0.25">
      <c r="B78" s="105" t="s">
        <v>103</v>
      </c>
      <c r="C78" s="106" t="s">
        <v>104</v>
      </c>
      <c r="D78" s="98"/>
      <c r="E78" s="103">
        <v>60.65</v>
      </c>
      <c r="F78" s="100">
        <v>1</v>
      </c>
      <c r="G78" s="39">
        <v>1</v>
      </c>
      <c r="H78" s="40">
        <f t="shared" si="0"/>
        <v>60.65</v>
      </c>
      <c r="I78" s="41">
        <v>0</v>
      </c>
      <c r="J78" s="41">
        <v>1</v>
      </c>
      <c r="K78" s="41">
        <f t="shared" si="1"/>
        <v>0</v>
      </c>
      <c r="L78" s="85">
        <f t="shared" si="2"/>
        <v>60.65</v>
      </c>
      <c r="N78" s="86">
        <f t="shared" ref="N78:N88" si="9">ROUND((L78/$L$113)*100,4)</f>
        <v>0.75049999999999994</v>
      </c>
      <c r="P78" s="84">
        <f t="shared" si="4"/>
        <v>196231.47876859547</v>
      </c>
      <c r="Q78" s="87">
        <f t="shared" si="5"/>
        <v>3235.4736812629098</v>
      </c>
      <c r="S78" s="84">
        <v>178361.26405414543</v>
      </c>
      <c r="T78" s="87">
        <v>2940.8287560452668</v>
      </c>
      <c r="V78" s="88">
        <f t="shared" si="6"/>
        <v>0.10019111946316528</v>
      </c>
      <c r="X78" s="84">
        <v>11521.26</v>
      </c>
      <c r="Y78" s="87">
        <f t="shared" si="8"/>
        <v>184710.21876859546</v>
      </c>
      <c r="Z78" s="4"/>
    </row>
    <row r="79" spans="2:26" x14ac:dyDescent="0.25">
      <c r="B79" s="105" t="s">
        <v>204</v>
      </c>
      <c r="C79" s="106" t="s">
        <v>205</v>
      </c>
      <c r="D79" s="98"/>
      <c r="E79" s="103">
        <v>97.55</v>
      </c>
      <c r="F79" s="100">
        <v>0.8</v>
      </c>
      <c r="G79" s="172">
        <v>1</v>
      </c>
      <c r="H79" s="173">
        <f t="shared" si="0"/>
        <v>78.040000000000006</v>
      </c>
      <c r="I79" s="174">
        <v>0</v>
      </c>
      <c r="J79" s="174">
        <v>1</v>
      </c>
      <c r="K79" s="174">
        <f t="shared" si="1"/>
        <v>0</v>
      </c>
      <c r="L79" s="175">
        <f t="shared" si="2"/>
        <v>78.040000000000006</v>
      </c>
      <c r="M79" s="80"/>
      <c r="N79" s="86">
        <f t="shared" si="9"/>
        <v>0.96560000000000001</v>
      </c>
      <c r="O79" s="80"/>
      <c r="P79" s="84">
        <f t="shared" si="4"/>
        <v>252473.17241699636</v>
      </c>
      <c r="Q79" s="87">
        <f t="shared" si="5"/>
        <v>2588.1411831573178</v>
      </c>
      <c r="S79" s="84">
        <v>229481.19463115637</v>
      </c>
      <c r="T79" s="87">
        <v>2352.4468952450679</v>
      </c>
      <c r="V79" s="88">
        <f t="shared" ref="V79:V86" si="10">(P79/S79)-1</f>
        <v>0.10019111946316483</v>
      </c>
      <c r="X79" s="84">
        <v>18700.47</v>
      </c>
      <c r="Y79" s="87">
        <f t="shared" si="8"/>
        <v>233772.70241699636</v>
      </c>
      <c r="Z79" s="4"/>
    </row>
    <row r="80" spans="2:26" x14ac:dyDescent="0.25">
      <c r="B80" s="105" t="s">
        <v>207</v>
      </c>
      <c r="C80" s="106" t="s">
        <v>206</v>
      </c>
      <c r="D80" s="98"/>
      <c r="E80" s="103">
        <v>33.700000000000003</v>
      </c>
      <c r="F80" s="100">
        <v>0.8</v>
      </c>
      <c r="G80" s="172">
        <v>1</v>
      </c>
      <c r="H80" s="173">
        <f t="shared" si="0"/>
        <v>26.96</v>
      </c>
      <c r="I80" s="174">
        <v>0</v>
      </c>
      <c r="J80" s="174">
        <v>1</v>
      </c>
      <c r="K80" s="174">
        <f t="shared" si="1"/>
        <v>0</v>
      </c>
      <c r="L80" s="175">
        <f t="shared" si="2"/>
        <v>26.96</v>
      </c>
      <c r="M80" s="80"/>
      <c r="N80" s="86">
        <f t="shared" si="9"/>
        <v>0.33360000000000001</v>
      </c>
      <c r="O80" s="80"/>
      <c r="P80" s="84">
        <f t="shared" si="4"/>
        <v>87225.611348705454</v>
      </c>
      <c r="Q80" s="87">
        <f t="shared" si="5"/>
        <v>2588.2970726618828</v>
      </c>
      <c r="S80" s="84">
        <v>79282.235427665466</v>
      </c>
      <c r="T80" s="87">
        <v>2352.5885883580254</v>
      </c>
      <c r="V80" s="88">
        <f t="shared" si="10"/>
        <v>0.10019111946316483</v>
      </c>
      <c r="X80" s="84">
        <v>18700.47</v>
      </c>
      <c r="Y80" s="87">
        <f t="shared" si="8"/>
        <v>68525.141348705452</v>
      </c>
      <c r="Z80" s="4"/>
    </row>
    <row r="81" spans="2:26" x14ac:dyDescent="0.25">
      <c r="B81" s="105" t="s">
        <v>105</v>
      </c>
      <c r="C81" s="106" t="s">
        <v>227</v>
      </c>
      <c r="D81" s="98"/>
      <c r="E81" s="103">
        <v>96.05</v>
      </c>
      <c r="F81" s="100">
        <v>1</v>
      </c>
      <c r="G81" s="172">
        <v>1</v>
      </c>
      <c r="H81" s="173">
        <f t="shared" si="0"/>
        <v>96.05</v>
      </c>
      <c r="I81" s="174">
        <v>0</v>
      </c>
      <c r="J81" s="174">
        <v>1</v>
      </c>
      <c r="K81" s="174">
        <f t="shared" si="1"/>
        <v>0</v>
      </c>
      <c r="L81" s="175">
        <f t="shared" si="2"/>
        <v>96.05</v>
      </c>
      <c r="N81" s="86">
        <f t="shared" si="9"/>
        <v>1.1884999999999999</v>
      </c>
      <c r="P81" s="84">
        <f t="shared" si="4"/>
        <v>310754.31381275906</v>
      </c>
      <c r="Q81" s="87">
        <f t="shared" si="5"/>
        <v>3235.3390298048835</v>
      </c>
      <c r="S81" s="84">
        <v>282454.84654010908</v>
      </c>
      <c r="T81" s="87">
        <v>2940.7063668933793</v>
      </c>
      <c r="V81" s="88">
        <f t="shared" si="10"/>
        <v>0.10019111946316483</v>
      </c>
      <c r="X81" s="84">
        <v>18246.03</v>
      </c>
      <c r="Y81" s="87">
        <f t="shared" si="8"/>
        <v>292508.28381275909</v>
      </c>
      <c r="Z81" s="4"/>
    </row>
    <row r="82" spans="2:26" x14ac:dyDescent="0.25">
      <c r="B82" s="105" t="s">
        <v>106</v>
      </c>
      <c r="C82" s="106" t="s">
        <v>184</v>
      </c>
      <c r="D82" s="98"/>
      <c r="E82" s="103">
        <v>66.8</v>
      </c>
      <c r="F82" s="100">
        <v>1</v>
      </c>
      <c r="G82" s="172">
        <v>1</v>
      </c>
      <c r="H82" s="173">
        <f t="shared" si="0"/>
        <v>66.8</v>
      </c>
      <c r="I82" s="174">
        <v>0</v>
      </c>
      <c r="J82" s="174">
        <v>1</v>
      </c>
      <c r="K82" s="174">
        <f t="shared" si="1"/>
        <v>0</v>
      </c>
      <c r="L82" s="175">
        <f t="shared" si="2"/>
        <v>66.8</v>
      </c>
      <c r="N82" s="86">
        <f t="shared" si="9"/>
        <v>0.8266</v>
      </c>
      <c r="P82" s="84">
        <f t="shared" si="4"/>
        <v>216129.16768836908</v>
      </c>
      <c r="Q82" s="87">
        <f t="shared" si="5"/>
        <v>3235.4665821612139</v>
      </c>
      <c r="S82" s="84">
        <v>196446.92986962909</v>
      </c>
      <c r="T82" s="87">
        <v>2940.8223034375615</v>
      </c>
      <c r="V82" s="88">
        <f t="shared" si="10"/>
        <v>0.10019111946316483</v>
      </c>
      <c r="X82" s="84"/>
      <c r="Y82" s="87">
        <f t="shared" si="8"/>
        <v>216129.16768836908</v>
      </c>
      <c r="Z82" s="4"/>
    </row>
    <row r="83" spans="2:26" x14ac:dyDescent="0.25">
      <c r="B83" s="105" t="s">
        <v>185</v>
      </c>
      <c r="C83" s="106" t="s">
        <v>197</v>
      </c>
      <c r="D83" s="98"/>
      <c r="E83" s="103">
        <v>42.8</v>
      </c>
      <c r="F83" s="100">
        <v>1</v>
      </c>
      <c r="G83" s="172">
        <v>1</v>
      </c>
      <c r="H83" s="173">
        <f t="shared" si="0"/>
        <v>42.8</v>
      </c>
      <c r="I83" s="174">
        <v>0</v>
      </c>
      <c r="J83" s="174">
        <v>1</v>
      </c>
      <c r="K83" s="174">
        <f t="shared" si="1"/>
        <v>0</v>
      </c>
      <c r="L83" s="175">
        <f t="shared" si="2"/>
        <v>42.8</v>
      </c>
      <c r="N83" s="86">
        <f t="shared" si="9"/>
        <v>0.52959999999999996</v>
      </c>
      <c r="P83" s="84">
        <f t="shared" si="4"/>
        <v>138473.2726926691</v>
      </c>
      <c r="Q83" s="87">
        <f t="shared" si="5"/>
        <v>3235.356838613764</v>
      </c>
      <c r="S83" s="84">
        <v>125862.92530722909</v>
      </c>
      <c r="T83" s="87">
        <v>2940.7225539072219</v>
      </c>
      <c r="V83" s="88">
        <f t="shared" si="10"/>
        <v>0.10019111946316506</v>
      </c>
      <c r="X83" s="84"/>
      <c r="Y83" s="87"/>
      <c r="Z83" s="4"/>
    </row>
    <row r="84" spans="2:26" x14ac:dyDescent="0.25">
      <c r="B84" s="105" t="s">
        <v>177</v>
      </c>
      <c r="C84" s="106" t="s">
        <v>107</v>
      </c>
      <c r="D84" s="98"/>
      <c r="E84" s="103">
        <f>95.65+95.65+95.2+200.8</f>
        <v>487.3</v>
      </c>
      <c r="F84" s="100">
        <v>1</v>
      </c>
      <c r="G84" s="172">
        <v>1</v>
      </c>
      <c r="H84" s="173">
        <f t="shared" si="0"/>
        <v>487.3</v>
      </c>
      <c r="I84" s="174">
        <v>0</v>
      </c>
      <c r="J84" s="174">
        <v>1</v>
      </c>
      <c r="K84" s="174">
        <f t="shared" si="1"/>
        <v>0</v>
      </c>
      <c r="L84" s="175">
        <f t="shared" si="2"/>
        <v>487.3</v>
      </c>
      <c r="N84" s="86">
        <f t="shared" si="9"/>
        <v>6.0297000000000001</v>
      </c>
      <c r="P84" s="84">
        <f t="shared" si="4"/>
        <v>1576571.5490086609</v>
      </c>
      <c r="Q84" s="87">
        <f t="shared" si="5"/>
        <v>3235.3202319077795</v>
      </c>
      <c r="S84" s="84">
        <v>1432997.8865653309</v>
      </c>
      <c r="T84" s="87">
        <v>2940.689280864623</v>
      </c>
      <c r="V84" s="88">
        <f t="shared" si="10"/>
        <v>0.10019111946316506</v>
      </c>
      <c r="X84" s="84">
        <v>54426.44</v>
      </c>
      <c r="Y84" s="87">
        <f t="shared" si="8"/>
        <v>1522145.109008661</v>
      </c>
      <c r="Z84" s="4"/>
    </row>
    <row r="85" spans="2:26" x14ac:dyDescent="0.25">
      <c r="B85" s="116" t="s">
        <v>109</v>
      </c>
      <c r="C85" s="109" t="s">
        <v>172</v>
      </c>
      <c r="D85" s="94"/>
      <c r="E85" s="115">
        <f>89</f>
        <v>89</v>
      </c>
      <c r="F85" s="111">
        <v>1</v>
      </c>
      <c r="G85" s="172">
        <v>1</v>
      </c>
      <c r="H85" s="173">
        <f t="shared" si="0"/>
        <v>89</v>
      </c>
      <c r="I85" s="174">
        <v>0</v>
      </c>
      <c r="J85" s="174">
        <v>1</v>
      </c>
      <c r="K85" s="174">
        <f>ROUND(I85*J85,2)</f>
        <v>0</v>
      </c>
      <c r="L85" s="175">
        <f>H85+K85</f>
        <v>89</v>
      </c>
      <c r="N85" s="86">
        <f t="shared" si="9"/>
        <v>1.1012999999999999</v>
      </c>
      <c r="P85" s="84">
        <f t="shared" si="4"/>
        <v>287954.33386789361</v>
      </c>
      <c r="Q85" s="87">
        <f t="shared" si="5"/>
        <v>3235.4419535718384</v>
      </c>
      <c r="S85" s="84">
        <v>261731.19267532363</v>
      </c>
      <c r="T85" s="87">
        <v>2940.7999177002657</v>
      </c>
      <c r="V85" s="88">
        <f t="shared" si="10"/>
        <v>0.10019111946316483</v>
      </c>
      <c r="X85" s="84">
        <v>16242.01</v>
      </c>
      <c r="Y85" s="87">
        <f t="shared" si="8"/>
        <v>271712.3238678936</v>
      </c>
      <c r="Z85" s="4"/>
    </row>
    <row r="86" spans="2:26" x14ac:dyDescent="0.25">
      <c r="B86" s="116" t="s">
        <v>189</v>
      </c>
      <c r="C86" s="109" t="s">
        <v>191</v>
      </c>
      <c r="D86" s="94"/>
      <c r="E86" s="115">
        <v>19.600000000000001</v>
      </c>
      <c r="F86" s="111">
        <v>0</v>
      </c>
      <c r="G86" s="172">
        <v>0</v>
      </c>
      <c r="H86" s="173">
        <f>ROUND(E86*G86*F86,2)</f>
        <v>0</v>
      </c>
      <c r="I86" s="174">
        <v>0</v>
      </c>
      <c r="J86" s="174">
        <v>1</v>
      </c>
      <c r="K86" s="174">
        <f>ROUND(I86*J86,2)</f>
        <v>0</v>
      </c>
      <c r="L86" s="175">
        <f>H86+K86</f>
        <v>0</v>
      </c>
      <c r="N86" s="86">
        <f t="shared" si="9"/>
        <v>0</v>
      </c>
      <c r="P86" s="84">
        <f>($P$12*N86)/100</f>
        <v>0</v>
      </c>
      <c r="Q86" s="87">
        <f>P86/E86</f>
        <v>0</v>
      </c>
      <c r="S86" s="84">
        <v>0</v>
      </c>
      <c r="T86" s="87">
        <v>0</v>
      </c>
      <c r="V86" s="88" t="e">
        <f t="shared" si="10"/>
        <v>#DIV/0!</v>
      </c>
      <c r="X86" s="84">
        <v>0</v>
      </c>
      <c r="Y86" s="87">
        <f t="shared" si="8"/>
        <v>0</v>
      </c>
      <c r="Z86" s="4"/>
    </row>
    <row r="87" spans="2:26" x14ac:dyDescent="0.25">
      <c r="B87" s="105" t="s">
        <v>110</v>
      </c>
      <c r="C87" s="106" t="s">
        <v>173</v>
      </c>
      <c r="D87" s="98"/>
      <c r="E87" s="103">
        <v>89.6</v>
      </c>
      <c r="F87" s="100">
        <v>1</v>
      </c>
      <c r="G87" s="172">
        <v>1</v>
      </c>
      <c r="H87" s="173">
        <f>ROUND(E87*G87*F87,2)</f>
        <v>89.6</v>
      </c>
      <c r="I87" s="174">
        <v>0</v>
      </c>
      <c r="J87" s="174">
        <v>1</v>
      </c>
      <c r="K87" s="174">
        <f>ROUND(I87*J87,2)</f>
        <v>0</v>
      </c>
      <c r="L87" s="175">
        <f>H87+K87</f>
        <v>89.6</v>
      </c>
      <c r="N87" s="86">
        <f t="shared" si="9"/>
        <v>1.1087</v>
      </c>
      <c r="P87" s="84">
        <f>($P$12*N87)/100</f>
        <v>289889.19455128821</v>
      </c>
      <c r="Q87" s="87">
        <f>P87/E87</f>
        <v>3235.3704749027702</v>
      </c>
      <c r="S87" s="84">
        <v>263489.85137485818</v>
      </c>
      <c r="T87" s="87">
        <v>2940.7349483801136</v>
      </c>
      <c r="V87" s="88">
        <f>(P87/S87)-1</f>
        <v>0.10019111946316506</v>
      </c>
      <c r="X87" s="84">
        <v>17021.759999999998</v>
      </c>
      <c r="Y87" s="87">
        <f t="shared" si="8"/>
        <v>272867.4345512882</v>
      </c>
      <c r="Z87" s="4"/>
    </row>
    <row r="88" spans="2:26" ht="13.5" thickBot="1" x14ac:dyDescent="0.3">
      <c r="B88" s="144" t="s">
        <v>178</v>
      </c>
      <c r="C88" s="145" t="s">
        <v>221</v>
      </c>
      <c r="D88" s="98"/>
      <c r="E88" s="164">
        <v>76</v>
      </c>
      <c r="F88" s="148">
        <v>1</v>
      </c>
      <c r="G88" s="176">
        <v>1</v>
      </c>
      <c r="H88" s="177">
        <f>ROUND(E88*G88*F88,2)</f>
        <v>76</v>
      </c>
      <c r="I88" s="178">
        <v>0</v>
      </c>
      <c r="J88" s="178">
        <v>1</v>
      </c>
      <c r="K88" s="178">
        <f>ROUND(I88*J88,2)</f>
        <v>0</v>
      </c>
      <c r="L88" s="179">
        <f>H88+K88</f>
        <v>76</v>
      </c>
      <c r="M88" s="80"/>
      <c r="N88" s="182">
        <f t="shared" si="9"/>
        <v>0.94040000000000001</v>
      </c>
      <c r="O88" s="80"/>
      <c r="P88" s="146">
        <f>($P$12*N88)/100</f>
        <v>245884.18738705816</v>
      </c>
      <c r="Q88" s="89">
        <f>P88/E88</f>
        <v>3235.3182550928705</v>
      </c>
      <c r="S88" s="146">
        <v>223492.24878949818</v>
      </c>
      <c r="T88" s="89">
        <v>2940.6874840723444</v>
      </c>
      <c r="V88" s="90">
        <f>(P88/S88)-1</f>
        <v>0.10019111946316483</v>
      </c>
      <c r="X88" s="146">
        <v>15437.42</v>
      </c>
      <c r="Y88" s="89">
        <f t="shared" si="8"/>
        <v>230446.76738705815</v>
      </c>
      <c r="Z88" s="4"/>
    </row>
    <row r="89" spans="2:26" ht="13.5" thickBot="1" x14ac:dyDescent="0.3">
      <c r="B89" s="42"/>
      <c r="C89" s="43"/>
      <c r="E89" s="44"/>
      <c r="F89" s="44"/>
      <c r="G89" s="45"/>
      <c r="H89" s="46"/>
      <c r="I89" s="44"/>
      <c r="J89" s="44"/>
      <c r="K89" s="44"/>
      <c r="L89" s="44"/>
      <c r="N89" s="47"/>
      <c r="P89" s="48"/>
      <c r="Q89" s="48"/>
      <c r="S89" s="48"/>
      <c r="T89" s="48"/>
      <c r="V89" s="49"/>
      <c r="X89" s="48"/>
      <c r="Y89" s="48"/>
      <c r="Z89" s="66"/>
    </row>
    <row r="90" spans="2:26" ht="13.5" thickBot="1" x14ac:dyDescent="0.3">
      <c r="B90" s="139">
        <v>148</v>
      </c>
      <c r="C90" s="140" t="s">
        <v>111</v>
      </c>
      <c r="D90" s="98"/>
      <c r="E90" s="141">
        <v>20</v>
      </c>
      <c r="F90" s="142">
        <v>1</v>
      </c>
      <c r="G90" s="37">
        <v>1</v>
      </c>
      <c r="H90" s="38">
        <f t="shared" ref="H90:H111" si="11">ROUND(E90*G90*F90,2)</f>
        <v>20</v>
      </c>
      <c r="I90" s="36">
        <v>0</v>
      </c>
      <c r="J90" s="36">
        <v>1</v>
      </c>
      <c r="K90" s="36">
        <v>0</v>
      </c>
      <c r="L90" s="153">
        <f>H90+K90</f>
        <v>20</v>
      </c>
      <c r="N90" s="181">
        <f t="shared" ref="N90:N111" si="12">ROUND((L90/$L$113)*100,4)</f>
        <v>0.2475</v>
      </c>
      <c r="P90" s="152">
        <f t="shared" ref="P90:P111" si="13">($P$12*N90)/100</f>
        <v>64713.245829749998</v>
      </c>
      <c r="Q90" s="154">
        <f t="shared" ref="Q90:Q111" si="14">P90/E90</f>
        <v>3235.6622914874997</v>
      </c>
      <c r="S90" s="152">
        <v>58820.003801999992</v>
      </c>
      <c r="T90" s="154">
        <v>2941.0001900999996</v>
      </c>
      <c r="V90" s="90">
        <f t="shared" ref="V90:V111" si="15">(P90/S90)-1</f>
        <v>0.10019111946316506</v>
      </c>
      <c r="X90" s="48"/>
      <c r="Y90" s="48"/>
      <c r="Z90" s="66"/>
    </row>
    <row r="91" spans="2:26" ht="13.5" thickBot="1" x14ac:dyDescent="0.3">
      <c r="B91" s="105">
        <v>149</v>
      </c>
      <c r="C91" s="106" t="s">
        <v>112</v>
      </c>
      <c r="D91" s="98"/>
      <c r="E91" s="107">
        <v>28</v>
      </c>
      <c r="F91" s="100">
        <v>1</v>
      </c>
      <c r="G91" s="39">
        <v>1</v>
      </c>
      <c r="H91" s="40">
        <f t="shared" si="11"/>
        <v>28</v>
      </c>
      <c r="I91" s="41">
        <v>0</v>
      </c>
      <c r="J91" s="41">
        <v>1</v>
      </c>
      <c r="K91" s="41">
        <v>0</v>
      </c>
      <c r="L91" s="85">
        <f t="shared" ref="L91:L111" si="16">H91+K91</f>
        <v>28</v>
      </c>
      <c r="N91" s="86">
        <f t="shared" si="12"/>
        <v>0.34649999999999997</v>
      </c>
      <c r="P91" s="84">
        <f t="shared" si="13"/>
        <v>90598.544161650003</v>
      </c>
      <c r="Q91" s="87">
        <f t="shared" si="14"/>
        <v>3235.6622914875002</v>
      </c>
      <c r="S91" s="84">
        <v>82348.005322799989</v>
      </c>
      <c r="T91" s="87">
        <v>2941.0001900999996</v>
      </c>
      <c r="V91" s="90">
        <f t="shared" si="15"/>
        <v>0.10019111946316506</v>
      </c>
      <c r="X91" s="48"/>
      <c r="Y91" s="48"/>
      <c r="Z91" s="66"/>
    </row>
    <row r="92" spans="2:26" ht="13.5" thickBot="1" x14ac:dyDescent="0.3">
      <c r="B92" s="105">
        <v>150</v>
      </c>
      <c r="C92" s="106" t="s">
        <v>203</v>
      </c>
      <c r="D92" s="98"/>
      <c r="E92" s="107">
        <v>65</v>
      </c>
      <c r="F92" s="100">
        <v>1</v>
      </c>
      <c r="G92" s="39">
        <v>1</v>
      </c>
      <c r="H92" s="40">
        <f t="shared" si="11"/>
        <v>65</v>
      </c>
      <c r="I92" s="41">
        <v>0</v>
      </c>
      <c r="J92" s="41">
        <v>1</v>
      </c>
      <c r="K92" s="41">
        <v>0</v>
      </c>
      <c r="L92" s="85">
        <f t="shared" si="16"/>
        <v>65</v>
      </c>
      <c r="N92" s="86">
        <f t="shared" si="12"/>
        <v>0.80430000000000001</v>
      </c>
      <c r="P92" s="84">
        <f t="shared" si="13"/>
        <v>210298.43887219366</v>
      </c>
      <c r="Q92" s="87">
        <f t="shared" si="14"/>
        <v>3235.3605980337484</v>
      </c>
      <c r="S92" s="84">
        <v>191147.18811292364</v>
      </c>
      <c r="T92" s="87">
        <v>2940.7259709680561</v>
      </c>
      <c r="V92" s="90">
        <f t="shared" si="15"/>
        <v>0.10019111946316506</v>
      </c>
      <c r="X92" s="48"/>
      <c r="Y92" s="48"/>
      <c r="Z92" s="66"/>
    </row>
    <row r="93" spans="2:26" ht="13.5" thickBot="1" x14ac:dyDescent="0.3">
      <c r="B93" s="105">
        <v>151</v>
      </c>
      <c r="C93" s="106" t="s">
        <v>174</v>
      </c>
      <c r="D93" s="98"/>
      <c r="E93" s="107">
        <v>67</v>
      </c>
      <c r="F93" s="100">
        <v>1</v>
      </c>
      <c r="G93" s="39">
        <v>1</v>
      </c>
      <c r="H93" s="40">
        <f t="shared" si="11"/>
        <v>67</v>
      </c>
      <c r="I93" s="41">
        <v>0</v>
      </c>
      <c r="J93" s="41">
        <v>1</v>
      </c>
      <c r="K93" s="41">
        <v>0</v>
      </c>
      <c r="L93" s="85">
        <f t="shared" si="16"/>
        <v>67</v>
      </c>
      <c r="N93" s="86">
        <f t="shared" si="12"/>
        <v>0.82899999999999996</v>
      </c>
      <c r="P93" s="84">
        <f t="shared" si="13"/>
        <v>216756.69007217273</v>
      </c>
      <c r="Q93" s="87">
        <f t="shared" si="14"/>
        <v>3235.1744786891454</v>
      </c>
      <c r="S93" s="84">
        <v>197017.30566407272</v>
      </c>
      <c r="T93" s="87">
        <v>2940.556800956309</v>
      </c>
      <c r="V93" s="90">
        <f t="shared" si="15"/>
        <v>0.10019111946316506</v>
      </c>
      <c r="X93" s="48"/>
      <c r="Y93" s="48"/>
      <c r="Z93" s="66"/>
    </row>
    <row r="94" spans="2:26" ht="13.5" thickBot="1" x14ac:dyDescent="0.3">
      <c r="B94" s="105">
        <v>152</v>
      </c>
      <c r="C94" s="106" t="s">
        <v>113</v>
      </c>
      <c r="D94" s="98"/>
      <c r="E94" s="107">
        <v>89</v>
      </c>
      <c r="F94" s="100">
        <v>1</v>
      </c>
      <c r="G94" s="39">
        <v>1</v>
      </c>
      <c r="H94" s="40">
        <f t="shared" si="11"/>
        <v>89</v>
      </c>
      <c r="I94" s="41">
        <v>0</v>
      </c>
      <c r="J94" s="41">
        <v>1</v>
      </c>
      <c r="K94" s="41">
        <v>0</v>
      </c>
      <c r="L94" s="85">
        <f t="shared" si="16"/>
        <v>89</v>
      </c>
      <c r="N94" s="86">
        <f t="shared" si="12"/>
        <v>1.1012999999999999</v>
      </c>
      <c r="P94" s="84">
        <f t="shared" si="13"/>
        <v>287954.33386789361</v>
      </c>
      <c r="Q94" s="87">
        <f t="shared" si="14"/>
        <v>3235.4419535718384</v>
      </c>
      <c r="S94" s="84">
        <v>261731.19267532363</v>
      </c>
      <c r="T94" s="87">
        <v>2940.7999177002657</v>
      </c>
      <c r="V94" s="90">
        <f t="shared" si="15"/>
        <v>0.10019111946316483</v>
      </c>
      <c r="X94" s="48"/>
      <c r="Y94" s="48"/>
      <c r="Z94" s="66"/>
    </row>
    <row r="95" spans="2:26" ht="13.5" thickBot="1" x14ac:dyDescent="0.3">
      <c r="B95" s="105">
        <v>153</v>
      </c>
      <c r="C95" s="106" t="s">
        <v>166</v>
      </c>
      <c r="D95" s="98"/>
      <c r="E95" s="107">
        <v>26</v>
      </c>
      <c r="F95" s="100">
        <v>1</v>
      </c>
      <c r="G95" s="39">
        <v>1</v>
      </c>
      <c r="H95" s="40">
        <f t="shared" si="11"/>
        <v>26</v>
      </c>
      <c r="I95" s="41">
        <v>0</v>
      </c>
      <c r="J95" s="41">
        <v>1</v>
      </c>
      <c r="K95" s="41">
        <v>0</v>
      </c>
      <c r="L95" s="85">
        <f t="shared" si="16"/>
        <v>26</v>
      </c>
      <c r="N95" s="86">
        <f t="shared" si="12"/>
        <v>0.32169999999999999</v>
      </c>
      <c r="P95" s="84">
        <f t="shared" si="13"/>
        <v>84114.146195679088</v>
      </c>
      <c r="Q95" s="87">
        <f t="shared" si="14"/>
        <v>3235.1594690645802</v>
      </c>
      <c r="S95" s="84">
        <v>76454.122113549092</v>
      </c>
      <c r="T95" s="87">
        <v>2940.5431582134265</v>
      </c>
      <c r="V95" s="90">
        <f t="shared" si="15"/>
        <v>0.10019111946316483</v>
      </c>
      <c r="X95" s="48"/>
      <c r="Y95" s="48"/>
      <c r="Z95" s="66"/>
    </row>
    <row r="96" spans="2:26" ht="13.5" thickBot="1" x14ac:dyDescent="0.3">
      <c r="B96" s="105">
        <v>154</v>
      </c>
      <c r="C96" s="106" t="s">
        <v>167</v>
      </c>
      <c r="D96" s="98"/>
      <c r="E96" s="107">
        <v>14.19</v>
      </c>
      <c r="F96" s="100">
        <v>1</v>
      </c>
      <c r="G96" s="39">
        <v>1</v>
      </c>
      <c r="H96" s="40">
        <f t="shared" si="11"/>
        <v>14.19</v>
      </c>
      <c r="I96" s="41">
        <v>0</v>
      </c>
      <c r="J96" s="41">
        <v>1</v>
      </c>
      <c r="K96" s="41">
        <v>0</v>
      </c>
      <c r="L96" s="85">
        <f t="shared" si="16"/>
        <v>14.19</v>
      </c>
      <c r="N96" s="86">
        <f t="shared" si="12"/>
        <v>0.17560000000000001</v>
      </c>
      <c r="P96" s="84">
        <f t="shared" si="13"/>
        <v>45913.721081632728</v>
      </c>
      <c r="Q96" s="87">
        <f t="shared" si="14"/>
        <v>3235.6392587479022</v>
      </c>
      <c r="S96" s="84">
        <v>41732.495626792726</v>
      </c>
      <c r="T96" s="87">
        <v>2940.9792548832083</v>
      </c>
      <c r="V96" s="90">
        <f t="shared" si="15"/>
        <v>0.10019111946316506</v>
      </c>
      <c r="X96" s="48"/>
      <c r="Y96" s="48"/>
      <c r="Z96" s="66"/>
    </row>
    <row r="97" spans="2:26" ht="13.5" thickBot="1" x14ac:dyDescent="0.3">
      <c r="B97" s="105">
        <v>155</v>
      </c>
      <c r="C97" s="106" t="s">
        <v>114</v>
      </c>
      <c r="D97" s="98"/>
      <c r="E97" s="107">
        <v>134</v>
      </c>
      <c r="F97" s="100">
        <v>1</v>
      </c>
      <c r="G97" s="39">
        <v>1</v>
      </c>
      <c r="H97" s="40">
        <f t="shared" si="11"/>
        <v>134</v>
      </c>
      <c r="I97" s="41">
        <v>0</v>
      </c>
      <c r="J97" s="41">
        <v>1</v>
      </c>
      <c r="K97" s="41">
        <v>0</v>
      </c>
      <c r="L97" s="85">
        <f t="shared" si="16"/>
        <v>134</v>
      </c>
      <c r="N97" s="86">
        <f t="shared" si="12"/>
        <v>1.6580999999999999</v>
      </c>
      <c r="P97" s="84">
        <f t="shared" si="13"/>
        <v>433539.52691033727</v>
      </c>
      <c r="Q97" s="87">
        <f t="shared" si="14"/>
        <v>3235.3696038084872</v>
      </c>
      <c r="S97" s="84">
        <v>394058.37698624725</v>
      </c>
      <c r="T97" s="87">
        <v>2940.7341566137857</v>
      </c>
      <c r="V97" s="90">
        <f t="shared" si="15"/>
        <v>0.10019111946316506</v>
      </c>
      <c r="X97" s="48"/>
      <c r="Y97" s="48"/>
      <c r="Z97" s="66"/>
    </row>
    <row r="98" spans="2:26" ht="13.5" thickBot="1" x14ac:dyDescent="0.3">
      <c r="B98" s="105">
        <v>156</v>
      </c>
      <c r="C98" s="106" t="s">
        <v>115</v>
      </c>
      <c r="D98" s="98"/>
      <c r="E98" s="107">
        <v>72</v>
      </c>
      <c r="F98" s="100">
        <v>1</v>
      </c>
      <c r="G98" s="39">
        <v>1</v>
      </c>
      <c r="H98" s="40">
        <f t="shared" si="11"/>
        <v>72</v>
      </c>
      <c r="I98" s="41">
        <v>0</v>
      </c>
      <c r="J98" s="41">
        <v>1</v>
      </c>
      <c r="K98" s="41">
        <v>0</v>
      </c>
      <c r="L98" s="85">
        <f t="shared" si="16"/>
        <v>72</v>
      </c>
      <c r="N98" s="86">
        <f t="shared" si="12"/>
        <v>0.89090000000000003</v>
      </c>
      <c r="P98" s="84">
        <f t="shared" si="13"/>
        <v>232941.5382211082</v>
      </c>
      <c r="Q98" s="87">
        <f t="shared" si="14"/>
        <v>3235.2991419598361</v>
      </c>
      <c r="S98" s="84">
        <v>211728.24802909818</v>
      </c>
      <c r="T98" s="87">
        <v>2940.6701115152523</v>
      </c>
      <c r="V98" s="90">
        <f t="shared" si="15"/>
        <v>0.10019111946316506</v>
      </c>
      <c r="X98" s="48"/>
      <c r="Y98" s="48"/>
      <c r="Z98" s="66"/>
    </row>
    <row r="99" spans="2:26" ht="13.5" thickBot="1" x14ac:dyDescent="0.3">
      <c r="B99" s="105">
        <v>157</v>
      </c>
      <c r="C99" s="106" t="s">
        <v>182</v>
      </c>
      <c r="D99" s="98"/>
      <c r="E99" s="107">
        <v>103</v>
      </c>
      <c r="F99" s="100">
        <v>1</v>
      </c>
      <c r="G99" s="39">
        <v>1</v>
      </c>
      <c r="H99" s="40">
        <f t="shared" si="11"/>
        <v>103</v>
      </c>
      <c r="I99" s="41">
        <v>0</v>
      </c>
      <c r="J99" s="41">
        <v>1</v>
      </c>
      <c r="K99" s="41">
        <v>0</v>
      </c>
      <c r="L99" s="85">
        <f t="shared" si="16"/>
        <v>103</v>
      </c>
      <c r="N99" s="86">
        <f t="shared" si="12"/>
        <v>1.2745</v>
      </c>
      <c r="P99" s="84">
        <f t="shared" si="13"/>
        <v>333240.53256572271</v>
      </c>
      <c r="Q99" s="87">
        <f t="shared" si="14"/>
        <v>3235.3449763662397</v>
      </c>
      <c r="S99" s="84">
        <v>302893.3125076727</v>
      </c>
      <c r="T99" s="87">
        <v>2940.7117719191524</v>
      </c>
      <c r="V99" s="90">
        <f t="shared" si="15"/>
        <v>0.10019111946316506</v>
      </c>
      <c r="X99" s="48"/>
      <c r="Y99" s="48"/>
      <c r="Z99" s="66"/>
    </row>
    <row r="100" spans="2:26" ht="13.5" thickBot="1" x14ac:dyDescent="0.3">
      <c r="B100" s="105">
        <v>158</v>
      </c>
      <c r="C100" s="106" t="s">
        <v>201</v>
      </c>
      <c r="D100" s="98"/>
      <c r="E100" s="107">
        <v>45</v>
      </c>
      <c r="F100" s="100">
        <v>1</v>
      </c>
      <c r="G100" s="39">
        <v>1</v>
      </c>
      <c r="H100" s="40">
        <f t="shared" si="11"/>
        <v>45</v>
      </c>
      <c r="I100" s="41">
        <v>0</v>
      </c>
      <c r="J100" s="41">
        <v>1</v>
      </c>
      <c r="K100" s="41">
        <v>0</v>
      </c>
      <c r="L100" s="85">
        <f t="shared" si="16"/>
        <v>45</v>
      </c>
      <c r="N100" s="86">
        <f t="shared" si="12"/>
        <v>0.55679999999999996</v>
      </c>
      <c r="P100" s="84">
        <f t="shared" si="13"/>
        <v>145585.19304244363</v>
      </c>
      <c r="Q100" s="87">
        <f t="shared" si="14"/>
        <v>3235.2265120543029</v>
      </c>
      <c r="S100" s="84">
        <v>132327.18431092362</v>
      </c>
      <c r="T100" s="87">
        <v>2940.6040957983028</v>
      </c>
      <c r="V100" s="90">
        <f t="shared" si="15"/>
        <v>0.10019111946316506</v>
      </c>
      <c r="X100" s="48"/>
      <c r="Y100" s="48"/>
      <c r="Z100" s="66"/>
    </row>
    <row r="101" spans="2:26" ht="13.5" thickBot="1" x14ac:dyDescent="0.3">
      <c r="B101" s="105">
        <v>159</v>
      </c>
      <c r="C101" s="106" t="s">
        <v>201</v>
      </c>
      <c r="D101" s="98"/>
      <c r="E101" s="107">
        <v>48</v>
      </c>
      <c r="F101" s="100">
        <v>1</v>
      </c>
      <c r="G101" s="39">
        <v>1</v>
      </c>
      <c r="H101" s="40">
        <f t="shared" si="11"/>
        <v>48</v>
      </c>
      <c r="I101" s="41">
        <v>0</v>
      </c>
      <c r="J101" s="41">
        <v>1</v>
      </c>
      <c r="K101" s="41">
        <v>0</v>
      </c>
      <c r="L101" s="85">
        <f t="shared" si="16"/>
        <v>48</v>
      </c>
      <c r="N101" s="86">
        <f t="shared" si="12"/>
        <v>0.59389999999999998</v>
      </c>
      <c r="P101" s="84">
        <f t="shared" si="13"/>
        <v>155285.64322540819</v>
      </c>
      <c r="Q101" s="87">
        <f t="shared" si="14"/>
        <v>3235.1175671960041</v>
      </c>
      <c r="S101" s="84">
        <v>141144.24346669819</v>
      </c>
      <c r="T101" s="87">
        <v>2940.5050722228789</v>
      </c>
      <c r="V101" s="90">
        <f t="shared" si="15"/>
        <v>0.10019111946316506</v>
      </c>
      <c r="X101" s="48"/>
      <c r="Y101" s="48"/>
      <c r="Z101" s="66"/>
    </row>
    <row r="102" spans="2:26" ht="13.5" thickBot="1" x14ac:dyDescent="0.3">
      <c r="B102" s="105">
        <v>160</v>
      </c>
      <c r="C102" s="106" t="s">
        <v>196</v>
      </c>
      <c r="D102" s="98"/>
      <c r="E102" s="107">
        <v>79</v>
      </c>
      <c r="F102" s="100">
        <v>1</v>
      </c>
      <c r="G102" s="39">
        <v>1</v>
      </c>
      <c r="H102" s="40">
        <f t="shared" si="11"/>
        <v>79</v>
      </c>
      <c r="I102" s="41">
        <v>0</v>
      </c>
      <c r="J102" s="41">
        <v>1</v>
      </c>
      <c r="K102" s="41">
        <v>0</v>
      </c>
      <c r="L102" s="85">
        <f t="shared" si="16"/>
        <v>79</v>
      </c>
      <c r="N102" s="86">
        <f t="shared" si="12"/>
        <v>0.97750000000000004</v>
      </c>
      <c r="P102" s="84">
        <f t="shared" si="13"/>
        <v>255584.63757002275</v>
      </c>
      <c r="Q102" s="87">
        <f t="shared" si="14"/>
        <v>3235.248576835731</v>
      </c>
      <c r="S102" s="84">
        <v>232309.30794527274</v>
      </c>
      <c r="T102" s="87">
        <v>2940.6241512059842</v>
      </c>
      <c r="V102" s="90">
        <f t="shared" si="15"/>
        <v>0.10019111946316506</v>
      </c>
      <c r="X102" s="48"/>
      <c r="Y102" s="48"/>
      <c r="Z102" s="66"/>
    </row>
    <row r="103" spans="2:26" ht="13.5" thickBot="1" x14ac:dyDescent="0.3">
      <c r="B103" s="105">
        <v>161</v>
      </c>
      <c r="C103" s="106" t="s">
        <v>116</v>
      </c>
      <c r="D103" s="98"/>
      <c r="E103" s="107">
        <v>95</v>
      </c>
      <c r="F103" s="100">
        <v>1</v>
      </c>
      <c r="G103" s="39">
        <v>1</v>
      </c>
      <c r="H103" s="40">
        <f t="shared" si="11"/>
        <v>95</v>
      </c>
      <c r="I103" s="41">
        <v>0</v>
      </c>
      <c r="J103" s="41">
        <v>1</v>
      </c>
      <c r="K103" s="41">
        <v>0</v>
      </c>
      <c r="L103" s="85">
        <f t="shared" si="16"/>
        <v>95</v>
      </c>
      <c r="N103" s="86">
        <f t="shared" si="12"/>
        <v>1.1755</v>
      </c>
      <c r="P103" s="84">
        <f t="shared" si="13"/>
        <v>307355.23423382273</v>
      </c>
      <c r="Q103" s="87">
        <f t="shared" si="14"/>
        <v>3235.3182550928709</v>
      </c>
      <c r="S103" s="84">
        <v>279365.3109868727</v>
      </c>
      <c r="T103" s="87">
        <v>2940.6874840723444</v>
      </c>
      <c r="V103" s="90">
        <f t="shared" si="15"/>
        <v>0.10019111946316506</v>
      </c>
      <c r="X103" s="48"/>
      <c r="Y103" s="48"/>
      <c r="Z103" s="66"/>
    </row>
    <row r="104" spans="2:26" ht="13.5" thickBot="1" x14ac:dyDescent="0.3">
      <c r="B104" s="105">
        <v>162</v>
      </c>
      <c r="C104" s="106" t="s">
        <v>217</v>
      </c>
      <c r="D104" s="98"/>
      <c r="E104" s="107">
        <v>95</v>
      </c>
      <c r="F104" s="100">
        <v>1</v>
      </c>
      <c r="G104" s="39">
        <v>1</v>
      </c>
      <c r="H104" s="40">
        <f t="shared" si="11"/>
        <v>95</v>
      </c>
      <c r="I104" s="41">
        <v>0</v>
      </c>
      <c r="J104" s="41">
        <v>1</v>
      </c>
      <c r="K104" s="41">
        <v>0</v>
      </c>
      <c r="L104" s="85">
        <f t="shared" si="16"/>
        <v>95</v>
      </c>
      <c r="N104" s="86">
        <f t="shared" si="12"/>
        <v>1.1755</v>
      </c>
      <c r="P104" s="84">
        <f t="shared" si="13"/>
        <v>307355.23423382273</v>
      </c>
      <c r="Q104" s="87">
        <f t="shared" si="14"/>
        <v>3235.3182550928709</v>
      </c>
      <c r="S104" s="84">
        <v>279365.3109868727</v>
      </c>
      <c r="T104" s="87">
        <v>2940.6874840723444</v>
      </c>
      <c r="V104" s="90">
        <f t="shared" si="15"/>
        <v>0.10019111946316506</v>
      </c>
      <c r="X104" s="48"/>
      <c r="Y104" s="48"/>
      <c r="Z104" s="66"/>
    </row>
    <row r="105" spans="2:26" ht="13.5" thickBot="1" x14ac:dyDescent="0.3">
      <c r="B105" s="105">
        <v>163</v>
      </c>
      <c r="C105" s="106" t="s">
        <v>175</v>
      </c>
      <c r="D105" s="98"/>
      <c r="E105" s="107">
        <v>67</v>
      </c>
      <c r="F105" s="100">
        <v>1</v>
      </c>
      <c r="G105" s="39">
        <v>1</v>
      </c>
      <c r="H105" s="40">
        <f t="shared" si="11"/>
        <v>67</v>
      </c>
      <c r="I105" s="41">
        <v>0</v>
      </c>
      <c r="J105" s="41">
        <v>1</v>
      </c>
      <c r="K105" s="41">
        <v>0</v>
      </c>
      <c r="L105" s="85">
        <f t="shared" si="16"/>
        <v>67</v>
      </c>
      <c r="N105" s="86">
        <f t="shared" si="12"/>
        <v>0.82899999999999996</v>
      </c>
      <c r="P105" s="84">
        <f t="shared" si="13"/>
        <v>216756.69007217273</v>
      </c>
      <c r="Q105" s="87">
        <f t="shared" si="14"/>
        <v>3235.1744786891454</v>
      </c>
      <c r="S105" s="84">
        <v>197017.30566407272</v>
      </c>
      <c r="T105" s="87">
        <v>2940.556800956309</v>
      </c>
      <c r="V105" s="90">
        <f t="shared" si="15"/>
        <v>0.10019111946316506</v>
      </c>
      <c r="X105" s="48"/>
      <c r="Y105" s="48"/>
      <c r="Z105" s="66"/>
    </row>
    <row r="106" spans="2:26" ht="13.5" thickBot="1" x14ac:dyDescent="0.3">
      <c r="B106" s="105">
        <v>164</v>
      </c>
      <c r="C106" s="106" t="s">
        <v>228</v>
      </c>
      <c r="D106" s="98"/>
      <c r="E106" s="107">
        <v>70</v>
      </c>
      <c r="F106" s="100">
        <v>1</v>
      </c>
      <c r="G106" s="39">
        <v>1</v>
      </c>
      <c r="H106" s="40">
        <f t="shared" si="11"/>
        <v>70</v>
      </c>
      <c r="I106" s="41">
        <v>0</v>
      </c>
      <c r="J106" s="41">
        <v>1</v>
      </c>
      <c r="K106" s="41">
        <v>0</v>
      </c>
      <c r="L106" s="85">
        <f t="shared" si="16"/>
        <v>70</v>
      </c>
      <c r="N106" s="86">
        <f t="shared" si="12"/>
        <v>0.86619999999999997</v>
      </c>
      <c r="P106" s="84">
        <f t="shared" si="13"/>
        <v>226483.2870211291</v>
      </c>
      <c r="Q106" s="87">
        <f t="shared" si="14"/>
        <v>3235.4755288732727</v>
      </c>
      <c r="S106" s="84">
        <v>205858.13047794907</v>
      </c>
      <c r="T106" s="87">
        <v>2940.8304353992726</v>
      </c>
      <c r="V106" s="90">
        <f t="shared" si="15"/>
        <v>0.10019111946316506</v>
      </c>
      <c r="X106" s="48"/>
      <c r="Y106" s="48"/>
      <c r="Z106" s="66"/>
    </row>
    <row r="107" spans="2:26" ht="13.5" thickBot="1" x14ac:dyDescent="0.3">
      <c r="B107" s="105">
        <v>165</v>
      </c>
      <c r="C107" s="106" t="s">
        <v>67</v>
      </c>
      <c r="D107" s="98"/>
      <c r="E107" s="107">
        <v>80</v>
      </c>
      <c r="F107" s="100">
        <v>1</v>
      </c>
      <c r="G107" s="39">
        <v>1</v>
      </c>
      <c r="H107" s="40">
        <f t="shared" si="11"/>
        <v>80</v>
      </c>
      <c r="I107" s="41">
        <v>0</v>
      </c>
      <c r="J107" s="41">
        <v>1</v>
      </c>
      <c r="K107" s="41">
        <v>0</v>
      </c>
      <c r="L107" s="85">
        <f t="shared" si="16"/>
        <v>80</v>
      </c>
      <c r="N107" s="86">
        <f t="shared" si="12"/>
        <v>0.9899</v>
      </c>
      <c r="P107" s="84">
        <f t="shared" si="13"/>
        <v>258826.83655300818</v>
      </c>
      <c r="Q107" s="87">
        <f t="shared" si="14"/>
        <v>3235.3354569126022</v>
      </c>
      <c r="S107" s="84">
        <v>235256.24954989817</v>
      </c>
      <c r="T107" s="87">
        <v>2940.7031193737271</v>
      </c>
      <c r="V107" s="90">
        <f t="shared" si="15"/>
        <v>0.10019111946316506</v>
      </c>
      <c r="X107" s="48"/>
      <c r="Y107" s="48"/>
      <c r="Z107" s="66"/>
    </row>
    <row r="108" spans="2:26" ht="13.5" thickBot="1" x14ac:dyDescent="0.3">
      <c r="B108" s="108">
        <v>166</v>
      </c>
      <c r="C108" s="109" t="s">
        <v>117</v>
      </c>
      <c r="D108" s="94"/>
      <c r="E108" s="110">
        <v>300</v>
      </c>
      <c r="F108" s="111">
        <v>0.75</v>
      </c>
      <c r="G108" s="39">
        <v>1</v>
      </c>
      <c r="H108" s="40">
        <f t="shared" si="11"/>
        <v>225</v>
      </c>
      <c r="I108" s="41">
        <v>0</v>
      </c>
      <c r="J108" s="41">
        <v>1</v>
      </c>
      <c r="K108" s="41">
        <v>0</v>
      </c>
      <c r="L108" s="85">
        <f t="shared" si="16"/>
        <v>225</v>
      </c>
      <c r="N108" s="86">
        <f t="shared" si="12"/>
        <v>2.7841</v>
      </c>
      <c r="P108" s="84">
        <f t="shared" si="13"/>
        <v>727952.11197821004</v>
      </c>
      <c r="Q108" s="87">
        <f t="shared" si="14"/>
        <v>2426.5070399273668</v>
      </c>
      <c r="S108" s="84">
        <v>661659.68721272005</v>
      </c>
      <c r="T108" s="87">
        <v>2205.5322907090667</v>
      </c>
      <c r="V108" s="90">
        <f t="shared" si="15"/>
        <v>0.10019111946316506</v>
      </c>
      <c r="X108" s="48"/>
      <c r="Y108" s="48"/>
      <c r="Z108" s="66"/>
    </row>
    <row r="109" spans="2:26" ht="13.5" thickBot="1" x14ac:dyDescent="0.3">
      <c r="B109" s="105">
        <v>166</v>
      </c>
      <c r="C109" s="106" t="s">
        <v>118</v>
      </c>
      <c r="D109" s="98"/>
      <c r="E109" s="107">
        <v>92</v>
      </c>
      <c r="F109" s="100">
        <v>1</v>
      </c>
      <c r="G109" s="39">
        <v>1</v>
      </c>
      <c r="H109" s="40">
        <f t="shared" si="11"/>
        <v>92</v>
      </c>
      <c r="I109" s="41">
        <v>0</v>
      </c>
      <c r="J109" s="41">
        <v>1</v>
      </c>
      <c r="K109" s="41">
        <v>0</v>
      </c>
      <c r="L109" s="85">
        <f t="shared" si="16"/>
        <v>92</v>
      </c>
      <c r="N109" s="86">
        <f t="shared" si="12"/>
        <v>1.1384000000000001</v>
      </c>
      <c r="P109" s="84">
        <f t="shared" si="13"/>
        <v>297654.78405085823</v>
      </c>
      <c r="Q109" s="87">
        <f t="shared" si="14"/>
        <v>3235.3780875093285</v>
      </c>
      <c r="S109" s="84">
        <v>270548.25183109823</v>
      </c>
      <c r="T109" s="87">
        <v>2940.7418677293285</v>
      </c>
      <c r="V109" s="90">
        <f t="shared" si="15"/>
        <v>0.10019111946316506</v>
      </c>
      <c r="X109" s="48"/>
      <c r="Y109" s="48"/>
    </row>
    <row r="110" spans="2:26" ht="13.5" thickBot="1" x14ac:dyDescent="0.3">
      <c r="B110" s="144">
        <v>307</v>
      </c>
      <c r="C110" s="145" t="s">
        <v>176</v>
      </c>
      <c r="D110" s="98"/>
      <c r="E110" s="147">
        <v>128.19999999999999</v>
      </c>
      <c r="F110" s="148">
        <v>1</v>
      </c>
      <c r="G110" s="156">
        <v>1</v>
      </c>
      <c r="H110" s="157">
        <f t="shared" si="11"/>
        <v>128.19999999999999</v>
      </c>
      <c r="I110" s="158">
        <v>0</v>
      </c>
      <c r="J110" s="158">
        <v>1</v>
      </c>
      <c r="K110" s="158">
        <v>0</v>
      </c>
      <c r="L110" s="159">
        <f t="shared" si="16"/>
        <v>128.19999999999999</v>
      </c>
      <c r="N110" s="182">
        <f t="shared" si="12"/>
        <v>1.5863</v>
      </c>
      <c r="P110" s="146">
        <f t="shared" si="13"/>
        <v>414766.14892821183</v>
      </c>
      <c r="Q110" s="89">
        <f t="shared" si="14"/>
        <v>3235.3053738550066</v>
      </c>
      <c r="S110" s="146">
        <v>376994.63446914183</v>
      </c>
      <c r="T110" s="89">
        <v>2940.6757758903423</v>
      </c>
      <c r="V110" s="90">
        <f t="shared" si="15"/>
        <v>0.10019111946316506</v>
      </c>
      <c r="X110" s="48"/>
      <c r="Y110" s="48"/>
    </row>
    <row r="111" spans="2:26" ht="13.5" thickBot="1" x14ac:dyDescent="0.3">
      <c r="B111" s="112">
        <v>402</v>
      </c>
      <c r="C111" s="113" t="s">
        <v>226</v>
      </c>
      <c r="D111" s="94"/>
      <c r="E111" s="136">
        <v>292</v>
      </c>
      <c r="F111" s="114">
        <v>0.51400000000000001</v>
      </c>
      <c r="G111" s="156">
        <v>1</v>
      </c>
      <c r="H111" s="157">
        <f t="shared" si="11"/>
        <v>150.09</v>
      </c>
      <c r="I111" s="158">
        <v>0</v>
      </c>
      <c r="J111" s="158">
        <v>1</v>
      </c>
      <c r="K111" s="158">
        <v>0</v>
      </c>
      <c r="L111" s="159">
        <f t="shared" si="16"/>
        <v>150.09</v>
      </c>
      <c r="N111" s="182">
        <f t="shared" si="12"/>
        <v>1.8572</v>
      </c>
      <c r="P111" s="146">
        <f t="shared" si="13"/>
        <v>485597.73800004728</v>
      </c>
      <c r="Q111" s="89">
        <f t="shared" si="14"/>
        <v>1663.0059520549564</v>
      </c>
      <c r="S111" s="146">
        <v>441375.80226696725</v>
      </c>
      <c r="T111" s="89">
        <v>1511.560966667696</v>
      </c>
      <c r="V111" s="90">
        <f t="shared" si="15"/>
        <v>0.10019111946316506</v>
      </c>
      <c r="X111" s="48"/>
      <c r="Y111" s="48"/>
    </row>
    <row r="112" spans="2:26" ht="13.5" thickBot="1" x14ac:dyDescent="0.3">
      <c r="I112" s="3"/>
      <c r="S112" s="137"/>
      <c r="T112" s="137"/>
    </row>
    <row r="113" spans="2:26" ht="13.5" thickBot="1" x14ac:dyDescent="0.3">
      <c r="B113" s="50" t="s">
        <v>119</v>
      </c>
      <c r="C113" s="51"/>
      <c r="E113" s="52">
        <f>SUM(E14:E88)+SUM(E90:E111)</f>
        <v>11661.204999999998</v>
      </c>
      <c r="F113" s="35"/>
      <c r="G113" s="53"/>
      <c r="H113" s="35"/>
      <c r="I113" s="35"/>
      <c r="J113" s="35"/>
      <c r="K113" s="35"/>
      <c r="L113" s="54">
        <f>SUM(L14:L88)+SUM(L90:L111)</f>
        <v>8081.7000000000007</v>
      </c>
      <c r="N113" s="183">
        <f>SUM(N14:N88)+SUM(N90:N111)</f>
        <v>100.0005</v>
      </c>
      <c r="P113" s="55">
        <f>SUM(P14:P88)+SUM(P90:P111)</f>
        <v>26146896.725648146</v>
      </c>
      <c r="Q113" s="56"/>
      <c r="S113" s="55">
        <v>22011445.05849319</v>
      </c>
      <c r="T113" s="56"/>
      <c r="X113" s="57">
        <f>SUM(X14:X88)</f>
        <v>1166659.7300000002</v>
      </c>
      <c r="Y113" s="58">
        <f>SUM(Y14:Y88)</f>
        <v>19042489.466268174</v>
      </c>
    </row>
    <row r="114" spans="2:26" x14ac:dyDescent="0.25">
      <c r="E114" s="204"/>
      <c r="F114" s="204"/>
      <c r="G114" s="59"/>
      <c r="H114" s="17"/>
      <c r="I114" s="60"/>
      <c r="J114" s="61"/>
      <c r="S114" s="4"/>
      <c r="T114" s="4"/>
    </row>
    <row r="115" spans="2:26" x14ac:dyDescent="0.25">
      <c r="E115" s="143"/>
      <c r="I115" s="3"/>
      <c r="Q115" s="62"/>
      <c r="R115" s="62"/>
      <c r="S115" s="138"/>
      <c r="T115" s="48"/>
      <c r="U115" s="62"/>
      <c r="V115" s="62"/>
      <c r="W115" s="62"/>
      <c r="Y115" s="17"/>
    </row>
    <row r="116" spans="2:26" x14ac:dyDescent="0.25">
      <c r="E116" s="165"/>
      <c r="H116" s="17"/>
      <c r="I116" s="17"/>
      <c r="P116" s="4" t="s">
        <v>120</v>
      </c>
      <c r="Q116" s="4">
        <f>SUM(L14:L88)</f>
        <v>6289.22</v>
      </c>
      <c r="Y116" s="17"/>
      <c r="Z116" s="17"/>
    </row>
    <row r="117" spans="2:26" x14ac:dyDescent="0.25">
      <c r="E117" s="165"/>
      <c r="P117" s="4" t="s">
        <v>121</v>
      </c>
      <c r="Q117" s="4">
        <f>SUM(L90:L111)</f>
        <v>1792.48</v>
      </c>
    </row>
    <row r="118" spans="2:26" x14ac:dyDescent="0.25">
      <c r="E118" s="165"/>
      <c r="P118" s="63" t="s">
        <v>122</v>
      </c>
      <c r="Q118" s="63">
        <f>Q116+Q117</f>
        <v>8081.7000000000007</v>
      </c>
      <c r="S118" s="64">
        <f>(Q118/Q116)-1</f>
        <v>0.28500831581658792</v>
      </c>
    </row>
    <row r="119" spans="2:26" x14ac:dyDescent="0.25">
      <c r="C119" s="205"/>
      <c r="D119" s="205"/>
      <c r="E119" s="205"/>
      <c r="F119" s="17"/>
    </row>
    <row r="120" spans="2:26" x14ac:dyDescent="0.25">
      <c r="E120" s="165"/>
    </row>
    <row r="121" spans="2:26" x14ac:dyDescent="0.25">
      <c r="C121" s="192"/>
      <c r="D121" s="192"/>
      <c r="E121" s="192"/>
    </row>
    <row r="122" spans="2:26" x14ac:dyDescent="0.25">
      <c r="E122" s="165"/>
      <c r="I122" s="65"/>
    </row>
    <row r="123" spans="2:26" x14ac:dyDescent="0.25">
      <c r="C123" s="192"/>
      <c r="D123" s="192"/>
      <c r="E123" s="192"/>
      <c r="F123" s="17"/>
      <c r="T123" s="23"/>
    </row>
    <row r="124" spans="2:26" x14ac:dyDescent="0.25">
      <c r="B124" s="1" t="s">
        <v>202</v>
      </c>
      <c r="E124" s="165"/>
      <c r="I124" s="65"/>
    </row>
    <row r="125" spans="2:26" x14ac:dyDescent="0.25">
      <c r="C125" s="192"/>
      <c r="D125" s="192"/>
      <c r="E125" s="192"/>
      <c r="F125" s="3"/>
    </row>
    <row r="127" spans="2:26" x14ac:dyDescent="0.25">
      <c r="F127" s="17"/>
    </row>
    <row r="130" spans="2:28" s="2" customFormat="1" x14ac:dyDescent="0.25">
      <c r="B130" s="1"/>
      <c r="C130" s="3"/>
      <c r="D130" s="1"/>
      <c r="E130" s="61"/>
      <c r="F130" s="1"/>
      <c r="H130" s="1"/>
      <c r="I130" s="1"/>
      <c r="J130" s="1"/>
      <c r="K130" s="1"/>
      <c r="L130" s="1"/>
      <c r="M130" s="1"/>
      <c r="N130" s="1"/>
      <c r="O130" s="1"/>
      <c r="P130" s="4"/>
      <c r="Q130" s="4"/>
      <c r="R130" s="1"/>
      <c r="S130" s="5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 s="2" customFormat="1" x14ac:dyDescent="0.25">
      <c r="B131" s="1"/>
      <c r="C131" s="1"/>
      <c r="D131" s="1"/>
      <c r="E131" s="1"/>
      <c r="F131" s="20"/>
      <c r="H131" s="1"/>
      <c r="I131" s="1"/>
      <c r="J131" s="1"/>
      <c r="K131" s="1"/>
      <c r="L131" s="1"/>
      <c r="M131" s="1"/>
      <c r="N131" s="1"/>
      <c r="O131" s="1"/>
      <c r="P131" s="4"/>
      <c r="Q131" s="4"/>
      <c r="R131" s="1"/>
      <c r="S131" s="5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 s="2" customFormat="1" x14ac:dyDescent="0.25">
      <c r="B132" s="1"/>
      <c r="C132" s="20"/>
      <c r="D132" s="1"/>
      <c r="E132" s="1"/>
      <c r="F132" s="1"/>
      <c r="H132" s="1"/>
      <c r="I132" s="1"/>
      <c r="J132" s="1"/>
      <c r="K132" s="1"/>
      <c r="L132" s="1"/>
      <c r="M132" s="1"/>
      <c r="N132" s="1"/>
      <c r="O132" s="1"/>
      <c r="P132" s="4"/>
      <c r="Q132" s="4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s="2" customFormat="1" x14ac:dyDescent="0.25">
      <c r="B133" s="1"/>
      <c r="C133" s="66"/>
      <c r="D133" s="1"/>
      <c r="E133" s="1"/>
      <c r="F133" s="1"/>
      <c r="H133" s="1"/>
      <c r="I133" s="1"/>
      <c r="J133" s="1"/>
      <c r="K133" s="1"/>
      <c r="L133" s="1"/>
      <c r="M133" s="1"/>
      <c r="N133" s="1"/>
      <c r="O133" s="1"/>
      <c r="P133" s="4"/>
      <c r="Q133" s="4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</row>
  </sheetData>
  <mergeCells count="8">
    <mergeCell ref="C123:E123"/>
    <mergeCell ref="C125:E125"/>
    <mergeCell ref="B2:M6"/>
    <mergeCell ref="S12:T12"/>
    <mergeCell ref="X12:Y12"/>
    <mergeCell ref="E114:F114"/>
    <mergeCell ref="C119:E119"/>
    <mergeCell ref="C121:E12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25A-D8D0-4072-9AD8-E4CF2A12CF53}">
  <sheetPr>
    <tabColor theme="4" tint="0.39997558519241921"/>
  </sheetPr>
  <dimension ref="A1:AB135"/>
  <sheetViews>
    <sheetView topLeftCell="N1" zoomScale="98" zoomScaleNormal="146" workbookViewId="0">
      <selection activeCell="P14" sqref="P14:Q113"/>
    </sheetView>
  </sheetViews>
  <sheetFormatPr baseColWidth="10" defaultColWidth="10.81640625" defaultRowHeight="13" x14ac:dyDescent="0.25"/>
  <cols>
    <col min="1" max="1" width="4.453125" style="1" customWidth="1"/>
    <col min="2" max="2" width="19.54296875" style="1" customWidth="1"/>
    <col min="3" max="3" width="29.453125" style="1" customWidth="1"/>
    <col min="4" max="4" width="1.453125" style="1" customWidth="1"/>
    <col min="5" max="5" width="11.453125" style="1" customWidth="1"/>
    <col min="6" max="6" width="14.453125" style="1" customWidth="1"/>
    <col min="7" max="7" width="13.81640625" style="2" customWidth="1"/>
    <col min="8" max="8" width="13.453125" style="1" customWidth="1"/>
    <col min="9" max="9" width="12.453125" style="1" customWidth="1"/>
    <col min="10" max="11" width="11.453125" style="1" customWidth="1"/>
    <col min="12" max="12" width="8.26953125" style="1" customWidth="1"/>
    <col min="13" max="13" width="0.1796875" style="1" customWidth="1"/>
    <col min="14" max="14" width="19.453125" style="1" customWidth="1"/>
    <col min="15" max="15" width="0.1796875" style="1" customWidth="1"/>
    <col min="16" max="16" width="22.7265625" style="4" customWidth="1"/>
    <col min="17" max="17" width="15" style="4" customWidth="1"/>
    <col min="18" max="18" width="1.7265625" style="1" customWidth="1"/>
    <col min="19" max="19" width="17.26953125" style="5" bestFit="1" customWidth="1"/>
    <col min="20" max="20" width="17.54296875" style="1" customWidth="1"/>
    <col min="21" max="21" width="1.7265625" style="1" customWidth="1"/>
    <col min="22" max="22" width="13.1796875" style="1" customWidth="1"/>
    <col min="23" max="23" width="1.7265625" style="1" customWidth="1"/>
    <col min="24" max="24" width="14.453125" style="1" bestFit="1" customWidth="1"/>
    <col min="25" max="25" width="15.81640625" style="1" customWidth="1"/>
    <col min="26" max="26" width="14.26953125" style="1" customWidth="1"/>
    <col min="27" max="27" width="11.81640625" style="1" bestFit="1" customWidth="1"/>
    <col min="28" max="28" width="15.7265625" style="1" customWidth="1"/>
    <col min="29" max="16384" width="10.81640625" style="1"/>
  </cols>
  <sheetData>
    <row r="1" spans="2:28" ht="13.5" thickBot="1" x14ac:dyDescent="0.3">
      <c r="I1" s="3"/>
    </row>
    <row r="2" spans="2:28" ht="13.5" thickBot="1" x14ac:dyDescent="0.3">
      <c r="B2" s="193" t="s">
        <v>232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P2" s="6" t="s">
        <v>0</v>
      </c>
      <c r="Q2" s="7">
        <f>T10</f>
        <v>34583389.831818178</v>
      </c>
      <c r="R2" s="8"/>
      <c r="S2" s="9" t="s">
        <v>1</v>
      </c>
      <c r="T2" s="10">
        <f>519334.36+137332.91+33332.73</f>
        <v>690000</v>
      </c>
      <c r="U2" s="8"/>
      <c r="W2" s="8"/>
    </row>
    <row r="3" spans="2:28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8"/>
      <c r="O3" s="11" t="s">
        <v>2</v>
      </c>
      <c r="P3" s="12"/>
      <c r="Q3" s="13"/>
      <c r="S3" s="9" t="s">
        <v>3</v>
      </c>
      <c r="T3" s="10"/>
    </row>
    <row r="4" spans="2:28" x14ac:dyDescent="0.25"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8"/>
      <c r="O4" s="14" t="s">
        <v>4</v>
      </c>
      <c r="P4" s="15"/>
      <c r="Q4" s="16"/>
      <c r="S4" s="9" t="s">
        <v>5</v>
      </c>
      <c r="T4" s="17">
        <v>119150</v>
      </c>
    </row>
    <row r="5" spans="2:28" ht="14.5" x14ac:dyDescent="0.35">
      <c r="B5" s="196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8"/>
      <c r="O5" s="14" t="s">
        <v>6</v>
      </c>
      <c r="P5" s="18" t="s">
        <v>7</v>
      </c>
      <c r="Q5" s="19">
        <f>747717+289602.44</f>
        <v>1037319.44</v>
      </c>
      <c r="S5" s="9" t="s">
        <v>8</v>
      </c>
      <c r="T5" s="17">
        <v>27642</v>
      </c>
      <c r="V5" s="20"/>
      <c r="Y5" s="21"/>
    </row>
    <row r="6" spans="2:28" ht="15" thickBot="1" x14ac:dyDescent="0.4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O6" s="14" t="s">
        <v>9</v>
      </c>
      <c r="P6" s="18" t="s">
        <v>220</v>
      </c>
      <c r="Q6" s="16">
        <v>4713309.93</v>
      </c>
      <c r="S6" s="9" t="s">
        <v>10</v>
      </c>
      <c r="T6" s="77">
        <v>3603000.02</v>
      </c>
      <c r="V6" s="22"/>
      <c r="Y6" s="149"/>
      <c r="AB6" s="22"/>
    </row>
    <row r="7" spans="2:28" ht="13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0"/>
      <c r="O7" s="14" t="s">
        <v>11</v>
      </c>
      <c r="P7" s="25" t="s">
        <v>12</v>
      </c>
      <c r="Q7" s="19">
        <v>151939</v>
      </c>
      <c r="S7" s="9" t="s">
        <v>13</v>
      </c>
      <c r="T7" s="17">
        <f>Premisas!D11</f>
        <v>1043597.8118181818</v>
      </c>
      <c r="V7" s="20"/>
      <c r="Y7" s="149"/>
    </row>
    <row r="8" spans="2:28" ht="13" customHeight="1" x14ac:dyDescent="0.25">
      <c r="B8" s="26" t="s">
        <v>14</v>
      </c>
      <c r="C8" s="102"/>
      <c r="D8" s="24"/>
      <c r="E8" s="24"/>
      <c r="F8" s="24"/>
      <c r="G8" s="24"/>
      <c r="H8" s="24"/>
      <c r="I8" s="24"/>
      <c r="J8" s="24"/>
      <c r="K8" s="24"/>
      <c r="L8" s="24"/>
      <c r="M8" s="24"/>
      <c r="O8" s="14" t="s">
        <v>15</v>
      </c>
      <c r="P8" s="18" t="s">
        <v>181</v>
      </c>
      <c r="Q8" s="16">
        <v>335400.94</v>
      </c>
      <c r="S8" s="9" t="s">
        <v>16</v>
      </c>
      <c r="T8" s="17">
        <v>600000</v>
      </c>
    </row>
    <row r="9" spans="2:28" ht="13" customHeight="1" thickBot="1" x14ac:dyDescent="0.3">
      <c r="B9" s="26" t="s">
        <v>17</v>
      </c>
      <c r="C9" s="95"/>
      <c r="D9" s="24"/>
      <c r="E9" s="24"/>
      <c r="F9" s="24"/>
      <c r="G9" s="24"/>
      <c r="H9" s="24"/>
      <c r="I9" s="24"/>
      <c r="J9" s="24"/>
      <c r="K9" s="24"/>
      <c r="L9" s="24"/>
      <c r="M9" s="24"/>
      <c r="O9" s="27" t="s">
        <v>18</v>
      </c>
      <c r="P9" s="28"/>
      <c r="Q9" s="29">
        <v>0</v>
      </c>
      <c r="S9" s="9"/>
      <c r="T9" s="30">
        <v>28500000</v>
      </c>
      <c r="V9" s="31"/>
      <c r="W9" s="32"/>
      <c r="X9" s="150"/>
    </row>
    <row r="10" spans="2:28" ht="13.5" thickBot="1" x14ac:dyDescent="0.3">
      <c r="B10" s="26" t="s">
        <v>19</v>
      </c>
      <c r="C10" s="80"/>
      <c r="I10" s="3"/>
      <c r="P10" s="6" t="s">
        <v>20</v>
      </c>
      <c r="Q10" s="34">
        <f>Q2-Q3-Q4-Q5-Q6-Q7-Q8-Q9</f>
        <v>28345420.521818176</v>
      </c>
      <c r="S10" s="5" t="s">
        <v>21</v>
      </c>
      <c r="T10" s="17">
        <f>SUM(T2:T9)</f>
        <v>34583389.831818178</v>
      </c>
      <c r="V10" s="138"/>
      <c r="W10" s="32"/>
      <c r="X10" s="33"/>
      <c r="Z10" s="138"/>
    </row>
    <row r="11" spans="2:28" ht="13.5" thickBot="1" x14ac:dyDescent="0.3">
      <c r="I11" s="3"/>
    </row>
    <row r="12" spans="2:28" ht="26.5" thickBot="1" x14ac:dyDescent="0.3">
      <c r="B12" s="119" t="s">
        <v>22</v>
      </c>
      <c r="C12" s="120" t="s">
        <v>23</v>
      </c>
      <c r="E12" s="119" t="s">
        <v>24</v>
      </c>
      <c r="F12" s="121" t="s">
        <v>25</v>
      </c>
      <c r="G12" s="122" t="s">
        <v>26</v>
      </c>
      <c r="H12" s="123" t="s">
        <v>27</v>
      </c>
      <c r="I12" s="124" t="s">
        <v>28</v>
      </c>
      <c r="J12" s="121" t="s">
        <v>29</v>
      </c>
      <c r="K12" s="121" t="s">
        <v>30</v>
      </c>
      <c r="L12" s="120" t="s">
        <v>31</v>
      </c>
      <c r="M12" s="125"/>
      <c r="N12" s="180" t="s">
        <v>32</v>
      </c>
      <c r="O12" s="125"/>
      <c r="P12" s="126">
        <f>+Q10</f>
        <v>28345420.521818176</v>
      </c>
      <c r="Q12" s="127" t="s">
        <v>33</v>
      </c>
      <c r="S12" s="202" t="s">
        <v>237</v>
      </c>
      <c r="T12" s="203"/>
      <c r="V12" s="128" t="s">
        <v>34</v>
      </c>
      <c r="X12" s="202" t="s">
        <v>35</v>
      </c>
      <c r="Y12" s="203"/>
    </row>
    <row r="13" spans="2:28" ht="7" customHeight="1" thickBot="1" x14ac:dyDescent="0.3">
      <c r="I13" s="3"/>
      <c r="X13" s="5"/>
    </row>
    <row r="14" spans="2:28" x14ac:dyDescent="0.25">
      <c r="B14" s="160" t="s">
        <v>36</v>
      </c>
      <c r="C14" s="161" t="s">
        <v>198</v>
      </c>
      <c r="D14" s="94"/>
      <c r="E14" s="162">
        <v>211</v>
      </c>
      <c r="F14" s="163">
        <v>0.9</v>
      </c>
      <c r="G14" s="37">
        <v>1</v>
      </c>
      <c r="H14" s="38">
        <f t="shared" ref="H14:H85" si="0">ROUND(E14*G14*F14,2)</f>
        <v>189.9</v>
      </c>
      <c r="I14" s="36">
        <v>0</v>
      </c>
      <c r="J14" s="36">
        <v>1</v>
      </c>
      <c r="K14" s="36">
        <f t="shared" ref="K14:K84" si="1">ROUND(I14*J14,2)</f>
        <v>0</v>
      </c>
      <c r="L14" s="153">
        <f t="shared" ref="L14:L84" si="2">H14+K14</f>
        <v>189.9</v>
      </c>
      <c r="N14" s="181">
        <f t="shared" ref="N14:N77" si="3">ROUND((L14/$L$115)*100,4)</f>
        <v>2.2827999999999999</v>
      </c>
      <c r="P14" s="152">
        <f t="shared" ref="P14:P85" si="4">($P$12*N14)/100</f>
        <v>647069.25967206527</v>
      </c>
      <c r="Q14" s="154">
        <f t="shared" ref="Q14:Q85" si="5">P14/E14</f>
        <v>3066.6789557917787</v>
      </c>
      <c r="R14" s="2"/>
      <c r="S14" s="152">
        <v>614396.70727574371</v>
      </c>
      <c r="T14" s="154">
        <v>2911.8327359039986</v>
      </c>
      <c r="U14" s="2"/>
      <c r="V14" s="155">
        <f t="shared" ref="V14:V78" si="6">(P14/S14)-1</f>
        <v>5.3178267411609026E-2</v>
      </c>
      <c r="W14" s="2"/>
      <c r="X14" s="152">
        <v>43179.58</v>
      </c>
      <c r="Y14" s="154">
        <f t="shared" ref="Y14:Y48" si="7">+P14-X14</f>
        <v>603889.67967206531</v>
      </c>
      <c r="Z14" s="4"/>
    </row>
    <row r="15" spans="2:28" x14ac:dyDescent="0.25">
      <c r="B15" s="96" t="s">
        <v>37</v>
      </c>
      <c r="C15" s="97" t="s">
        <v>38</v>
      </c>
      <c r="D15" s="98"/>
      <c r="E15" s="99">
        <f>140.4+64.1</f>
        <v>204.5</v>
      </c>
      <c r="F15" s="100">
        <v>1</v>
      </c>
      <c r="G15" s="39">
        <v>1</v>
      </c>
      <c r="H15" s="40">
        <f t="shared" si="0"/>
        <v>204.5</v>
      </c>
      <c r="I15" s="41">
        <v>0</v>
      </c>
      <c r="J15" s="41">
        <v>1</v>
      </c>
      <c r="K15" s="41">
        <f t="shared" si="1"/>
        <v>0</v>
      </c>
      <c r="L15" s="85">
        <f t="shared" si="2"/>
        <v>204.5</v>
      </c>
      <c r="N15" s="86">
        <f t="shared" si="3"/>
        <v>2.4582999999999999</v>
      </c>
      <c r="P15" s="84">
        <f t="shared" si="4"/>
        <v>696815.47268785629</v>
      </c>
      <c r="Q15" s="91">
        <f t="shared" si="5"/>
        <v>3407.4106243904953</v>
      </c>
      <c r="S15" s="84">
        <v>661617.76665696735</v>
      </c>
      <c r="T15" s="91">
        <v>3235.2947024790578</v>
      </c>
      <c r="V15" s="88">
        <f t="shared" si="6"/>
        <v>5.3199457155959529E-2</v>
      </c>
      <c r="X15" s="84">
        <v>26671.86</v>
      </c>
      <c r="Y15" s="87">
        <f t="shared" si="7"/>
        <v>670143.61268785631</v>
      </c>
      <c r="Z15" s="4"/>
    </row>
    <row r="16" spans="2:28" x14ac:dyDescent="0.25">
      <c r="B16" s="96" t="s">
        <v>39</v>
      </c>
      <c r="C16" s="97" t="s">
        <v>40</v>
      </c>
      <c r="D16" s="98"/>
      <c r="E16" s="99">
        <v>81.3</v>
      </c>
      <c r="F16" s="100">
        <v>1</v>
      </c>
      <c r="G16" s="39">
        <v>1</v>
      </c>
      <c r="H16" s="40">
        <f t="shared" si="0"/>
        <v>81.3</v>
      </c>
      <c r="I16" s="41">
        <v>0</v>
      </c>
      <c r="J16" s="41">
        <v>1</v>
      </c>
      <c r="K16" s="41">
        <f t="shared" si="1"/>
        <v>0</v>
      </c>
      <c r="L16" s="85">
        <f t="shared" si="2"/>
        <v>81.3</v>
      </c>
      <c r="N16" s="86">
        <f t="shared" si="3"/>
        <v>0.97729999999999995</v>
      </c>
      <c r="P16" s="84">
        <f t="shared" si="4"/>
        <v>277019.794759729</v>
      </c>
      <c r="Q16" s="91">
        <f t="shared" si="5"/>
        <v>3407.3775493201601</v>
      </c>
      <c r="S16" s="84">
        <v>263036.46587769093</v>
      </c>
      <c r="T16" s="91">
        <v>3235.3808841044397</v>
      </c>
      <c r="V16" s="88">
        <f t="shared" si="6"/>
        <v>5.3161179897163624E-2</v>
      </c>
      <c r="X16" s="84">
        <v>15444.87</v>
      </c>
      <c r="Y16" s="87">
        <f t="shared" si="7"/>
        <v>261574.92475972901</v>
      </c>
      <c r="Z16" s="4"/>
    </row>
    <row r="17" spans="1:26" x14ac:dyDescent="0.25">
      <c r="B17" s="96" t="s">
        <v>41</v>
      </c>
      <c r="C17" s="97" t="s">
        <v>42</v>
      </c>
      <c r="D17" s="98"/>
      <c r="E17" s="99">
        <v>56.6</v>
      </c>
      <c r="F17" s="100">
        <v>1</v>
      </c>
      <c r="G17" s="39">
        <v>1</v>
      </c>
      <c r="H17" s="40">
        <f t="shared" si="0"/>
        <v>56.6</v>
      </c>
      <c r="I17" s="41">
        <v>0</v>
      </c>
      <c r="J17" s="41">
        <v>1</v>
      </c>
      <c r="K17" s="41">
        <f t="shared" si="1"/>
        <v>0</v>
      </c>
      <c r="L17" s="85">
        <f t="shared" si="2"/>
        <v>56.6</v>
      </c>
      <c r="N17" s="86">
        <f t="shared" si="3"/>
        <v>0.6804</v>
      </c>
      <c r="P17" s="84">
        <f t="shared" si="4"/>
        <v>192862.24123045086</v>
      </c>
      <c r="Q17" s="91">
        <f t="shared" si="5"/>
        <v>3407.4600924107926</v>
      </c>
      <c r="S17" s="84">
        <v>183105.80224070273</v>
      </c>
      <c r="T17" s="91">
        <v>3235.0848452420978</v>
      </c>
      <c r="V17" s="88">
        <f t="shared" si="6"/>
        <v>5.3283068424684554E-2</v>
      </c>
      <c r="X17" s="84">
        <v>10752.68</v>
      </c>
      <c r="Y17" s="87">
        <f t="shared" si="7"/>
        <v>182109.56123045087</v>
      </c>
      <c r="Z17" s="4"/>
    </row>
    <row r="18" spans="1:26" x14ac:dyDescent="0.25">
      <c r="A18" s="1" t="s">
        <v>230</v>
      </c>
      <c r="B18" s="96" t="s">
        <v>43</v>
      </c>
      <c r="C18" s="97" t="s">
        <v>129</v>
      </c>
      <c r="D18" s="98"/>
      <c r="E18" s="99">
        <v>24.35</v>
      </c>
      <c r="F18" s="100">
        <v>1</v>
      </c>
      <c r="G18" s="39">
        <v>1</v>
      </c>
      <c r="H18" s="40">
        <f t="shared" si="0"/>
        <v>24.35</v>
      </c>
      <c r="I18" s="41">
        <v>0</v>
      </c>
      <c r="J18" s="41">
        <v>1</v>
      </c>
      <c r="K18" s="41">
        <f t="shared" si="1"/>
        <v>0</v>
      </c>
      <c r="L18" s="85">
        <f t="shared" si="2"/>
        <v>24.35</v>
      </c>
      <c r="N18" s="86">
        <f t="shared" si="3"/>
        <v>0.29270000000000002</v>
      </c>
      <c r="P18" s="84">
        <f t="shared" si="4"/>
        <v>82967.045867361812</v>
      </c>
      <c r="Q18" s="91">
        <f t="shared" si="5"/>
        <v>3407.2708775097253</v>
      </c>
      <c r="S18" s="84">
        <v>78780.205933348188</v>
      </c>
      <c r="T18" s="91">
        <v>3235.3267323756954</v>
      </c>
      <c r="V18" s="88">
        <f t="shared" si="6"/>
        <v>5.3145836373617694E-2</v>
      </c>
      <c r="X18" s="84">
        <v>4625.1400000000003</v>
      </c>
      <c r="Y18" s="87">
        <f t="shared" si="7"/>
        <v>78341.905867361813</v>
      </c>
      <c r="Z18" s="4"/>
    </row>
    <row r="19" spans="1:26" x14ac:dyDescent="0.25">
      <c r="B19" s="96" t="s">
        <v>44</v>
      </c>
      <c r="C19" s="97" t="s">
        <v>45</v>
      </c>
      <c r="D19" s="98"/>
      <c r="E19" s="99">
        <v>55.25</v>
      </c>
      <c r="F19" s="100">
        <v>1</v>
      </c>
      <c r="G19" s="39">
        <v>1</v>
      </c>
      <c r="H19" s="40">
        <f t="shared" si="0"/>
        <v>55.25</v>
      </c>
      <c r="I19" s="41">
        <v>0</v>
      </c>
      <c r="J19" s="41">
        <v>1</v>
      </c>
      <c r="K19" s="41">
        <f t="shared" si="1"/>
        <v>0</v>
      </c>
      <c r="L19" s="85">
        <f t="shared" si="2"/>
        <v>55.25</v>
      </c>
      <c r="N19" s="86">
        <f t="shared" si="3"/>
        <v>0.66420000000000001</v>
      </c>
      <c r="P19" s="84">
        <f t="shared" si="4"/>
        <v>188270.28310591634</v>
      </c>
      <c r="Q19" s="87">
        <f t="shared" si="5"/>
        <v>3407.6069340437348</v>
      </c>
      <c r="S19" s="84">
        <v>178739.29232006907</v>
      </c>
      <c r="T19" s="87">
        <v>3235.1003134854132</v>
      </c>
      <c r="V19" s="88">
        <f t="shared" si="6"/>
        <v>5.3323422411117649E-2</v>
      </c>
      <c r="X19" s="84">
        <v>10495.66</v>
      </c>
      <c r="Y19" s="87">
        <f t="shared" si="7"/>
        <v>177774.62310591634</v>
      </c>
      <c r="Z19" s="4"/>
    </row>
    <row r="20" spans="1:26" x14ac:dyDescent="0.25">
      <c r="B20" s="101" t="s">
        <v>46</v>
      </c>
      <c r="C20" s="97" t="s">
        <v>123</v>
      </c>
      <c r="D20" s="98"/>
      <c r="E20" s="99">
        <v>48.9</v>
      </c>
      <c r="F20" s="100">
        <v>1</v>
      </c>
      <c r="G20" s="39">
        <v>1</v>
      </c>
      <c r="H20" s="40">
        <f t="shared" si="0"/>
        <v>48.9</v>
      </c>
      <c r="I20" s="41">
        <v>0</v>
      </c>
      <c r="J20" s="41">
        <v>1</v>
      </c>
      <c r="K20" s="41">
        <f t="shared" si="1"/>
        <v>0</v>
      </c>
      <c r="L20" s="85">
        <f t="shared" si="2"/>
        <v>48.9</v>
      </c>
      <c r="N20" s="86">
        <f t="shared" si="3"/>
        <v>0.58779999999999999</v>
      </c>
      <c r="P20" s="84">
        <f t="shared" si="4"/>
        <v>166614.38182724724</v>
      </c>
      <c r="Q20" s="87">
        <f t="shared" si="5"/>
        <v>3407.2470721318455</v>
      </c>
      <c r="S20" s="84">
        <v>158214.08101649181</v>
      </c>
      <c r="T20" s="87">
        <v>3235.4617794783603</v>
      </c>
      <c r="V20" s="88">
        <f t="shared" si="6"/>
        <v>5.3094520770751163E-2</v>
      </c>
      <c r="X20" s="84">
        <v>9290.02</v>
      </c>
      <c r="Y20" s="87">
        <f t="shared" si="7"/>
        <v>157324.36182724725</v>
      </c>
      <c r="Z20" s="4"/>
    </row>
    <row r="21" spans="1:26" x14ac:dyDescent="0.25">
      <c r="B21" s="101" t="s">
        <v>47</v>
      </c>
      <c r="C21" s="97" t="s">
        <v>123</v>
      </c>
      <c r="D21" s="98"/>
      <c r="E21" s="99">
        <v>48.7</v>
      </c>
      <c r="F21" s="100">
        <v>1</v>
      </c>
      <c r="G21" s="39">
        <v>1</v>
      </c>
      <c r="H21" s="40">
        <f t="shared" si="0"/>
        <v>48.7</v>
      </c>
      <c r="I21" s="41">
        <v>0</v>
      </c>
      <c r="J21" s="41">
        <v>1</v>
      </c>
      <c r="K21" s="41">
        <f t="shared" si="1"/>
        <v>0</v>
      </c>
      <c r="L21" s="85">
        <f t="shared" si="2"/>
        <v>48.7</v>
      </c>
      <c r="N21" s="86">
        <f t="shared" si="3"/>
        <v>0.58540000000000003</v>
      </c>
      <c r="P21" s="84">
        <f t="shared" si="4"/>
        <v>165934.09173472362</v>
      </c>
      <c r="Q21" s="87">
        <f t="shared" si="5"/>
        <v>3407.2708775097253</v>
      </c>
      <c r="S21" s="84">
        <v>157560.41186669638</v>
      </c>
      <c r="T21" s="87">
        <v>3235.3267323756954</v>
      </c>
      <c r="V21" s="88">
        <f t="shared" si="6"/>
        <v>5.3145836373617694E-2</v>
      </c>
      <c r="X21" s="84">
        <v>9251.5300000000007</v>
      </c>
      <c r="Y21" s="87">
        <f t="shared" si="7"/>
        <v>156682.56173472363</v>
      </c>
      <c r="Z21" s="4"/>
    </row>
    <row r="22" spans="1:26" x14ac:dyDescent="0.25">
      <c r="B22" s="101" t="s">
        <v>48</v>
      </c>
      <c r="C22" s="97" t="s">
        <v>124</v>
      </c>
      <c r="D22" s="98"/>
      <c r="E22" s="99">
        <v>43.65</v>
      </c>
      <c r="F22" s="100">
        <v>1</v>
      </c>
      <c r="G22" s="39">
        <v>1</v>
      </c>
      <c r="H22" s="40">
        <f t="shared" si="0"/>
        <v>43.65</v>
      </c>
      <c r="I22" s="41">
        <v>0</v>
      </c>
      <c r="J22" s="41">
        <v>1</v>
      </c>
      <c r="K22" s="41">
        <f t="shared" si="1"/>
        <v>0</v>
      </c>
      <c r="L22" s="85">
        <f t="shared" si="2"/>
        <v>43.65</v>
      </c>
      <c r="N22" s="86">
        <f t="shared" si="3"/>
        <v>0.52470000000000006</v>
      </c>
      <c r="P22" s="84">
        <f t="shared" si="4"/>
        <v>148728.42147797998</v>
      </c>
      <c r="Q22" s="87">
        <f t="shared" si="5"/>
        <v>3407.2948792206184</v>
      </c>
      <c r="S22" s="84">
        <v>141218.68312181003</v>
      </c>
      <c r="T22" s="87">
        <v>3235.2504724355103</v>
      </c>
      <c r="V22" s="88">
        <f t="shared" si="6"/>
        <v>5.3178079487487651E-2</v>
      </c>
      <c r="X22" s="84">
        <v>8291.73</v>
      </c>
      <c r="Y22" s="87">
        <f t="shared" si="7"/>
        <v>140436.69147797997</v>
      </c>
      <c r="Z22" s="4"/>
    </row>
    <row r="23" spans="1:26" x14ac:dyDescent="0.25">
      <c r="B23" s="96" t="s">
        <v>49</v>
      </c>
      <c r="C23" s="97" t="s">
        <v>51</v>
      </c>
      <c r="D23" s="98"/>
      <c r="E23" s="99">
        <v>44.85</v>
      </c>
      <c r="F23" s="100">
        <v>1</v>
      </c>
      <c r="G23" s="39">
        <v>1</v>
      </c>
      <c r="H23" s="40">
        <f t="shared" si="0"/>
        <v>44.85</v>
      </c>
      <c r="I23" s="41">
        <v>0</v>
      </c>
      <c r="J23" s="41">
        <v>1</v>
      </c>
      <c r="K23" s="41">
        <f t="shared" si="1"/>
        <v>0</v>
      </c>
      <c r="L23" s="85">
        <f t="shared" si="2"/>
        <v>44.85</v>
      </c>
      <c r="N23" s="86">
        <f t="shared" si="3"/>
        <v>0.53910000000000002</v>
      </c>
      <c r="P23" s="84">
        <f t="shared" si="4"/>
        <v>152810.1620331218</v>
      </c>
      <c r="Q23" s="87">
        <f t="shared" si="5"/>
        <v>3407.1385068700511</v>
      </c>
      <c r="R23" s="92"/>
      <c r="S23" s="84">
        <v>145114.55125459092</v>
      </c>
      <c r="T23" s="87">
        <v>3235.552982265126</v>
      </c>
      <c r="U23" s="92"/>
      <c r="V23" s="88">
        <f t="shared" si="6"/>
        <v>5.303128261086365E-2</v>
      </c>
      <c r="W23" s="92"/>
      <c r="X23" s="84">
        <v>8520.19</v>
      </c>
      <c r="Y23" s="87">
        <f t="shared" si="7"/>
        <v>144289.9720331218</v>
      </c>
      <c r="Z23" s="4"/>
    </row>
    <row r="24" spans="1:26" x14ac:dyDescent="0.25">
      <c r="B24" s="96" t="s">
        <v>50</v>
      </c>
      <c r="C24" s="97" t="s">
        <v>51</v>
      </c>
      <c r="D24" s="98"/>
      <c r="E24" s="99">
        <v>55.65</v>
      </c>
      <c r="F24" s="100">
        <v>1</v>
      </c>
      <c r="G24" s="39">
        <v>1</v>
      </c>
      <c r="H24" s="40">
        <f t="shared" si="0"/>
        <v>55.65</v>
      </c>
      <c r="I24" s="41">
        <v>0</v>
      </c>
      <c r="J24" s="41">
        <v>1</v>
      </c>
      <c r="K24" s="41">
        <f t="shared" si="1"/>
        <v>0</v>
      </c>
      <c r="L24" s="85">
        <f t="shared" si="2"/>
        <v>55.65</v>
      </c>
      <c r="N24" s="86">
        <f t="shared" si="3"/>
        <v>0.66900000000000004</v>
      </c>
      <c r="P24" s="84">
        <f t="shared" si="4"/>
        <v>189630.86329096361</v>
      </c>
      <c r="Q24" s="87">
        <f t="shared" si="5"/>
        <v>3407.5626826767943</v>
      </c>
      <c r="S24" s="84">
        <v>180046.63061965999</v>
      </c>
      <c r="T24" s="87">
        <v>3235.3392743874215</v>
      </c>
      <c r="V24" s="88">
        <f t="shared" si="6"/>
        <v>5.3231946847979827E-2</v>
      </c>
      <c r="X24" s="84">
        <v>10571.4</v>
      </c>
      <c r="Y24" s="87">
        <f t="shared" si="7"/>
        <v>179059.46329096361</v>
      </c>
      <c r="Z24" s="4"/>
    </row>
    <row r="25" spans="1:26" x14ac:dyDescent="0.25">
      <c r="B25" s="101" t="s">
        <v>52</v>
      </c>
      <c r="C25" s="97" t="s">
        <v>53</v>
      </c>
      <c r="D25" s="98"/>
      <c r="E25" s="99">
        <v>55.65</v>
      </c>
      <c r="F25" s="100">
        <v>1</v>
      </c>
      <c r="G25" s="39">
        <v>1</v>
      </c>
      <c r="H25" s="40">
        <f t="shared" si="0"/>
        <v>55.65</v>
      </c>
      <c r="I25" s="41">
        <v>0</v>
      </c>
      <c r="J25" s="41">
        <v>1</v>
      </c>
      <c r="K25" s="41">
        <f t="shared" si="1"/>
        <v>0</v>
      </c>
      <c r="L25" s="85">
        <f t="shared" si="2"/>
        <v>55.65</v>
      </c>
      <c r="M25" s="80"/>
      <c r="N25" s="86">
        <f t="shared" si="3"/>
        <v>0.66900000000000004</v>
      </c>
      <c r="O25" s="80"/>
      <c r="P25" s="84">
        <f t="shared" si="4"/>
        <v>189630.86329096361</v>
      </c>
      <c r="Q25" s="87">
        <f t="shared" si="5"/>
        <v>3407.5626826767943</v>
      </c>
      <c r="S25" s="84">
        <v>180046.63061965999</v>
      </c>
      <c r="T25" s="87">
        <v>3235.3392743874215</v>
      </c>
      <c r="V25" s="88">
        <f t="shared" si="6"/>
        <v>5.3231946847979827E-2</v>
      </c>
      <c r="X25" s="84">
        <v>10571.4</v>
      </c>
      <c r="Y25" s="87">
        <f t="shared" si="7"/>
        <v>179059.46329096361</v>
      </c>
      <c r="Z25" s="4"/>
    </row>
    <row r="26" spans="1:26" x14ac:dyDescent="0.25">
      <c r="B26" s="101" t="s">
        <v>54</v>
      </c>
      <c r="C26" s="97" t="s">
        <v>55</v>
      </c>
      <c r="D26" s="98"/>
      <c r="E26" s="103">
        <f>44.85+43.5</f>
        <v>88.35</v>
      </c>
      <c r="F26" s="100">
        <v>1</v>
      </c>
      <c r="G26" s="39">
        <v>1</v>
      </c>
      <c r="H26" s="40">
        <f t="shared" si="0"/>
        <v>88.35</v>
      </c>
      <c r="I26" s="41">
        <v>0</v>
      </c>
      <c r="J26" s="41">
        <v>1</v>
      </c>
      <c r="K26" s="41">
        <f t="shared" si="1"/>
        <v>0</v>
      </c>
      <c r="L26" s="85">
        <f t="shared" si="2"/>
        <v>88.35</v>
      </c>
      <c r="N26" s="86">
        <f t="shared" si="3"/>
        <v>1.0621</v>
      </c>
      <c r="P26" s="84">
        <f t="shared" si="4"/>
        <v>301056.71136223082</v>
      </c>
      <c r="Q26" s="87">
        <f t="shared" si="5"/>
        <v>3407.546251977712</v>
      </c>
      <c r="S26" s="84">
        <v>285836.44582255633</v>
      </c>
      <c r="T26" s="87">
        <v>3235.2738633000154</v>
      </c>
      <c r="V26" s="88">
        <f t="shared" si="6"/>
        <v>5.3248162584287995E-2</v>
      </c>
      <c r="X26" s="84">
        <v>16783.37</v>
      </c>
      <c r="Y26" s="87">
        <f t="shared" si="7"/>
        <v>284273.34136223083</v>
      </c>
      <c r="Z26" s="4"/>
    </row>
    <row r="27" spans="1:26" x14ac:dyDescent="0.25">
      <c r="B27" s="78" t="s">
        <v>211</v>
      </c>
      <c r="C27" s="79" t="s">
        <v>45</v>
      </c>
      <c r="D27" s="80"/>
      <c r="E27" s="81">
        <v>52.8</v>
      </c>
      <c r="F27" s="82">
        <v>1</v>
      </c>
      <c r="G27" s="166">
        <v>1</v>
      </c>
      <c r="H27" s="167">
        <f t="shared" si="0"/>
        <v>52.8</v>
      </c>
      <c r="I27" s="82">
        <v>0</v>
      </c>
      <c r="J27" s="82">
        <v>1</v>
      </c>
      <c r="K27" s="82">
        <v>0</v>
      </c>
      <c r="L27" s="168">
        <f t="shared" si="2"/>
        <v>52.8</v>
      </c>
      <c r="N27" s="86">
        <f t="shared" si="3"/>
        <v>0.63470000000000004</v>
      </c>
      <c r="P27" s="169">
        <f t="shared" si="4"/>
        <v>179908.38405197996</v>
      </c>
      <c r="Q27" s="170">
        <f t="shared" si="5"/>
        <v>3407.3557585602266</v>
      </c>
      <c r="R27" s="80"/>
      <c r="S27" s="169">
        <v>170816.8222245482</v>
      </c>
      <c r="T27" s="170">
        <v>3235.1670875861405</v>
      </c>
      <c r="U27" s="80"/>
      <c r="V27" s="171">
        <f t="shared" si="6"/>
        <v>5.3224042626670576E-2</v>
      </c>
      <c r="W27" s="80"/>
      <c r="X27" s="169">
        <v>16783.37</v>
      </c>
      <c r="Y27" s="170">
        <f t="shared" si="7"/>
        <v>163125.01405197996</v>
      </c>
      <c r="Z27" s="4"/>
    </row>
    <row r="28" spans="1:26" x14ac:dyDescent="0.25">
      <c r="B28" s="101" t="s">
        <v>212</v>
      </c>
      <c r="C28" s="97" t="s">
        <v>208</v>
      </c>
      <c r="D28" s="98"/>
      <c r="E28" s="103">
        <v>133.85</v>
      </c>
      <c r="F28" s="100">
        <v>1</v>
      </c>
      <c r="G28" s="39">
        <v>1</v>
      </c>
      <c r="H28" s="40">
        <f t="shared" si="0"/>
        <v>133.85</v>
      </c>
      <c r="I28" s="41">
        <v>0</v>
      </c>
      <c r="J28" s="41">
        <v>1</v>
      </c>
      <c r="K28" s="41">
        <f t="shared" si="1"/>
        <v>0</v>
      </c>
      <c r="L28" s="85">
        <f t="shared" si="2"/>
        <v>133.85</v>
      </c>
      <c r="M28" s="80"/>
      <c r="N28" s="86">
        <f t="shared" si="3"/>
        <v>1.609</v>
      </c>
      <c r="O28" s="80"/>
      <c r="P28" s="84">
        <f t="shared" si="4"/>
        <v>456077.81619605445</v>
      </c>
      <c r="Q28" s="87">
        <f t="shared" si="5"/>
        <v>3407.3800238778817</v>
      </c>
      <c r="S28" s="84">
        <v>433042.73835649266</v>
      </c>
      <c r="T28" s="87">
        <v>3235.2838128987128</v>
      </c>
      <c r="V28" s="88">
        <f t="shared" si="6"/>
        <v>5.3193543729622927E-2</v>
      </c>
      <c r="X28" s="84">
        <v>31563.96</v>
      </c>
      <c r="Y28" s="87">
        <f t="shared" si="7"/>
        <v>424513.85619605443</v>
      </c>
      <c r="Z28" s="4"/>
    </row>
    <row r="29" spans="1:26" x14ac:dyDescent="0.25">
      <c r="B29" s="101" t="s">
        <v>56</v>
      </c>
      <c r="C29" s="97" t="s">
        <v>57</v>
      </c>
      <c r="D29" s="98"/>
      <c r="E29" s="103">
        <v>232.05</v>
      </c>
      <c r="F29" s="100">
        <v>1</v>
      </c>
      <c r="G29" s="39">
        <v>1</v>
      </c>
      <c r="H29" s="40">
        <f t="shared" si="0"/>
        <v>232.05</v>
      </c>
      <c r="I29" s="41">
        <v>0</v>
      </c>
      <c r="J29" s="41">
        <v>1</v>
      </c>
      <c r="K29" s="41">
        <f t="shared" si="1"/>
        <v>0</v>
      </c>
      <c r="L29" s="85">
        <f t="shared" si="2"/>
        <v>232.05</v>
      </c>
      <c r="N29" s="86">
        <f t="shared" si="3"/>
        <v>2.7894999999999999</v>
      </c>
      <c r="P29" s="84">
        <f t="shared" si="4"/>
        <v>790695.50545611803</v>
      </c>
      <c r="Q29" s="87">
        <f t="shared" si="5"/>
        <v>3407.4359209485801</v>
      </c>
      <c r="S29" s="84">
        <v>750752.0919230755</v>
      </c>
      <c r="T29" s="87">
        <v>3235.3031326139862</v>
      </c>
      <c r="V29" s="88">
        <f t="shared" si="6"/>
        <v>5.3204531779227127E-2</v>
      </c>
      <c r="X29" s="84">
        <v>44082.26</v>
      </c>
      <c r="Y29" s="87">
        <f t="shared" si="7"/>
        <v>746613.24545611802</v>
      </c>
      <c r="Z29" s="4"/>
    </row>
    <row r="30" spans="1:26" x14ac:dyDescent="0.25">
      <c r="B30" s="101" t="s">
        <v>58</v>
      </c>
      <c r="C30" s="97" t="s">
        <v>59</v>
      </c>
      <c r="D30" s="98"/>
      <c r="E30" s="103">
        <f>69.8+54.8</f>
        <v>124.6</v>
      </c>
      <c r="F30" s="100">
        <v>1</v>
      </c>
      <c r="G30" s="39">
        <v>1</v>
      </c>
      <c r="H30" s="40">
        <f t="shared" si="0"/>
        <v>124.6</v>
      </c>
      <c r="I30" s="41">
        <v>0</v>
      </c>
      <c r="J30" s="41">
        <v>1</v>
      </c>
      <c r="K30" s="41">
        <f t="shared" si="1"/>
        <v>0</v>
      </c>
      <c r="L30" s="85">
        <f t="shared" si="2"/>
        <v>124.6</v>
      </c>
      <c r="N30" s="86">
        <f t="shared" si="3"/>
        <v>1.4978</v>
      </c>
      <c r="P30" s="84">
        <f t="shared" si="4"/>
        <v>424557.70857579261</v>
      </c>
      <c r="Q30" s="87">
        <f t="shared" si="5"/>
        <v>3407.365237365912</v>
      </c>
      <c r="S30" s="84">
        <v>403130.83806185273</v>
      </c>
      <c r="T30" s="87">
        <v>3235.3999844450464</v>
      </c>
      <c r="V30" s="88">
        <f t="shared" si="6"/>
        <v>5.315115712048879E-2</v>
      </c>
      <c r="X30" s="84">
        <v>23670.79</v>
      </c>
      <c r="Y30" s="87">
        <f t="shared" si="7"/>
        <v>400886.91857579263</v>
      </c>
      <c r="Z30" s="4"/>
    </row>
    <row r="31" spans="1:26" x14ac:dyDescent="0.25">
      <c r="B31" s="96" t="s">
        <v>60</v>
      </c>
      <c r="C31" s="97" t="s">
        <v>61</v>
      </c>
      <c r="D31" s="98"/>
      <c r="E31" s="103">
        <v>89.65</v>
      </c>
      <c r="F31" s="100">
        <v>1</v>
      </c>
      <c r="G31" s="39">
        <v>1</v>
      </c>
      <c r="H31" s="40">
        <f t="shared" si="0"/>
        <v>89.65</v>
      </c>
      <c r="I31" s="41">
        <v>0</v>
      </c>
      <c r="J31" s="41">
        <v>1</v>
      </c>
      <c r="K31" s="41">
        <f t="shared" si="1"/>
        <v>0</v>
      </c>
      <c r="L31" s="85">
        <f t="shared" si="2"/>
        <v>89.65</v>
      </c>
      <c r="N31" s="86">
        <f t="shared" si="3"/>
        <v>1.0777000000000001</v>
      </c>
      <c r="P31" s="84">
        <f t="shared" si="4"/>
        <v>305478.59696363454</v>
      </c>
      <c r="Q31" s="87">
        <f t="shared" si="5"/>
        <v>3407.4578579323424</v>
      </c>
      <c r="S31" s="84">
        <v>290046.07514723908</v>
      </c>
      <c r="T31" s="87">
        <v>3235.315952562622</v>
      </c>
      <c r="V31" s="88">
        <f t="shared" si="6"/>
        <v>5.3207138929776132E-2</v>
      </c>
      <c r="X31" s="84">
        <v>17030.46</v>
      </c>
      <c r="Y31" s="87">
        <f t="shared" si="7"/>
        <v>288448.13696363452</v>
      </c>
      <c r="Z31" s="4"/>
    </row>
    <row r="32" spans="1:26" x14ac:dyDescent="0.25">
      <c r="B32" s="96" t="s">
        <v>62</v>
      </c>
      <c r="C32" s="97" t="s">
        <v>213</v>
      </c>
      <c r="D32" s="98"/>
      <c r="E32" s="103">
        <v>57.85</v>
      </c>
      <c r="F32" s="100">
        <v>1</v>
      </c>
      <c r="G32" s="39">
        <v>1</v>
      </c>
      <c r="H32" s="40">
        <f t="shared" si="0"/>
        <v>57.85</v>
      </c>
      <c r="I32" s="41">
        <v>0</v>
      </c>
      <c r="J32" s="41">
        <v>1</v>
      </c>
      <c r="K32" s="41">
        <f t="shared" si="1"/>
        <v>0</v>
      </c>
      <c r="L32" s="85">
        <f t="shared" si="2"/>
        <v>57.85</v>
      </c>
      <c r="N32" s="86">
        <f t="shared" si="3"/>
        <v>0.69540000000000002</v>
      </c>
      <c r="P32" s="84">
        <f t="shared" si="4"/>
        <v>197114.05430872357</v>
      </c>
      <c r="Q32" s="87">
        <f t="shared" si="5"/>
        <v>3407.3302386987652</v>
      </c>
      <c r="S32" s="84">
        <v>187158.55096943452</v>
      </c>
      <c r="T32" s="87">
        <v>3235.2385647266124</v>
      </c>
      <c r="V32" s="88">
        <f t="shared" si="6"/>
        <v>5.3192885324886419E-2</v>
      </c>
      <c r="X32" s="84">
        <v>10989.83</v>
      </c>
      <c r="Y32" s="87">
        <f t="shared" si="7"/>
        <v>186124.22430872358</v>
      </c>
      <c r="Z32" s="4"/>
    </row>
    <row r="33" spans="2:26" x14ac:dyDescent="0.25">
      <c r="B33" s="101" t="s">
        <v>63</v>
      </c>
      <c r="C33" s="97" t="s">
        <v>125</v>
      </c>
      <c r="D33" s="98"/>
      <c r="E33" s="103">
        <v>51.5</v>
      </c>
      <c r="F33" s="100">
        <v>1</v>
      </c>
      <c r="G33" s="39">
        <v>1</v>
      </c>
      <c r="H33" s="40">
        <f t="shared" si="0"/>
        <v>51.5</v>
      </c>
      <c r="I33" s="41">
        <v>0</v>
      </c>
      <c r="J33" s="41">
        <v>1</v>
      </c>
      <c r="K33" s="41">
        <f t="shared" si="1"/>
        <v>0</v>
      </c>
      <c r="L33" s="85">
        <f t="shared" si="2"/>
        <v>51.5</v>
      </c>
      <c r="N33" s="86">
        <f t="shared" si="3"/>
        <v>0.61909999999999998</v>
      </c>
      <c r="P33" s="84">
        <f t="shared" si="4"/>
        <v>175486.49845057633</v>
      </c>
      <c r="Q33" s="87">
        <f t="shared" si="5"/>
        <v>3407.5048242830353</v>
      </c>
      <c r="S33" s="84">
        <v>166607.19289986545</v>
      </c>
      <c r="T33" s="87">
        <v>3235.0911242692318</v>
      </c>
      <c r="V33" s="88">
        <f t="shared" si="6"/>
        <v>5.3294851177569047E-2</v>
      </c>
      <c r="X33" s="84">
        <v>9782.9500000000007</v>
      </c>
      <c r="Y33" s="87">
        <f t="shared" si="7"/>
        <v>165703.54845057632</v>
      </c>
      <c r="Z33" s="4"/>
    </row>
    <row r="34" spans="2:26" x14ac:dyDescent="0.25">
      <c r="B34" s="101" t="s">
        <v>64</v>
      </c>
      <c r="C34" s="104" t="s">
        <v>163</v>
      </c>
      <c r="D34" s="98"/>
      <c r="E34" s="103">
        <v>49.85</v>
      </c>
      <c r="F34" s="100">
        <v>1</v>
      </c>
      <c r="G34" s="39">
        <v>1</v>
      </c>
      <c r="H34" s="40">
        <f t="shared" si="0"/>
        <v>49.85</v>
      </c>
      <c r="I34" s="41">
        <v>0</v>
      </c>
      <c r="J34" s="41">
        <v>1</v>
      </c>
      <c r="K34" s="41">
        <f t="shared" si="1"/>
        <v>0</v>
      </c>
      <c r="L34" s="85">
        <f t="shared" si="2"/>
        <v>49.85</v>
      </c>
      <c r="N34" s="86">
        <f t="shared" si="3"/>
        <v>0.59930000000000005</v>
      </c>
      <c r="P34" s="84">
        <f t="shared" si="4"/>
        <v>169874.10518725633</v>
      </c>
      <c r="Q34" s="87">
        <f t="shared" si="5"/>
        <v>3407.7052194033363</v>
      </c>
      <c r="S34" s="84">
        <v>161273.25263753455</v>
      </c>
      <c r="T34" s="87">
        <v>3235.1705644440231</v>
      </c>
      <c r="V34" s="88">
        <f t="shared" si="6"/>
        <v>5.3330930015111688E-2</v>
      </c>
      <c r="X34" s="84">
        <v>9470.06</v>
      </c>
      <c r="Y34" s="87">
        <f t="shared" si="7"/>
        <v>160404.04518725633</v>
      </c>
      <c r="Z34" s="4"/>
    </row>
    <row r="35" spans="2:26" x14ac:dyDescent="0.25">
      <c r="B35" s="101" t="s">
        <v>65</v>
      </c>
      <c r="C35" s="104" t="s">
        <v>183</v>
      </c>
      <c r="D35" s="98"/>
      <c r="E35" s="103">
        <v>75.400000000000006</v>
      </c>
      <c r="F35" s="100">
        <v>1</v>
      </c>
      <c r="G35" s="39">
        <v>1</v>
      </c>
      <c r="H35" s="40">
        <f t="shared" si="0"/>
        <v>75.400000000000006</v>
      </c>
      <c r="I35" s="41">
        <v>0</v>
      </c>
      <c r="J35" s="41">
        <v>1</v>
      </c>
      <c r="K35" s="41">
        <f>ROUND(I35*J35,2)</f>
        <v>0</v>
      </c>
      <c r="L35" s="85">
        <f>H35+K35</f>
        <v>75.400000000000006</v>
      </c>
      <c r="N35" s="86">
        <f t="shared" si="3"/>
        <v>0.90639999999999998</v>
      </c>
      <c r="P35" s="84">
        <f t="shared" si="4"/>
        <v>256922.89160975991</v>
      </c>
      <c r="Q35" s="87">
        <f t="shared" si="5"/>
        <v>3407.4654059649852</v>
      </c>
      <c r="S35" s="84">
        <v>243949.32670366365</v>
      </c>
      <c r="T35" s="87">
        <v>3235.4022109239208</v>
      </c>
      <c r="V35" s="88">
        <f t="shared" si="6"/>
        <v>5.3181392551477913E-2</v>
      </c>
      <c r="X35" s="84">
        <v>14322.66</v>
      </c>
      <c r="Y35" s="87">
        <f t="shared" si="7"/>
        <v>242600.23160975991</v>
      </c>
      <c r="Z35" s="4"/>
    </row>
    <row r="36" spans="2:26" x14ac:dyDescent="0.25">
      <c r="B36" s="101" t="s">
        <v>66</v>
      </c>
      <c r="C36" s="104" t="s">
        <v>126</v>
      </c>
      <c r="D36" s="98"/>
      <c r="E36" s="103">
        <v>45.15</v>
      </c>
      <c r="F36" s="100">
        <v>1</v>
      </c>
      <c r="G36" s="39">
        <v>1</v>
      </c>
      <c r="H36" s="40">
        <f t="shared" si="0"/>
        <v>45.15</v>
      </c>
      <c r="I36" s="41">
        <v>0</v>
      </c>
      <c r="J36" s="41">
        <v>1</v>
      </c>
      <c r="K36" s="41">
        <f t="shared" si="1"/>
        <v>0</v>
      </c>
      <c r="L36" s="85">
        <f t="shared" si="2"/>
        <v>45.15</v>
      </c>
      <c r="N36" s="86">
        <f t="shared" si="3"/>
        <v>0.54279999999999995</v>
      </c>
      <c r="P36" s="84">
        <f t="shared" si="4"/>
        <v>153858.94259242906</v>
      </c>
      <c r="Q36" s="87">
        <f t="shared" si="5"/>
        <v>3407.7285181047409</v>
      </c>
      <c r="S36" s="84">
        <v>146081.98159628818</v>
      </c>
      <c r="T36" s="87">
        <v>3235.4813199620862</v>
      </c>
      <c r="V36" s="88">
        <f t="shared" si="6"/>
        <v>5.3236962636728613E-2</v>
      </c>
      <c r="X36" s="84">
        <v>8577.31</v>
      </c>
      <c r="Y36" s="87">
        <f t="shared" si="7"/>
        <v>145281.63259242906</v>
      </c>
      <c r="Z36" s="4"/>
    </row>
    <row r="37" spans="2:26" x14ac:dyDescent="0.25">
      <c r="B37" s="96" t="s">
        <v>68</v>
      </c>
      <c r="C37" s="97" t="s">
        <v>224</v>
      </c>
      <c r="D37" s="98"/>
      <c r="E37" s="103">
        <v>43.85</v>
      </c>
      <c r="F37" s="100">
        <v>1</v>
      </c>
      <c r="G37" s="39">
        <v>1</v>
      </c>
      <c r="H37" s="40">
        <f t="shared" si="0"/>
        <v>43.85</v>
      </c>
      <c r="I37" s="41">
        <v>0</v>
      </c>
      <c r="J37" s="41">
        <v>1</v>
      </c>
      <c r="K37" s="41">
        <f t="shared" si="1"/>
        <v>0</v>
      </c>
      <c r="L37" s="85">
        <f t="shared" si="2"/>
        <v>43.85</v>
      </c>
      <c r="N37" s="86">
        <f t="shared" si="3"/>
        <v>0.52710000000000001</v>
      </c>
      <c r="P37" s="84">
        <f t="shared" si="4"/>
        <v>149408.7115705036</v>
      </c>
      <c r="Q37" s="87">
        <f t="shared" si="5"/>
        <v>3407.2682228165017</v>
      </c>
      <c r="S37" s="84">
        <v>141872.35227160546</v>
      </c>
      <c r="T37" s="87">
        <v>3235.4014201050272</v>
      </c>
      <c r="V37" s="88">
        <f t="shared" si="6"/>
        <v>5.3120704479969971E-2</v>
      </c>
      <c r="X37" s="84">
        <v>8330.2199999999993</v>
      </c>
      <c r="Y37" s="87">
        <f t="shared" si="7"/>
        <v>141078.4915705036</v>
      </c>
      <c r="Z37" s="4"/>
    </row>
    <row r="38" spans="2:26" x14ac:dyDescent="0.25">
      <c r="B38" s="101" t="s">
        <v>69</v>
      </c>
      <c r="C38" s="97" t="s">
        <v>225</v>
      </c>
      <c r="D38" s="98"/>
      <c r="E38" s="103">
        <v>55.4</v>
      </c>
      <c r="F38" s="100">
        <v>1</v>
      </c>
      <c r="G38" s="39">
        <v>1</v>
      </c>
      <c r="H38" s="40">
        <f t="shared" si="0"/>
        <v>55.4</v>
      </c>
      <c r="I38" s="41">
        <v>0</v>
      </c>
      <c r="J38" s="41">
        <v>1</v>
      </c>
      <c r="K38" s="41">
        <f t="shared" si="1"/>
        <v>0</v>
      </c>
      <c r="L38" s="85">
        <f t="shared" si="2"/>
        <v>55.4</v>
      </c>
      <c r="N38" s="86">
        <f t="shared" si="3"/>
        <v>0.66600000000000004</v>
      </c>
      <c r="P38" s="84">
        <f t="shared" si="4"/>
        <v>188780.50067530907</v>
      </c>
      <c r="Q38" s="87">
        <f t="shared" si="5"/>
        <v>3407.5902648972756</v>
      </c>
      <c r="S38" s="84">
        <v>179236.08087391366</v>
      </c>
      <c r="T38" s="87">
        <v>3235.3083190237121</v>
      </c>
      <c r="V38" s="88">
        <f t="shared" si="6"/>
        <v>5.3250549525849067E-2</v>
      </c>
      <c r="X38" s="84">
        <v>10524.22</v>
      </c>
      <c r="Y38" s="87">
        <f t="shared" si="7"/>
        <v>178256.28067530907</v>
      </c>
      <c r="Z38" s="4"/>
    </row>
    <row r="39" spans="2:26" x14ac:dyDescent="0.25">
      <c r="B39" s="96" t="s">
        <v>70</v>
      </c>
      <c r="C39" s="97" t="s">
        <v>71</v>
      </c>
      <c r="D39" s="98"/>
      <c r="E39" s="103">
        <v>135.75</v>
      </c>
      <c r="F39" s="100">
        <v>1</v>
      </c>
      <c r="G39" s="39">
        <v>1</v>
      </c>
      <c r="H39" s="40">
        <f t="shared" si="0"/>
        <v>135.75</v>
      </c>
      <c r="I39" s="41">
        <v>0</v>
      </c>
      <c r="J39" s="41">
        <v>1</v>
      </c>
      <c r="K39" s="41">
        <f t="shared" si="1"/>
        <v>0</v>
      </c>
      <c r="L39" s="85">
        <f t="shared" si="2"/>
        <v>135.75</v>
      </c>
      <c r="N39" s="86">
        <f t="shared" si="3"/>
        <v>1.6318999999999999</v>
      </c>
      <c r="P39" s="84">
        <f t="shared" si="4"/>
        <v>462568.91749555082</v>
      </c>
      <c r="Q39" s="87">
        <f t="shared" si="5"/>
        <v>3407.50583790461</v>
      </c>
      <c r="S39" s="84">
        <v>439187.22836457001</v>
      </c>
      <c r="T39" s="87">
        <v>3235.2650339931492</v>
      </c>
      <c r="V39" s="88">
        <f t="shared" si="6"/>
        <v>5.3238545251073743E-2</v>
      </c>
      <c r="X39" s="84">
        <v>21922.55</v>
      </c>
      <c r="Y39" s="87">
        <f t="shared" si="7"/>
        <v>440646.36749555083</v>
      </c>
      <c r="Z39" s="4"/>
    </row>
    <row r="40" spans="2:26" x14ac:dyDescent="0.25">
      <c r="B40" s="96" t="s">
        <v>72</v>
      </c>
      <c r="C40" s="97" t="s">
        <v>71</v>
      </c>
      <c r="D40" s="98"/>
      <c r="E40" s="103">
        <v>21.6</v>
      </c>
      <c r="F40" s="100">
        <v>1</v>
      </c>
      <c r="G40" s="39">
        <v>1</v>
      </c>
      <c r="H40" s="40">
        <f t="shared" si="0"/>
        <v>21.6</v>
      </c>
      <c r="I40" s="41">
        <v>0</v>
      </c>
      <c r="J40" s="41">
        <v>1</v>
      </c>
      <c r="K40" s="41">
        <f t="shared" si="1"/>
        <v>0</v>
      </c>
      <c r="L40" s="85">
        <f t="shared" si="2"/>
        <v>21.6</v>
      </c>
      <c r="N40" s="86">
        <f t="shared" si="3"/>
        <v>0.25969999999999999</v>
      </c>
      <c r="P40" s="84">
        <f t="shared" si="4"/>
        <v>73613.057095161799</v>
      </c>
      <c r="Q40" s="87">
        <f t="shared" si="5"/>
        <v>3408.011902553787</v>
      </c>
      <c r="S40" s="84">
        <v>69890.305496129993</v>
      </c>
      <c r="T40" s="87">
        <v>3235.6622914874993</v>
      </c>
      <c r="V40" s="88">
        <f t="shared" si="6"/>
        <v>5.3265636379825843E-2</v>
      </c>
      <c r="X40" s="84">
        <v>21922.55</v>
      </c>
      <c r="Y40" s="87">
        <f t="shared" si="7"/>
        <v>51690.507095161796</v>
      </c>
      <c r="Z40" s="4"/>
    </row>
    <row r="41" spans="2:26" x14ac:dyDescent="0.25">
      <c r="B41" s="96" t="s">
        <v>214</v>
      </c>
      <c r="C41" s="97" t="s">
        <v>200</v>
      </c>
      <c r="D41" s="98"/>
      <c r="E41" s="103">
        <v>70</v>
      </c>
      <c r="F41" s="100">
        <v>1</v>
      </c>
      <c r="G41" s="39">
        <v>1</v>
      </c>
      <c r="H41" s="40">
        <f t="shared" si="0"/>
        <v>70</v>
      </c>
      <c r="I41" s="41">
        <v>0</v>
      </c>
      <c r="J41" s="41">
        <v>1</v>
      </c>
      <c r="K41" s="41">
        <f t="shared" si="1"/>
        <v>0</v>
      </c>
      <c r="L41" s="85">
        <f t="shared" si="2"/>
        <v>70</v>
      </c>
      <c r="N41" s="86">
        <f t="shared" si="3"/>
        <v>0.84150000000000003</v>
      </c>
      <c r="P41" s="84">
        <f t="shared" si="4"/>
        <v>238526.71369109995</v>
      </c>
      <c r="Q41" s="87">
        <f t="shared" si="5"/>
        <v>3407.5244813014278</v>
      </c>
      <c r="S41" s="84">
        <v>226483.2870211291</v>
      </c>
      <c r="T41" s="87">
        <v>3235.4755288732727</v>
      </c>
      <c r="V41" s="88">
        <f t="shared" si="6"/>
        <v>5.3175785411694765E-2</v>
      </c>
      <c r="X41" s="84">
        <v>8377.4</v>
      </c>
      <c r="Y41" s="87">
        <f t="shared" si="7"/>
        <v>230149.31369109996</v>
      </c>
      <c r="Z41" s="4"/>
    </row>
    <row r="42" spans="2:26" x14ac:dyDescent="0.25">
      <c r="B42" s="96" t="s">
        <v>215</v>
      </c>
      <c r="C42" s="104" t="s">
        <v>179</v>
      </c>
      <c r="D42" s="98"/>
      <c r="E42" s="103">
        <v>74.25</v>
      </c>
      <c r="F42" s="100">
        <v>1</v>
      </c>
      <c r="G42" s="39">
        <v>1</v>
      </c>
      <c r="H42" s="40">
        <f t="shared" si="0"/>
        <v>74.25</v>
      </c>
      <c r="I42" s="41">
        <v>0</v>
      </c>
      <c r="J42" s="41">
        <v>1</v>
      </c>
      <c r="K42" s="41">
        <f t="shared" si="1"/>
        <v>0</v>
      </c>
      <c r="L42" s="85">
        <f t="shared" si="2"/>
        <v>74.25</v>
      </c>
      <c r="N42" s="86">
        <f t="shared" si="3"/>
        <v>0.89259999999999995</v>
      </c>
      <c r="P42" s="84">
        <f t="shared" si="4"/>
        <v>253011.22357774901</v>
      </c>
      <c r="Q42" s="87">
        <f t="shared" si="5"/>
        <v>3407.5585667036903</v>
      </c>
      <c r="S42" s="84">
        <v>240210.33916683364</v>
      </c>
      <c r="T42" s="87">
        <v>3235.1560830549984</v>
      </c>
      <c r="V42" s="88">
        <f t="shared" si="6"/>
        <v>5.3290314044412312E-2</v>
      </c>
      <c r="X42" s="84">
        <v>25456.28</v>
      </c>
      <c r="Y42" s="87">
        <f t="shared" si="7"/>
        <v>227554.94357774901</v>
      </c>
      <c r="Z42" s="4"/>
    </row>
    <row r="43" spans="2:26" x14ac:dyDescent="0.25">
      <c r="B43" s="118" t="s">
        <v>73</v>
      </c>
      <c r="C43" s="117" t="s">
        <v>195</v>
      </c>
      <c r="D43" s="94"/>
      <c r="E43" s="115">
        <v>506.75</v>
      </c>
      <c r="F43" s="115">
        <v>0.75</v>
      </c>
      <c r="G43" s="39">
        <v>1</v>
      </c>
      <c r="H43" s="40">
        <f t="shared" si="0"/>
        <v>380.06</v>
      </c>
      <c r="I43" s="41">
        <v>0</v>
      </c>
      <c r="J43" s="41">
        <v>1</v>
      </c>
      <c r="K43" s="41">
        <f t="shared" si="1"/>
        <v>0</v>
      </c>
      <c r="L43" s="85">
        <f t="shared" si="2"/>
        <v>380.06</v>
      </c>
      <c r="N43" s="86">
        <f t="shared" si="3"/>
        <v>4.5686999999999998</v>
      </c>
      <c r="P43" s="84">
        <f t="shared" si="4"/>
        <v>1295017.2273803069</v>
      </c>
      <c r="Q43" s="87">
        <f t="shared" si="5"/>
        <v>2555.5347358269501</v>
      </c>
      <c r="S43" s="84">
        <v>1229603.9642972336</v>
      </c>
      <c r="T43" s="87">
        <v>2426.4508422244371</v>
      </c>
      <c r="V43" s="88">
        <f t="shared" si="6"/>
        <v>5.3198643614051466E-2</v>
      </c>
      <c r="X43" s="84">
        <v>78940.31</v>
      </c>
      <c r="Y43" s="87">
        <f t="shared" si="7"/>
        <v>1216076.9173803069</v>
      </c>
      <c r="Z43" s="4"/>
    </row>
    <row r="44" spans="2:26" x14ac:dyDescent="0.25">
      <c r="B44" s="116" t="s">
        <v>74</v>
      </c>
      <c r="C44" s="117" t="s">
        <v>231</v>
      </c>
      <c r="D44" s="94"/>
      <c r="E44" s="115">
        <f>244</f>
        <v>244</v>
      </c>
      <c r="F44" s="111">
        <v>1</v>
      </c>
      <c r="G44" s="39">
        <v>1</v>
      </c>
      <c r="H44" s="40">
        <f t="shared" si="0"/>
        <v>244</v>
      </c>
      <c r="I44" s="41">
        <v>0</v>
      </c>
      <c r="J44" s="41">
        <v>1</v>
      </c>
      <c r="K44" s="41">
        <f t="shared" si="1"/>
        <v>0</v>
      </c>
      <c r="L44" s="85">
        <f t="shared" si="2"/>
        <v>244</v>
      </c>
      <c r="N44" s="86">
        <f t="shared" si="3"/>
        <v>2.9331999999999998</v>
      </c>
      <c r="P44" s="84">
        <f t="shared" si="4"/>
        <v>831427.87474597071</v>
      </c>
      <c r="Q44" s="87">
        <f t="shared" si="5"/>
        <v>3407.491289942503</v>
      </c>
      <c r="S44" s="84">
        <v>407654.22857843729</v>
      </c>
      <c r="T44" s="87">
        <v>2426.5132653478408</v>
      </c>
      <c r="V44" s="88">
        <f t="shared" si="6"/>
        <v>1.0395418873620113</v>
      </c>
      <c r="X44" s="84">
        <v>23936.51</v>
      </c>
      <c r="Y44" s="87">
        <f t="shared" si="7"/>
        <v>807491.3647459707</v>
      </c>
      <c r="Z44" s="4"/>
    </row>
    <row r="45" spans="2:26" x14ac:dyDescent="0.25">
      <c r="B45" s="116" t="s">
        <v>75</v>
      </c>
      <c r="C45" s="117" t="s">
        <v>76</v>
      </c>
      <c r="D45" s="94"/>
      <c r="E45" s="115">
        <f>221.7-69.3</f>
        <v>152.39999999999998</v>
      </c>
      <c r="F45" s="111">
        <v>0.75</v>
      </c>
      <c r="G45" s="39">
        <v>1</v>
      </c>
      <c r="H45" s="40">
        <f t="shared" si="0"/>
        <v>114.3</v>
      </c>
      <c r="I45" s="41">
        <v>0</v>
      </c>
      <c r="J45" s="41">
        <v>1</v>
      </c>
      <c r="K45" s="41">
        <f t="shared" si="1"/>
        <v>0</v>
      </c>
      <c r="L45" s="85">
        <f t="shared" si="2"/>
        <v>114.3</v>
      </c>
      <c r="N45" s="86">
        <f t="shared" si="3"/>
        <v>1.3740000000000001</v>
      </c>
      <c r="P45" s="84">
        <f t="shared" si="4"/>
        <v>389466.07796978176</v>
      </c>
      <c r="Q45" s="87">
        <f t="shared" si="5"/>
        <v>2555.5516927151039</v>
      </c>
      <c r="S45" s="84">
        <v>369793.71142228454</v>
      </c>
      <c r="T45" s="87">
        <v>2426.4679227184029</v>
      </c>
      <c r="V45" s="88">
        <f t="shared" si="6"/>
        <v>5.3198218195312785E-2</v>
      </c>
      <c r="X45" s="84">
        <v>31587.55</v>
      </c>
      <c r="Y45" s="87">
        <f t="shared" si="7"/>
        <v>357878.52796978178</v>
      </c>
      <c r="Z45" s="4"/>
    </row>
    <row r="46" spans="2:26" x14ac:dyDescent="0.25">
      <c r="B46" s="116" t="s">
        <v>75</v>
      </c>
      <c r="C46" s="117" t="s">
        <v>190</v>
      </c>
      <c r="D46" s="94"/>
      <c r="E46" s="115">
        <v>69.3</v>
      </c>
      <c r="F46" s="111">
        <v>0</v>
      </c>
      <c r="G46" s="39">
        <v>0</v>
      </c>
      <c r="H46" s="40">
        <f t="shared" si="0"/>
        <v>0</v>
      </c>
      <c r="I46" s="41">
        <v>0</v>
      </c>
      <c r="J46" s="41">
        <v>1</v>
      </c>
      <c r="K46" s="41">
        <f t="shared" si="1"/>
        <v>0</v>
      </c>
      <c r="L46" s="85">
        <f t="shared" si="2"/>
        <v>0</v>
      </c>
      <c r="N46" s="86">
        <f t="shared" si="3"/>
        <v>0</v>
      </c>
      <c r="P46" s="84">
        <f t="shared" si="4"/>
        <v>0</v>
      </c>
      <c r="Q46" s="87">
        <f t="shared" si="5"/>
        <v>0</v>
      </c>
      <c r="S46" s="84">
        <v>0</v>
      </c>
      <c r="T46" s="87">
        <v>0</v>
      </c>
      <c r="V46" s="88" t="e">
        <f t="shared" si="6"/>
        <v>#DIV/0!</v>
      </c>
      <c r="X46" s="84">
        <v>0</v>
      </c>
      <c r="Y46" s="87">
        <f t="shared" si="7"/>
        <v>0</v>
      </c>
      <c r="Z46" s="4"/>
    </row>
    <row r="47" spans="2:26" x14ac:dyDescent="0.25">
      <c r="B47" s="116" t="s">
        <v>77</v>
      </c>
      <c r="C47" s="117" t="s">
        <v>78</v>
      </c>
      <c r="D47" s="94"/>
      <c r="E47" s="115">
        <f>109.55-35.65</f>
        <v>73.900000000000006</v>
      </c>
      <c r="F47" s="111">
        <v>0.75</v>
      </c>
      <c r="G47" s="39">
        <v>1</v>
      </c>
      <c r="H47" s="40">
        <f t="shared" si="0"/>
        <v>55.43</v>
      </c>
      <c r="I47" s="41">
        <v>0</v>
      </c>
      <c r="J47" s="41">
        <v>1</v>
      </c>
      <c r="K47" s="41">
        <f t="shared" si="1"/>
        <v>0</v>
      </c>
      <c r="L47" s="85">
        <f t="shared" si="2"/>
        <v>55.43</v>
      </c>
      <c r="N47" s="86">
        <f t="shared" si="3"/>
        <v>0.6663</v>
      </c>
      <c r="P47" s="84">
        <f t="shared" si="4"/>
        <v>188865.5369368745</v>
      </c>
      <c r="Q47" s="87">
        <f t="shared" si="5"/>
        <v>2555.6906216085858</v>
      </c>
      <c r="S47" s="84">
        <v>179340.66793788091</v>
      </c>
      <c r="T47" s="87">
        <v>2426.8020018657767</v>
      </c>
      <c r="V47" s="88">
        <f t="shared" si="6"/>
        <v>5.3110480230244006E-2</v>
      </c>
      <c r="X47" s="84">
        <v>15607.53</v>
      </c>
      <c r="Y47" s="87">
        <f t="shared" si="7"/>
        <v>173258.0069368745</v>
      </c>
      <c r="Z47" s="4"/>
    </row>
    <row r="48" spans="2:26" x14ac:dyDescent="0.25">
      <c r="B48" s="78" t="s">
        <v>79</v>
      </c>
      <c r="C48" s="79" t="s">
        <v>209</v>
      </c>
      <c r="D48" s="80"/>
      <c r="E48" s="81">
        <f>219.1+35.65-106.95</f>
        <v>147.80000000000001</v>
      </c>
      <c r="F48" s="82">
        <v>0.75</v>
      </c>
      <c r="G48" s="166">
        <v>1</v>
      </c>
      <c r="H48" s="167">
        <f t="shared" si="0"/>
        <v>110.85</v>
      </c>
      <c r="I48" s="82">
        <v>0</v>
      </c>
      <c r="J48" s="82">
        <v>1</v>
      </c>
      <c r="K48" s="82">
        <f t="shared" si="1"/>
        <v>0</v>
      </c>
      <c r="L48" s="168">
        <f t="shared" si="2"/>
        <v>110.85</v>
      </c>
      <c r="M48" s="80"/>
      <c r="N48" s="86">
        <f t="shared" si="3"/>
        <v>1.3325</v>
      </c>
      <c r="O48" s="80"/>
      <c r="P48" s="169">
        <f t="shared" si="4"/>
        <v>377702.7284532272</v>
      </c>
      <c r="Q48" s="170">
        <f t="shared" si="5"/>
        <v>2555.498839331713</v>
      </c>
      <c r="R48" s="80"/>
      <c r="S48" s="169">
        <v>358629.04234377819</v>
      </c>
      <c r="T48" s="170">
        <v>2426.4481890648049</v>
      </c>
      <c r="U48" s="80"/>
      <c r="V48" s="171">
        <f t="shared" si="6"/>
        <v>5.318500137299309E-2</v>
      </c>
      <c r="W48" s="80"/>
      <c r="X48" s="169">
        <v>31217.54</v>
      </c>
      <c r="Y48" s="170">
        <f t="shared" si="7"/>
        <v>346485.18845322722</v>
      </c>
      <c r="Z48" s="4"/>
    </row>
    <row r="49" spans="2:26" x14ac:dyDescent="0.25">
      <c r="B49" s="78" t="s">
        <v>79</v>
      </c>
      <c r="C49" s="79" t="s">
        <v>209</v>
      </c>
      <c r="D49" s="80"/>
      <c r="E49" s="81">
        <v>106.95</v>
      </c>
      <c r="F49" s="82">
        <v>0</v>
      </c>
      <c r="G49" s="166">
        <v>1</v>
      </c>
      <c r="H49" s="167">
        <f t="shared" si="0"/>
        <v>0</v>
      </c>
      <c r="I49" s="82">
        <v>0</v>
      </c>
      <c r="J49" s="82">
        <v>1</v>
      </c>
      <c r="K49" s="82">
        <f t="shared" si="1"/>
        <v>0</v>
      </c>
      <c r="L49" s="168">
        <f t="shared" si="2"/>
        <v>0</v>
      </c>
      <c r="M49" s="80"/>
      <c r="N49" s="86">
        <f t="shared" si="3"/>
        <v>0</v>
      </c>
      <c r="O49" s="80"/>
      <c r="P49" s="169">
        <f t="shared" si="4"/>
        <v>0</v>
      </c>
      <c r="Q49" s="170">
        <f t="shared" si="5"/>
        <v>0</v>
      </c>
      <c r="R49" s="80"/>
      <c r="S49" s="169">
        <v>0</v>
      </c>
      <c r="T49" s="170">
        <v>0</v>
      </c>
      <c r="U49" s="80"/>
      <c r="V49" s="171" t="e">
        <f t="shared" si="6"/>
        <v>#DIV/0!</v>
      </c>
      <c r="W49" s="80"/>
      <c r="X49" s="169"/>
      <c r="Y49" s="170"/>
      <c r="Z49" s="4"/>
    </row>
    <row r="50" spans="2:26" x14ac:dyDescent="0.25">
      <c r="B50" s="116" t="s">
        <v>80</v>
      </c>
      <c r="C50" s="117" t="s">
        <v>210</v>
      </c>
      <c r="D50" s="94"/>
      <c r="E50" s="115">
        <f>219.1-71.3</f>
        <v>147.80000000000001</v>
      </c>
      <c r="F50" s="111">
        <v>0.75</v>
      </c>
      <c r="G50" s="39">
        <v>1</v>
      </c>
      <c r="H50" s="40">
        <f t="shared" si="0"/>
        <v>110.85</v>
      </c>
      <c r="I50" s="41">
        <v>0</v>
      </c>
      <c r="J50" s="41">
        <v>1</v>
      </c>
      <c r="K50" s="41">
        <f t="shared" si="1"/>
        <v>0</v>
      </c>
      <c r="L50" s="85">
        <f t="shared" si="2"/>
        <v>110.85</v>
      </c>
      <c r="N50" s="86">
        <f t="shared" si="3"/>
        <v>1.3325</v>
      </c>
      <c r="P50" s="84">
        <f t="shared" si="4"/>
        <v>377702.7284532272</v>
      </c>
      <c r="Q50" s="87">
        <f t="shared" si="5"/>
        <v>2555.498839331713</v>
      </c>
      <c r="S50" s="84">
        <v>358629.04234377819</v>
      </c>
      <c r="T50" s="87">
        <v>2426.4481890648049</v>
      </c>
      <c r="V50" s="88">
        <f t="shared" si="6"/>
        <v>5.318500137299309E-2</v>
      </c>
      <c r="X50" s="84">
        <v>31217.54</v>
      </c>
      <c r="Y50" s="87">
        <f t="shared" ref="Y50:Y89" si="8">+P50-X50</f>
        <v>346485.18845322722</v>
      </c>
      <c r="Z50" s="4"/>
    </row>
    <row r="51" spans="2:26" x14ac:dyDescent="0.25">
      <c r="B51" s="116" t="s">
        <v>80</v>
      </c>
      <c r="C51" s="117" t="s">
        <v>210</v>
      </c>
      <c r="D51" s="94"/>
      <c r="E51" s="115">
        <v>71.3</v>
      </c>
      <c r="F51" s="111">
        <v>0</v>
      </c>
      <c r="G51" s="39">
        <v>0</v>
      </c>
      <c r="H51" s="40">
        <f t="shared" si="0"/>
        <v>0</v>
      </c>
      <c r="I51" s="41">
        <v>0</v>
      </c>
      <c r="J51" s="41">
        <v>1</v>
      </c>
      <c r="K51" s="41">
        <f t="shared" si="1"/>
        <v>0</v>
      </c>
      <c r="L51" s="85">
        <f t="shared" si="2"/>
        <v>0</v>
      </c>
      <c r="N51" s="86">
        <f t="shared" si="3"/>
        <v>0</v>
      </c>
      <c r="P51" s="84">
        <f t="shared" si="4"/>
        <v>0</v>
      </c>
      <c r="Q51" s="87">
        <f t="shared" si="5"/>
        <v>0</v>
      </c>
      <c r="S51" s="84">
        <v>0</v>
      </c>
      <c r="T51" s="87">
        <v>0</v>
      </c>
      <c r="V51" s="88"/>
      <c r="X51" s="84"/>
      <c r="Y51" s="87"/>
      <c r="Z51" s="4"/>
    </row>
    <row r="52" spans="2:26" x14ac:dyDescent="0.25">
      <c r="B52" s="116" t="s">
        <v>81</v>
      </c>
      <c r="C52" s="117" t="s">
        <v>82</v>
      </c>
      <c r="D52" s="94"/>
      <c r="E52" s="115">
        <f>168.85-50.65</f>
        <v>118.19999999999999</v>
      </c>
      <c r="F52" s="111">
        <v>0.75</v>
      </c>
      <c r="G52" s="39">
        <v>1</v>
      </c>
      <c r="H52" s="40">
        <f t="shared" si="0"/>
        <v>88.65</v>
      </c>
      <c r="I52" s="41">
        <v>0</v>
      </c>
      <c r="J52" s="41">
        <v>1</v>
      </c>
      <c r="K52" s="41">
        <f t="shared" si="1"/>
        <v>0</v>
      </c>
      <c r="L52" s="85">
        <f t="shared" si="2"/>
        <v>88.65</v>
      </c>
      <c r="N52" s="86">
        <f t="shared" si="3"/>
        <v>1.0657000000000001</v>
      </c>
      <c r="P52" s="84">
        <f t="shared" si="4"/>
        <v>302077.14650101634</v>
      </c>
      <c r="Q52" s="87">
        <f t="shared" si="5"/>
        <v>2555.6442174366866</v>
      </c>
      <c r="S52" s="84">
        <v>286803.87616425363</v>
      </c>
      <c r="T52" s="87">
        <v>2426.4287323540916</v>
      </c>
      <c r="V52" s="88">
        <f t="shared" si="6"/>
        <v>5.3253360941382999E-2</v>
      </c>
      <c r="X52" s="84">
        <v>23972.51</v>
      </c>
      <c r="Y52" s="87">
        <f t="shared" si="8"/>
        <v>278104.63650101633</v>
      </c>
      <c r="Z52" s="4"/>
    </row>
    <row r="53" spans="2:26" x14ac:dyDescent="0.25">
      <c r="B53" s="116" t="s">
        <v>81</v>
      </c>
      <c r="C53" s="117" t="s">
        <v>192</v>
      </c>
      <c r="D53" s="94"/>
      <c r="E53" s="115">
        <v>50.65</v>
      </c>
      <c r="F53" s="111">
        <v>0</v>
      </c>
      <c r="G53" s="39">
        <v>0</v>
      </c>
      <c r="H53" s="40">
        <f t="shared" si="0"/>
        <v>0</v>
      </c>
      <c r="I53" s="41">
        <v>0</v>
      </c>
      <c r="J53" s="41">
        <v>1</v>
      </c>
      <c r="K53" s="41">
        <f t="shared" si="1"/>
        <v>0</v>
      </c>
      <c r="L53" s="85">
        <f t="shared" si="2"/>
        <v>0</v>
      </c>
      <c r="N53" s="86">
        <f t="shared" si="3"/>
        <v>0</v>
      </c>
      <c r="P53" s="84">
        <f t="shared" si="4"/>
        <v>0</v>
      </c>
      <c r="Q53" s="87">
        <f t="shared" si="5"/>
        <v>0</v>
      </c>
      <c r="S53" s="84">
        <v>0</v>
      </c>
      <c r="T53" s="87">
        <v>0</v>
      </c>
      <c r="V53" s="88"/>
      <c r="X53" s="84"/>
      <c r="Y53" s="87"/>
      <c r="Z53" s="4"/>
    </row>
    <row r="54" spans="2:26" x14ac:dyDescent="0.25">
      <c r="B54" s="116" t="s">
        <v>83</v>
      </c>
      <c r="C54" s="117" t="s">
        <v>171</v>
      </c>
      <c r="D54" s="94"/>
      <c r="E54" s="115">
        <f>149.55-11.9</f>
        <v>137.65</v>
      </c>
      <c r="F54" s="111">
        <v>0.75</v>
      </c>
      <c r="G54" s="39">
        <v>1</v>
      </c>
      <c r="H54" s="40">
        <f t="shared" si="0"/>
        <v>103.24</v>
      </c>
      <c r="I54" s="41">
        <v>0</v>
      </c>
      <c r="J54" s="41">
        <v>1</v>
      </c>
      <c r="K54" s="41">
        <f t="shared" si="1"/>
        <v>0</v>
      </c>
      <c r="L54" s="85">
        <f t="shared" si="2"/>
        <v>103.24</v>
      </c>
      <c r="N54" s="86">
        <f t="shared" si="3"/>
        <v>1.2411000000000001</v>
      </c>
      <c r="P54" s="84">
        <f t="shared" si="4"/>
        <v>351795.01409628539</v>
      </c>
      <c r="Q54" s="87">
        <f t="shared" si="5"/>
        <v>2555.7211340086114</v>
      </c>
      <c r="S54" s="84">
        <v>334024.93554547732</v>
      </c>
      <c r="T54" s="87">
        <v>2426.6250312057923</v>
      </c>
      <c r="V54" s="88">
        <f t="shared" si="6"/>
        <v>5.3199856237645227E-2</v>
      </c>
      <c r="X54" s="84">
        <v>21306.69</v>
      </c>
      <c r="Y54" s="87">
        <f t="shared" si="8"/>
        <v>330488.32409628539</v>
      </c>
      <c r="Z54" s="4"/>
    </row>
    <row r="55" spans="2:26" x14ac:dyDescent="0.25">
      <c r="B55" s="116" t="s">
        <v>83</v>
      </c>
      <c r="C55" s="117" t="s">
        <v>193</v>
      </c>
      <c r="D55" s="94"/>
      <c r="E55" s="115">
        <v>11.9</v>
      </c>
      <c r="F55" s="111">
        <v>0</v>
      </c>
      <c r="G55" s="39">
        <v>0</v>
      </c>
      <c r="H55" s="40">
        <f t="shared" si="0"/>
        <v>0</v>
      </c>
      <c r="I55" s="41">
        <v>0</v>
      </c>
      <c r="J55" s="41">
        <v>1</v>
      </c>
      <c r="K55" s="41">
        <f t="shared" si="1"/>
        <v>0</v>
      </c>
      <c r="L55" s="85">
        <f t="shared" si="2"/>
        <v>0</v>
      </c>
      <c r="N55" s="86">
        <f t="shared" si="3"/>
        <v>0</v>
      </c>
      <c r="P55" s="84">
        <f t="shared" si="4"/>
        <v>0</v>
      </c>
      <c r="Q55" s="87">
        <f t="shared" si="5"/>
        <v>0</v>
      </c>
      <c r="S55" s="84">
        <v>0</v>
      </c>
      <c r="T55" s="87">
        <v>0</v>
      </c>
      <c r="V55" s="88"/>
      <c r="X55" s="84"/>
      <c r="Y55" s="87"/>
      <c r="Z55" s="4"/>
    </row>
    <row r="56" spans="2:26" x14ac:dyDescent="0.25">
      <c r="B56" s="78" t="s">
        <v>218</v>
      </c>
      <c r="C56" s="79" t="s">
        <v>219</v>
      </c>
      <c r="D56" s="80"/>
      <c r="E56" s="81">
        <v>612.85</v>
      </c>
      <c r="F56" s="82">
        <v>0.3</v>
      </c>
      <c r="G56" s="166">
        <v>1</v>
      </c>
      <c r="H56" s="167">
        <f t="shared" si="0"/>
        <v>183.86</v>
      </c>
      <c r="I56" s="82">
        <v>0</v>
      </c>
      <c r="J56" s="82">
        <v>1</v>
      </c>
      <c r="K56" s="82">
        <f t="shared" si="1"/>
        <v>0</v>
      </c>
      <c r="L56" s="168">
        <f t="shared" si="2"/>
        <v>183.86</v>
      </c>
      <c r="N56" s="86">
        <f t="shared" si="3"/>
        <v>2.2101999999999999</v>
      </c>
      <c r="P56" s="169">
        <f t="shared" si="4"/>
        <v>626490.48437322525</v>
      </c>
      <c r="Q56" s="170">
        <f t="shared" si="5"/>
        <v>1022.2574600199481</v>
      </c>
      <c r="R56" s="80"/>
      <c r="S56" s="169">
        <v>594838.9263138636</v>
      </c>
      <c r="T56" s="170">
        <v>970.61095914801922</v>
      </c>
      <c r="U56" s="80"/>
      <c r="V56" s="171">
        <f t="shared" si="6"/>
        <v>5.3210300569100477E-2</v>
      </c>
      <c r="W56" s="80"/>
      <c r="X56" s="169"/>
      <c r="Y56" s="170">
        <f t="shared" si="8"/>
        <v>626490.48437322525</v>
      </c>
      <c r="Z56" s="4"/>
    </row>
    <row r="57" spans="2:26" x14ac:dyDescent="0.25">
      <c r="B57" s="101" t="s">
        <v>84</v>
      </c>
      <c r="C57" s="97" t="s">
        <v>222</v>
      </c>
      <c r="D57" s="98"/>
      <c r="E57" s="103">
        <v>30.05</v>
      </c>
      <c r="F57" s="100">
        <v>1</v>
      </c>
      <c r="G57" s="39">
        <v>1</v>
      </c>
      <c r="H57" s="40">
        <f t="shared" si="0"/>
        <v>30.05</v>
      </c>
      <c r="I57" s="41">
        <v>0</v>
      </c>
      <c r="J57" s="41">
        <v>1</v>
      </c>
      <c r="K57" s="41">
        <f>ROUND(I57*J57,2)</f>
        <v>0</v>
      </c>
      <c r="L57" s="85">
        <f>H57+K57</f>
        <v>30.05</v>
      </c>
      <c r="N57" s="86">
        <f t="shared" si="3"/>
        <v>0.36120000000000002</v>
      </c>
      <c r="P57" s="84">
        <f t="shared" si="4"/>
        <v>102383.65892480726</v>
      </c>
      <c r="Q57" s="87">
        <f t="shared" si="5"/>
        <v>3407.1101139702914</v>
      </c>
      <c r="S57" s="84">
        <v>97213.67595758001</v>
      </c>
      <c r="T57" s="87">
        <v>3235.0640917663895</v>
      </c>
      <c r="V57" s="88">
        <f t="shared" si="6"/>
        <v>5.3181642565221177E-2</v>
      </c>
      <c r="X57" s="84">
        <v>5709.1</v>
      </c>
      <c r="Y57" s="87">
        <f t="shared" si="8"/>
        <v>96674.55892480725</v>
      </c>
      <c r="Z57" s="4"/>
    </row>
    <row r="58" spans="2:26" x14ac:dyDescent="0.25">
      <c r="B58" s="116"/>
      <c r="C58" s="117" t="s">
        <v>85</v>
      </c>
      <c r="D58" s="94"/>
      <c r="E58" s="115">
        <v>1934.81</v>
      </c>
      <c r="F58" s="111">
        <v>0.08</v>
      </c>
      <c r="G58" s="39">
        <v>1</v>
      </c>
      <c r="H58" s="40">
        <f t="shared" si="0"/>
        <v>154.78</v>
      </c>
      <c r="I58" s="41">
        <v>0</v>
      </c>
      <c r="J58" s="41">
        <v>1</v>
      </c>
      <c r="K58" s="41">
        <f>ROUND(I58*J58,2)</f>
        <v>0</v>
      </c>
      <c r="L58" s="85">
        <f>H58+K58</f>
        <v>154.78</v>
      </c>
      <c r="N58" s="86">
        <f t="shared" si="3"/>
        <v>1.8606</v>
      </c>
      <c r="P58" s="84">
        <f t="shared" si="4"/>
        <v>527394.89422894898</v>
      </c>
      <c r="Q58" s="87">
        <f t="shared" si="5"/>
        <v>272.58226607726289</v>
      </c>
      <c r="S58" s="84">
        <v>500762.86227530183</v>
      </c>
      <c r="T58" s="87">
        <v>258.81759049999835</v>
      </c>
      <c r="V58" s="88">
        <f t="shared" si="6"/>
        <v>5.3182921418413409E-2</v>
      </c>
      <c r="X58" s="84">
        <v>24417.02</v>
      </c>
      <c r="Y58" s="87">
        <f t="shared" si="8"/>
        <v>502977.87422894896</v>
      </c>
      <c r="Z58" s="4"/>
    </row>
    <row r="59" spans="2:26" x14ac:dyDescent="0.25">
      <c r="B59" s="78" t="s">
        <v>86</v>
      </c>
      <c r="C59" s="79" t="s">
        <v>87</v>
      </c>
      <c r="D59" s="80"/>
      <c r="E59" s="81">
        <v>565</v>
      </c>
      <c r="F59" s="83">
        <v>0.5</v>
      </c>
      <c r="G59" s="166">
        <v>1</v>
      </c>
      <c r="H59" s="167">
        <f t="shared" si="0"/>
        <v>282.5</v>
      </c>
      <c r="I59" s="82">
        <v>0</v>
      </c>
      <c r="J59" s="82">
        <v>1</v>
      </c>
      <c r="K59" s="82">
        <f t="shared" si="1"/>
        <v>0</v>
      </c>
      <c r="L59" s="168">
        <f t="shared" si="2"/>
        <v>282.5</v>
      </c>
      <c r="N59" s="86">
        <f t="shared" si="3"/>
        <v>3.3959999999999999</v>
      </c>
      <c r="P59" s="169">
        <f t="shared" si="4"/>
        <v>962610.48092094529</v>
      </c>
      <c r="Q59" s="170">
        <f t="shared" si="5"/>
        <v>1703.7353644618502</v>
      </c>
      <c r="R59" s="80"/>
      <c r="S59" s="169">
        <v>913986.35200999631</v>
      </c>
      <c r="T59" s="170">
        <v>1617.6749593097279</v>
      </c>
      <c r="U59" s="80"/>
      <c r="V59" s="171">
        <f t="shared" si="6"/>
        <v>5.3200060158466345E-2</v>
      </c>
      <c r="W59" s="80"/>
      <c r="X59" s="169"/>
      <c r="Y59" s="170">
        <f t="shared" si="8"/>
        <v>962610.48092094529</v>
      </c>
      <c r="Z59" s="4"/>
    </row>
    <row r="60" spans="2:26" x14ac:dyDescent="0.25">
      <c r="B60" s="101" t="s">
        <v>186</v>
      </c>
      <c r="C60" s="97" t="s">
        <v>199</v>
      </c>
      <c r="D60" s="98"/>
      <c r="E60" s="103">
        <v>31</v>
      </c>
      <c r="F60" s="100">
        <v>1</v>
      </c>
      <c r="G60" s="39">
        <v>1</v>
      </c>
      <c r="H60" s="40">
        <f t="shared" si="0"/>
        <v>31</v>
      </c>
      <c r="I60" s="41">
        <v>0</v>
      </c>
      <c r="J60" s="41">
        <v>1</v>
      </c>
      <c r="K60" s="41">
        <f t="shared" si="1"/>
        <v>0</v>
      </c>
      <c r="L60" s="85">
        <f t="shared" si="2"/>
        <v>31</v>
      </c>
      <c r="N60" s="86">
        <f t="shared" si="3"/>
        <v>0.37269999999999998</v>
      </c>
      <c r="P60" s="84">
        <f t="shared" si="4"/>
        <v>105643.38228481634</v>
      </c>
      <c r="Q60" s="87">
        <f t="shared" si="5"/>
        <v>3407.8510414456882</v>
      </c>
      <c r="S60" s="84">
        <v>100298.99434461453</v>
      </c>
      <c r="T60" s="87">
        <v>3235.4514304714367</v>
      </c>
      <c r="V60" s="88">
        <f t="shared" si="6"/>
        <v>5.3284561576352196E-2</v>
      </c>
      <c r="X60" s="84"/>
      <c r="Y60" s="87">
        <f t="shared" si="8"/>
        <v>105643.38228481634</v>
      </c>
      <c r="Z60" s="4"/>
    </row>
    <row r="61" spans="2:26" x14ac:dyDescent="0.25">
      <c r="B61" s="101" t="s">
        <v>187</v>
      </c>
      <c r="C61" s="97" t="s">
        <v>188</v>
      </c>
      <c r="D61" s="98"/>
      <c r="E61" s="103">
        <v>45.3</v>
      </c>
      <c r="F61" s="100">
        <v>1</v>
      </c>
      <c r="G61" s="39">
        <v>1</v>
      </c>
      <c r="H61" s="40">
        <f>ROUND(E61*G61*F61,2)</f>
        <v>45.3</v>
      </c>
      <c r="I61" s="41">
        <v>0</v>
      </c>
      <c r="J61" s="41">
        <v>1</v>
      </c>
      <c r="K61" s="41">
        <f>ROUND(I61*J61,2)</f>
        <v>0</v>
      </c>
      <c r="L61" s="85">
        <f>H61+K61</f>
        <v>45.3</v>
      </c>
      <c r="N61" s="86">
        <f t="shared" si="3"/>
        <v>0.54459999999999997</v>
      </c>
      <c r="P61" s="84">
        <f>($P$12*N61)/100</f>
        <v>154369.16016182178</v>
      </c>
      <c r="Q61" s="87">
        <f>P61/E61</f>
        <v>3407.7077298415406</v>
      </c>
      <c r="S61" s="84">
        <v>146552.62338414093</v>
      </c>
      <c r="T61" s="87">
        <v>3235.1572490980338</v>
      </c>
      <c r="V61" s="88">
        <f t="shared" si="6"/>
        <v>5.33360413289381E-2</v>
      </c>
      <c r="X61" s="84"/>
      <c r="Y61" s="87">
        <f t="shared" si="8"/>
        <v>154369.16016182178</v>
      </c>
      <c r="Z61" s="4"/>
    </row>
    <row r="62" spans="2:26" x14ac:dyDescent="0.25">
      <c r="B62" s="101" t="s">
        <v>88</v>
      </c>
      <c r="C62" s="97" t="s">
        <v>89</v>
      </c>
      <c r="D62" s="98"/>
      <c r="E62" s="103">
        <v>39.799999999999997</v>
      </c>
      <c r="F62" s="100">
        <v>1</v>
      </c>
      <c r="G62" s="39">
        <v>1</v>
      </c>
      <c r="H62" s="40">
        <f t="shared" si="0"/>
        <v>39.799999999999997</v>
      </c>
      <c r="I62" s="41">
        <v>0</v>
      </c>
      <c r="J62" s="41">
        <v>1</v>
      </c>
      <c r="K62" s="41">
        <f t="shared" si="1"/>
        <v>0</v>
      </c>
      <c r="L62" s="85">
        <f t="shared" si="2"/>
        <v>39.799999999999997</v>
      </c>
      <c r="N62" s="86">
        <f t="shared" si="3"/>
        <v>0.47839999999999999</v>
      </c>
      <c r="P62" s="84">
        <f t="shared" si="4"/>
        <v>135604.49177637816</v>
      </c>
      <c r="Q62" s="87">
        <f t="shared" si="5"/>
        <v>3407.1480345823661</v>
      </c>
      <c r="S62" s="84">
        <v>128772.82250970455</v>
      </c>
      <c r="T62" s="87">
        <v>3235.4980530076523</v>
      </c>
      <c r="V62" s="88">
        <f t="shared" si="6"/>
        <v>5.3052104733968708E-2</v>
      </c>
      <c r="X62" s="84">
        <v>7560.4</v>
      </c>
      <c r="Y62" s="87">
        <f t="shared" si="8"/>
        <v>128044.09177637816</v>
      </c>
      <c r="Z62" s="4"/>
    </row>
    <row r="63" spans="2:26" x14ac:dyDescent="0.25">
      <c r="B63" s="101" t="s">
        <v>161</v>
      </c>
      <c r="C63" s="97" t="s">
        <v>194</v>
      </c>
      <c r="D63" s="98"/>
      <c r="E63" s="103">
        <v>43.5</v>
      </c>
      <c r="F63" s="100">
        <v>1</v>
      </c>
      <c r="G63" s="39">
        <v>1</v>
      </c>
      <c r="H63" s="40">
        <f t="shared" si="0"/>
        <v>43.5</v>
      </c>
      <c r="I63" s="41">
        <v>0</v>
      </c>
      <c r="J63" s="41">
        <v>1</v>
      </c>
      <c r="K63" s="41">
        <f t="shared" si="1"/>
        <v>0</v>
      </c>
      <c r="L63" s="85">
        <f t="shared" si="2"/>
        <v>43.5</v>
      </c>
      <c r="N63" s="86">
        <f t="shared" si="3"/>
        <v>0.52290000000000003</v>
      </c>
      <c r="P63" s="84">
        <f t="shared" si="4"/>
        <v>148218.20390858725</v>
      </c>
      <c r="Q63" s="87">
        <f t="shared" si="5"/>
        <v>3407.3150323813161</v>
      </c>
      <c r="R63" s="2"/>
      <c r="S63" s="84">
        <v>140748.04133395728</v>
      </c>
      <c r="T63" s="87">
        <v>3235.5871571024663</v>
      </c>
      <c r="U63" s="2"/>
      <c r="V63" s="88">
        <f t="shared" si="6"/>
        <v>5.3074717799484583E-2</v>
      </c>
      <c r="W63" s="2"/>
      <c r="X63" s="84">
        <v>7551.71</v>
      </c>
      <c r="Y63" s="87">
        <f t="shared" si="8"/>
        <v>140666.49390858726</v>
      </c>
      <c r="Z63" s="4"/>
    </row>
    <row r="64" spans="2:26" x14ac:dyDescent="0.25">
      <c r="B64" s="101" t="s">
        <v>162</v>
      </c>
      <c r="C64" s="97" t="s">
        <v>216</v>
      </c>
      <c r="D64" s="98"/>
      <c r="E64" s="100">
        <f>(39.75+33.85+33.8+43.4)*0.85+(23.65/2)</f>
        <v>140.00499999999997</v>
      </c>
      <c r="F64" s="100">
        <v>1</v>
      </c>
      <c r="G64" s="39">
        <v>1</v>
      </c>
      <c r="H64" s="40">
        <f t="shared" si="0"/>
        <v>140.01</v>
      </c>
      <c r="I64" s="41">
        <v>0</v>
      </c>
      <c r="J64" s="41">
        <v>1</v>
      </c>
      <c r="K64" s="41">
        <f t="shared" si="1"/>
        <v>0</v>
      </c>
      <c r="L64" s="85">
        <f t="shared" si="2"/>
        <v>140.01</v>
      </c>
      <c r="N64" s="86">
        <f t="shared" si="3"/>
        <v>1.6831</v>
      </c>
      <c r="P64" s="84">
        <f t="shared" si="4"/>
        <v>477081.77280272171</v>
      </c>
      <c r="Q64" s="87">
        <f t="shared" si="5"/>
        <v>3407.6052484034271</v>
      </c>
      <c r="R64" s="93"/>
      <c r="S64" s="84">
        <v>452966.5740422582</v>
      </c>
      <c r="T64" s="87">
        <v>3235.3599803025486</v>
      </c>
      <c r="U64" s="93"/>
      <c r="V64" s="88">
        <f t="shared" si="6"/>
        <v>5.3238362701380604E-2</v>
      </c>
      <c r="W64" s="93"/>
      <c r="X64" s="84">
        <v>27406.92</v>
      </c>
      <c r="Y64" s="87">
        <f t="shared" si="8"/>
        <v>449674.85280272173</v>
      </c>
      <c r="Z64" s="4"/>
    </row>
    <row r="65" spans="2:26" x14ac:dyDescent="0.25">
      <c r="B65" s="116" t="s">
        <v>90</v>
      </c>
      <c r="C65" s="117" t="s">
        <v>127</v>
      </c>
      <c r="D65" s="94"/>
      <c r="E65" s="115">
        <f>150.45+23.65-23.65</f>
        <v>150.44999999999999</v>
      </c>
      <c r="F65" s="111">
        <v>0.8</v>
      </c>
      <c r="G65" s="39">
        <v>1</v>
      </c>
      <c r="H65" s="40">
        <f t="shared" si="0"/>
        <v>120.36</v>
      </c>
      <c r="I65" s="41">
        <v>0</v>
      </c>
      <c r="J65" s="41">
        <v>1</v>
      </c>
      <c r="K65" s="41">
        <f t="shared" si="1"/>
        <v>0</v>
      </c>
      <c r="L65" s="85">
        <f t="shared" si="2"/>
        <v>120.36</v>
      </c>
      <c r="N65" s="86">
        <f t="shared" si="3"/>
        <v>1.4469000000000001</v>
      </c>
      <c r="P65" s="84">
        <f t="shared" si="4"/>
        <v>410129.88953018718</v>
      </c>
      <c r="Q65" s="87">
        <f t="shared" si="5"/>
        <v>2726.0211999347771</v>
      </c>
      <c r="S65" s="84">
        <v>389403.78591614822</v>
      </c>
      <c r="T65" s="87">
        <v>2588.260458066788</v>
      </c>
      <c r="V65" s="88">
        <f t="shared" si="6"/>
        <v>5.3225223697496382E-2</v>
      </c>
      <c r="X65" s="84">
        <v>29766.05</v>
      </c>
      <c r="Y65" s="87">
        <f t="shared" si="8"/>
        <v>380363.83953018719</v>
      </c>
      <c r="Z65" s="4"/>
    </row>
    <row r="66" spans="2:26" x14ac:dyDescent="0.25">
      <c r="B66" s="101" t="s">
        <v>91</v>
      </c>
      <c r="C66" s="97" t="s">
        <v>181</v>
      </c>
      <c r="D66" s="98"/>
      <c r="E66" s="103">
        <v>0</v>
      </c>
      <c r="F66" s="100">
        <v>1</v>
      </c>
      <c r="G66" s="39">
        <v>1</v>
      </c>
      <c r="H66" s="40">
        <f t="shared" si="0"/>
        <v>0</v>
      </c>
      <c r="I66" s="41">
        <v>0</v>
      </c>
      <c r="J66" s="41">
        <v>1</v>
      </c>
      <c r="K66" s="41">
        <f t="shared" si="1"/>
        <v>0</v>
      </c>
      <c r="L66" s="85">
        <f t="shared" si="2"/>
        <v>0</v>
      </c>
      <c r="N66" s="86">
        <f t="shared" si="3"/>
        <v>0</v>
      </c>
      <c r="P66" s="84">
        <f t="shared" si="4"/>
        <v>0</v>
      </c>
      <c r="Q66" s="87" t="e">
        <f t="shared" si="5"/>
        <v>#DIV/0!</v>
      </c>
      <c r="S66" s="84">
        <v>0</v>
      </c>
      <c r="T66" s="87" t="e">
        <v>#DIV/0!</v>
      </c>
      <c r="V66" s="88" t="e">
        <f t="shared" si="6"/>
        <v>#DIV/0!</v>
      </c>
      <c r="X66" s="84">
        <v>26253.42</v>
      </c>
      <c r="Y66" s="87">
        <f t="shared" si="8"/>
        <v>-26253.42</v>
      </c>
      <c r="Z66" s="4"/>
    </row>
    <row r="67" spans="2:26" x14ac:dyDescent="0.25">
      <c r="B67" s="101" t="s">
        <v>92</v>
      </c>
      <c r="C67" s="97" t="s">
        <v>181</v>
      </c>
      <c r="D67" s="98"/>
      <c r="E67" s="103">
        <v>0</v>
      </c>
      <c r="F67" s="100">
        <v>1</v>
      </c>
      <c r="G67" s="39">
        <v>1</v>
      </c>
      <c r="H67" s="40">
        <f t="shared" si="0"/>
        <v>0</v>
      </c>
      <c r="I67" s="41">
        <v>0</v>
      </c>
      <c r="J67" s="41">
        <v>1</v>
      </c>
      <c r="K67" s="41">
        <f t="shared" si="1"/>
        <v>0</v>
      </c>
      <c r="L67" s="85">
        <f t="shared" si="2"/>
        <v>0</v>
      </c>
      <c r="N67" s="86">
        <f t="shared" si="3"/>
        <v>0</v>
      </c>
      <c r="P67" s="84">
        <f t="shared" si="4"/>
        <v>0</v>
      </c>
      <c r="Q67" s="87" t="e">
        <f t="shared" si="5"/>
        <v>#DIV/0!</v>
      </c>
      <c r="S67" s="84">
        <v>0</v>
      </c>
      <c r="T67" s="87" t="e">
        <v>#DIV/0!</v>
      </c>
      <c r="V67" s="88" t="e">
        <f t="shared" si="6"/>
        <v>#DIV/0!</v>
      </c>
      <c r="X67" s="84">
        <v>7750.37</v>
      </c>
      <c r="Y67" s="87">
        <f t="shared" si="8"/>
        <v>-7750.37</v>
      </c>
      <c r="Z67" s="4"/>
    </row>
    <row r="68" spans="2:26" x14ac:dyDescent="0.25">
      <c r="B68" s="116" t="s">
        <v>93</v>
      </c>
      <c r="C68" s="109" t="s">
        <v>95</v>
      </c>
      <c r="D68" s="94"/>
      <c r="E68" s="115">
        <v>39.200000000000003</v>
      </c>
      <c r="F68" s="111">
        <v>0.8</v>
      </c>
      <c r="G68" s="39">
        <v>1</v>
      </c>
      <c r="H68" s="40">
        <f t="shared" si="0"/>
        <v>31.36</v>
      </c>
      <c r="I68" s="41">
        <v>0</v>
      </c>
      <c r="J68" s="41">
        <v>1</v>
      </c>
      <c r="K68" s="41">
        <f t="shared" si="1"/>
        <v>0</v>
      </c>
      <c r="L68" s="85">
        <f t="shared" si="2"/>
        <v>31.36</v>
      </c>
      <c r="N68" s="86">
        <f t="shared" si="3"/>
        <v>0.377</v>
      </c>
      <c r="P68" s="84">
        <f t="shared" si="4"/>
        <v>106862.23536725453</v>
      </c>
      <c r="Q68" s="87">
        <f t="shared" si="5"/>
        <v>2726.0774328381253</v>
      </c>
      <c r="S68" s="84">
        <v>101449.45204825455</v>
      </c>
      <c r="T68" s="87">
        <v>2587.996225720779</v>
      </c>
      <c r="V68" s="88">
        <f t="shared" si="6"/>
        <v>5.3354485506983185E-2</v>
      </c>
      <c r="X68" s="84">
        <v>7447.41</v>
      </c>
      <c r="Y68" s="87">
        <f t="shared" si="8"/>
        <v>99414.825367254525</v>
      </c>
      <c r="Z68" s="4"/>
    </row>
    <row r="69" spans="2:26" x14ac:dyDescent="0.25">
      <c r="B69" s="108" t="s">
        <v>94</v>
      </c>
      <c r="C69" s="109" t="s">
        <v>95</v>
      </c>
      <c r="D69" s="94"/>
      <c r="E69" s="115">
        <v>179.3</v>
      </c>
      <c r="F69" s="111">
        <v>0.8</v>
      </c>
      <c r="G69" s="39">
        <v>1</v>
      </c>
      <c r="H69" s="40">
        <f t="shared" si="0"/>
        <v>143.44</v>
      </c>
      <c r="I69" s="41">
        <v>0</v>
      </c>
      <c r="J69" s="41">
        <v>1</v>
      </c>
      <c r="K69" s="41">
        <f t="shared" si="1"/>
        <v>0</v>
      </c>
      <c r="L69" s="85">
        <f t="shared" si="2"/>
        <v>143.44</v>
      </c>
      <c r="N69" s="86">
        <f t="shared" si="3"/>
        <v>1.7242999999999999</v>
      </c>
      <c r="P69" s="84">
        <f t="shared" si="4"/>
        <v>488760.08605771081</v>
      </c>
      <c r="Q69" s="87">
        <f t="shared" si="5"/>
        <v>2725.9346684757993</v>
      </c>
      <c r="S69" s="84">
        <v>464078.94958878093</v>
      </c>
      <c r="T69" s="87">
        <v>2588.2819274332455</v>
      </c>
      <c r="V69" s="88">
        <f t="shared" si="6"/>
        <v>5.3183055363316356E-2</v>
      </c>
      <c r="X69" s="84">
        <v>26481.89</v>
      </c>
      <c r="Y69" s="87">
        <f t="shared" si="8"/>
        <v>462278.1960577108</v>
      </c>
      <c r="Z69" s="4"/>
    </row>
    <row r="70" spans="2:26" x14ac:dyDescent="0.25">
      <c r="B70" s="105" t="s">
        <v>96</v>
      </c>
      <c r="C70" s="106" t="s">
        <v>97</v>
      </c>
      <c r="D70" s="98"/>
      <c r="E70" s="103">
        <v>58</v>
      </c>
      <c r="F70" s="100">
        <v>1</v>
      </c>
      <c r="G70" s="39">
        <v>1</v>
      </c>
      <c r="H70" s="40">
        <f t="shared" si="0"/>
        <v>58</v>
      </c>
      <c r="I70" s="41">
        <v>0</v>
      </c>
      <c r="J70" s="41">
        <v>1</v>
      </c>
      <c r="K70" s="41">
        <f>ROUND(I70*J70,2)</f>
        <v>0</v>
      </c>
      <c r="L70" s="85">
        <f>H70+K70</f>
        <v>58</v>
      </c>
      <c r="N70" s="86">
        <f t="shared" si="3"/>
        <v>0.69720000000000004</v>
      </c>
      <c r="P70" s="84">
        <f t="shared" si="4"/>
        <v>197624.27187811633</v>
      </c>
      <c r="Q70" s="87">
        <f t="shared" si="5"/>
        <v>3407.3150323813161</v>
      </c>
      <c r="S70" s="84">
        <v>187655.33952327911</v>
      </c>
      <c r="T70" s="87">
        <v>3235.4368883323982</v>
      </c>
      <c r="V70" s="88">
        <f t="shared" si="6"/>
        <v>5.3123627497956516E-2</v>
      </c>
      <c r="X70" s="84">
        <v>11018.39</v>
      </c>
      <c r="Y70" s="87">
        <f t="shared" si="8"/>
        <v>186605.88187811634</v>
      </c>
      <c r="Z70" s="4"/>
    </row>
    <row r="71" spans="2:26" x14ac:dyDescent="0.25">
      <c r="B71" s="105" t="s">
        <v>100</v>
      </c>
      <c r="C71" s="106" t="s">
        <v>128</v>
      </c>
      <c r="D71" s="98"/>
      <c r="E71" s="103">
        <v>33.200000000000003</v>
      </c>
      <c r="F71" s="100">
        <v>1</v>
      </c>
      <c r="G71" s="39">
        <v>1</v>
      </c>
      <c r="H71" s="40">
        <f t="shared" si="0"/>
        <v>33.200000000000003</v>
      </c>
      <c r="I71" s="41">
        <v>0</v>
      </c>
      <c r="J71" s="41">
        <v>1</v>
      </c>
      <c r="K71" s="41">
        <f t="shared" si="1"/>
        <v>0</v>
      </c>
      <c r="L71" s="85">
        <f t="shared" si="2"/>
        <v>33.200000000000003</v>
      </c>
      <c r="N71" s="86">
        <f t="shared" si="3"/>
        <v>0.39910000000000001</v>
      </c>
      <c r="P71" s="84">
        <f t="shared" si="4"/>
        <v>113126.57330257633</v>
      </c>
      <c r="Q71" s="87">
        <f t="shared" si="5"/>
        <v>3407.4269067041059</v>
      </c>
      <c r="S71" s="84">
        <v>107410.91469438908</v>
      </c>
      <c r="T71" s="87">
        <v>3235.2685148912369</v>
      </c>
      <c r="V71" s="88">
        <f t="shared" si="6"/>
        <v>5.3213014938469971E-2</v>
      </c>
      <c r="X71" s="84">
        <v>8513.99</v>
      </c>
      <c r="Y71" s="87">
        <f t="shared" si="8"/>
        <v>104612.58330257633</v>
      </c>
      <c r="Z71" s="4"/>
    </row>
    <row r="72" spans="2:26" x14ac:dyDescent="0.25">
      <c r="B72" s="105" t="s">
        <v>99</v>
      </c>
      <c r="C72" s="106" t="s">
        <v>164</v>
      </c>
      <c r="D72" s="98"/>
      <c r="E72" s="103">
        <v>43</v>
      </c>
      <c r="F72" s="100">
        <v>1</v>
      </c>
      <c r="G72" s="39">
        <v>1</v>
      </c>
      <c r="H72" s="40">
        <f t="shared" si="0"/>
        <v>43</v>
      </c>
      <c r="I72" s="41">
        <v>0</v>
      </c>
      <c r="J72" s="41">
        <v>1</v>
      </c>
      <c r="K72" s="41">
        <f>ROUND(I72*J72,2)</f>
        <v>0</v>
      </c>
      <c r="L72" s="85">
        <f>H72+K72</f>
        <v>43</v>
      </c>
      <c r="N72" s="86">
        <f t="shared" si="3"/>
        <v>0.51690000000000003</v>
      </c>
      <c r="P72" s="84">
        <f t="shared" si="4"/>
        <v>146517.47867727815</v>
      </c>
      <c r="Q72" s="87">
        <f t="shared" si="5"/>
        <v>3407.3832250529804</v>
      </c>
      <c r="S72" s="84">
        <v>139126.94184246456</v>
      </c>
      <c r="T72" s="87">
        <v>3235.5102754061522</v>
      </c>
      <c r="V72" s="88">
        <f t="shared" si="6"/>
        <v>5.3120817125284159E-2</v>
      </c>
      <c r="X72" s="84">
        <v>8168.81</v>
      </c>
      <c r="Y72" s="87">
        <f t="shared" si="8"/>
        <v>138348.66867727815</v>
      </c>
      <c r="Z72" s="4"/>
    </row>
    <row r="73" spans="2:26" x14ac:dyDescent="0.25">
      <c r="B73" s="105" t="s">
        <v>98</v>
      </c>
      <c r="C73" s="106" t="s">
        <v>165</v>
      </c>
      <c r="D73" s="98"/>
      <c r="E73" s="103">
        <v>43</v>
      </c>
      <c r="F73" s="100">
        <v>1</v>
      </c>
      <c r="G73" s="39">
        <v>1</v>
      </c>
      <c r="H73" s="40">
        <f t="shared" si="0"/>
        <v>43</v>
      </c>
      <c r="I73" s="41">
        <v>0</v>
      </c>
      <c r="J73" s="41">
        <v>1</v>
      </c>
      <c r="K73" s="41">
        <f>ROUND(I73*J73,2)</f>
        <v>0</v>
      </c>
      <c r="L73" s="85">
        <f>H73+K73</f>
        <v>43</v>
      </c>
      <c r="N73" s="86">
        <f t="shared" si="3"/>
        <v>0.51690000000000003</v>
      </c>
      <c r="P73" s="84">
        <f t="shared" si="4"/>
        <v>146517.47867727815</v>
      </c>
      <c r="Q73" s="87">
        <f t="shared" si="5"/>
        <v>3407.3832250529804</v>
      </c>
      <c r="S73" s="84">
        <v>139126.94184246456</v>
      </c>
      <c r="T73" s="87">
        <v>3235.5102754061522</v>
      </c>
      <c r="V73" s="88">
        <f t="shared" si="6"/>
        <v>5.3120817125284159E-2</v>
      </c>
      <c r="X73" s="84">
        <v>8168.81</v>
      </c>
      <c r="Y73" s="87">
        <f t="shared" si="8"/>
        <v>138348.66867727815</v>
      </c>
      <c r="Z73" s="4"/>
    </row>
    <row r="74" spans="2:26" x14ac:dyDescent="0.25">
      <c r="B74" s="108" t="s">
        <v>170</v>
      </c>
      <c r="C74" s="109" t="s">
        <v>180</v>
      </c>
      <c r="D74" s="94"/>
      <c r="E74" s="115">
        <v>101.8</v>
      </c>
      <c r="F74" s="111">
        <v>0.7</v>
      </c>
      <c r="G74" s="39">
        <v>1</v>
      </c>
      <c r="H74" s="40">
        <f t="shared" si="0"/>
        <v>71.260000000000005</v>
      </c>
      <c r="I74" s="41">
        <v>0</v>
      </c>
      <c r="J74" s="41">
        <v>1</v>
      </c>
      <c r="K74" s="41">
        <f t="shared" si="1"/>
        <v>0</v>
      </c>
      <c r="L74" s="85">
        <f t="shared" si="2"/>
        <v>71.260000000000005</v>
      </c>
      <c r="N74" s="86">
        <f t="shared" si="3"/>
        <v>0.85660000000000003</v>
      </c>
      <c r="P74" s="84">
        <f t="shared" si="4"/>
        <v>242806.87218989449</v>
      </c>
      <c r="Q74" s="87">
        <f t="shared" si="5"/>
        <v>2385.1362690559381</v>
      </c>
      <c r="S74" s="84">
        <v>230536.03574986092</v>
      </c>
      <c r="T74" s="87">
        <v>2264.5976006862566</v>
      </c>
      <c r="V74" s="88">
        <f t="shared" si="6"/>
        <v>5.3227411498252053E-2</v>
      </c>
      <c r="X74" s="84">
        <v>32553.55</v>
      </c>
      <c r="Y74" s="87">
        <f t="shared" si="8"/>
        <v>210253.3221898945</v>
      </c>
      <c r="Z74" s="4"/>
    </row>
    <row r="75" spans="2:26" x14ac:dyDescent="0.25">
      <c r="B75" s="108" t="s">
        <v>169</v>
      </c>
      <c r="C75" s="109" t="s">
        <v>108</v>
      </c>
      <c r="D75" s="94"/>
      <c r="E75" s="115">
        <v>88.6</v>
      </c>
      <c r="F75" s="111">
        <v>0.7</v>
      </c>
      <c r="G75" s="39">
        <v>1</v>
      </c>
      <c r="H75" s="40">
        <f t="shared" si="0"/>
        <v>62.02</v>
      </c>
      <c r="I75" s="41">
        <v>0</v>
      </c>
      <c r="J75" s="41">
        <v>1</v>
      </c>
      <c r="K75" s="41">
        <f t="shared" si="1"/>
        <v>0</v>
      </c>
      <c r="L75" s="85">
        <f t="shared" si="2"/>
        <v>62.02</v>
      </c>
      <c r="N75" s="86">
        <f t="shared" si="3"/>
        <v>0.74550000000000005</v>
      </c>
      <c r="P75" s="84">
        <f t="shared" si="4"/>
        <v>211315.10999015451</v>
      </c>
      <c r="Q75" s="87">
        <f t="shared" si="5"/>
        <v>2385.046388150728</v>
      </c>
      <c r="S75" s="84">
        <v>200650.28222121272</v>
      </c>
      <c r="T75" s="87">
        <v>2264.6758715712499</v>
      </c>
      <c r="V75" s="88">
        <f t="shared" si="6"/>
        <v>5.3151322045907001E-2</v>
      </c>
      <c r="X75" s="84">
        <v>32553.55</v>
      </c>
      <c r="Y75" s="87">
        <f t="shared" si="8"/>
        <v>178761.55999015452</v>
      </c>
      <c r="Z75" s="4"/>
    </row>
    <row r="76" spans="2:26" x14ac:dyDescent="0.25">
      <c r="B76" s="105" t="s">
        <v>101</v>
      </c>
      <c r="C76" s="106" t="s">
        <v>223</v>
      </c>
      <c r="D76" s="98"/>
      <c r="E76" s="103">
        <f>93.1+30.25</f>
        <v>123.35</v>
      </c>
      <c r="F76" s="100">
        <v>1</v>
      </c>
      <c r="G76" s="39">
        <v>1</v>
      </c>
      <c r="H76" s="40">
        <f t="shared" si="0"/>
        <v>123.35</v>
      </c>
      <c r="I76" s="41">
        <v>0</v>
      </c>
      <c r="J76" s="41">
        <v>1</v>
      </c>
      <c r="K76" s="41">
        <f t="shared" si="1"/>
        <v>0</v>
      </c>
      <c r="L76" s="85">
        <f t="shared" si="2"/>
        <v>123.35</v>
      </c>
      <c r="N76" s="86">
        <f t="shared" si="3"/>
        <v>1.4827999999999999</v>
      </c>
      <c r="P76" s="84">
        <f t="shared" si="4"/>
        <v>420305.89549751987</v>
      </c>
      <c r="Q76" s="87">
        <f t="shared" si="5"/>
        <v>3407.4251763074171</v>
      </c>
      <c r="S76" s="84">
        <v>399078.08933312091</v>
      </c>
      <c r="T76" s="87">
        <v>3235.331084986793</v>
      </c>
      <c r="V76" s="88">
        <f t="shared" si="6"/>
        <v>5.3192111348111526E-2</v>
      </c>
      <c r="X76" s="84">
        <v>0</v>
      </c>
      <c r="Y76" s="87">
        <f t="shared" si="8"/>
        <v>420305.89549751987</v>
      </c>
      <c r="Z76" s="4"/>
    </row>
    <row r="77" spans="2:26" x14ac:dyDescent="0.25">
      <c r="B77" s="105" t="s">
        <v>102</v>
      </c>
      <c r="C77" s="106" t="s">
        <v>223</v>
      </c>
      <c r="D77" s="98"/>
      <c r="E77" s="103">
        <v>95.65</v>
      </c>
      <c r="F77" s="100">
        <v>1</v>
      </c>
      <c r="G77" s="39">
        <v>1</v>
      </c>
      <c r="H77" s="40">
        <f t="shared" si="0"/>
        <v>95.65</v>
      </c>
      <c r="I77" s="41">
        <v>0</v>
      </c>
      <c r="J77" s="41">
        <v>1</v>
      </c>
      <c r="K77" s="41">
        <f t="shared" si="1"/>
        <v>0</v>
      </c>
      <c r="L77" s="85">
        <f t="shared" si="2"/>
        <v>95.65</v>
      </c>
      <c r="N77" s="86">
        <f t="shared" si="3"/>
        <v>1.1497999999999999</v>
      </c>
      <c r="P77" s="84">
        <f t="shared" si="4"/>
        <v>325915.64515986538</v>
      </c>
      <c r="Q77" s="87">
        <f t="shared" si="5"/>
        <v>3407.3773670660257</v>
      </c>
      <c r="S77" s="84">
        <v>309446.9755131682</v>
      </c>
      <c r="T77" s="87">
        <v>3235.2009985694531</v>
      </c>
      <c r="V77" s="88">
        <f t="shared" si="6"/>
        <v>5.3219682045321459E-2</v>
      </c>
      <c r="X77" s="84"/>
      <c r="Y77" s="87">
        <f t="shared" si="8"/>
        <v>325915.64515986538</v>
      </c>
      <c r="Z77" s="4"/>
    </row>
    <row r="78" spans="2:26" x14ac:dyDescent="0.25">
      <c r="B78" s="105" t="s">
        <v>103</v>
      </c>
      <c r="C78" s="106" t="s">
        <v>104</v>
      </c>
      <c r="D78" s="98"/>
      <c r="E78" s="103">
        <v>60.65</v>
      </c>
      <c r="F78" s="100">
        <v>1</v>
      </c>
      <c r="G78" s="39">
        <v>1</v>
      </c>
      <c r="H78" s="40">
        <f t="shared" si="0"/>
        <v>60.65</v>
      </c>
      <c r="I78" s="41">
        <v>0</v>
      </c>
      <c r="J78" s="41">
        <v>1</v>
      </c>
      <c r="K78" s="41">
        <f t="shared" si="1"/>
        <v>0</v>
      </c>
      <c r="L78" s="85">
        <f t="shared" si="2"/>
        <v>60.65</v>
      </c>
      <c r="N78" s="86">
        <f t="shared" ref="N78:N89" si="9">ROUND((L78/$L$115)*100,4)</f>
        <v>0.72909999999999997</v>
      </c>
      <c r="P78" s="84">
        <f t="shared" si="4"/>
        <v>206666.4610245763</v>
      </c>
      <c r="Q78" s="87">
        <f t="shared" si="5"/>
        <v>3407.5261504464356</v>
      </c>
      <c r="S78" s="84">
        <v>196231.47876859547</v>
      </c>
      <c r="T78" s="87">
        <v>3235.4736812629098</v>
      </c>
      <c r="V78" s="88">
        <f t="shared" si="6"/>
        <v>5.3176902714402008E-2</v>
      </c>
      <c r="X78" s="84">
        <v>11521.26</v>
      </c>
      <c r="Y78" s="87">
        <f t="shared" si="8"/>
        <v>195145.20102457629</v>
      </c>
      <c r="Z78" s="4"/>
    </row>
    <row r="79" spans="2:26" x14ac:dyDescent="0.25">
      <c r="B79" s="105" t="s">
        <v>204</v>
      </c>
      <c r="C79" s="106" t="s">
        <v>205</v>
      </c>
      <c r="D79" s="98"/>
      <c r="E79" s="103">
        <v>97.55</v>
      </c>
      <c r="F79" s="100">
        <v>0.8</v>
      </c>
      <c r="G79" s="172">
        <v>1</v>
      </c>
      <c r="H79" s="173">
        <f t="shared" si="0"/>
        <v>78.040000000000006</v>
      </c>
      <c r="I79" s="174">
        <v>0</v>
      </c>
      <c r="J79" s="174">
        <v>1</v>
      </c>
      <c r="K79" s="174">
        <f t="shared" si="1"/>
        <v>0</v>
      </c>
      <c r="L79" s="175">
        <f t="shared" si="2"/>
        <v>78.040000000000006</v>
      </c>
      <c r="M79" s="80"/>
      <c r="N79" s="86">
        <f t="shared" si="9"/>
        <v>0.93810000000000004</v>
      </c>
      <c r="O79" s="80"/>
      <c r="P79" s="84">
        <f t="shared" si="4"/>
        <v>265908.38991517632</v>
      </c>
      <c r="Q79" s="87">
        <f t="shared" si="5"/>
        <v>2725.8676567419407</v>
      </c>
      <c r="S79" s="84">
        <v>252473.17241699636</v>
      </c>
      <c r="T79" s="87">
        <v>2588.1411831573178</v>
      </c>
      <c r="V79" s="88">
        <f t="shared" ref="V79:V86" si="10">(P79/S79)-1</f>
        <v>5.32144360906186E-2</v>
      </c>
      <c r="X79" s="84">
        <v>18700.47</v>
      </c>
      <c r="Y79" s="87">
        <f t="shared" si="8"/>
        <v>247207.91991517632</v>
      </c>
      <c r="Z79" s="4"/>
    </row>
    <row r="80" spans="2:26" x14ac:dyDescent="0.25">
      <c r="B80" s="105" t="s">
        <v>207</v>
      </c>
      <c r="C80" s="106" t="s">
        <v>206</v>
      </c>
      <c r="D80" s="98"/>
      <c r="E80" s="103">
        <v>33.700000000000003</v>
      </c>
      <c r="F80" s="100">
        <v>0.8</v>
      </c>
      <c r="G80" s="172">
        <v>1</v>
      </c>
      <c r="H80" s="173">
        <f t="shared" si="0"/>
        <v>26.96</v>
      </c>
      <c r="I80" s="174">
        <v>0</v>
      </c>
      <c r="J80" s="174">
        <v>1</v>
      </c>
      <c r="K80" s="174">
        <f t="shared" si="1"/>
        <v>0</v>
      </c>
      <c r="L80" s="175">
        <f t="shared" si="2"/>
        <v>26.96</v>
      </c>
      <c r="M80" s="80"/>
      <c r="N80" s="86">
        <f t="shared" si="9"/>
        <v>0.3241</v>
      </c>
      <c r="O80" s="80"/>
      <c r="P80" s="84">
        <f t="shared" si="4"/>
        <v>91867.507911212699</v>
      </c>
      <c r="Q80" s="87">
        <f t="shared" si="5"/>
        <v>2726.0388104217413</v>
      </c>
      <c r="S80" s="84">
        <v>87225.611348705454</v>
      </c>
      <c r="T80" s="87">
        <v>2588.2970726618828</v>
      </c>
      <c r="V80" s="88">
        <f t="shared" si="10"/>
        <v>5.3217128441211292E-2</v>
      </c>
      <c r="X80" s="84">
        <v>18700.47</v>
      </c>
      <c r="Y80" s="87">
        <f t="shared" si="8"/>
        <v>73167.037911212698</v>
      </c>
      <c r="Z80" s="4"/>
    </row>
    <row r="81" spans="2:26" x14ac:dyDescent="0.25">
      <c r="B81" s="105" t="s">
        <v>105</v>
      </c>
      <c r="C81" s="106" t="s">
        <v>227</v>
      </c>
      <c r="D81" s="98"/>
      <c r="E81" s="103">
        <v>96.05</v>
      </c>
      <c r="F81" s="100">
        <v>1</v>
      </c>
      <c r="G81" s="172">
        <v>1</v>
      </c>
      <c r="H81" s="173">
        <f t="shared" si="0"/>
        <v>96.05</v>
      </c>
      <c r="I81" s="174">
        <v>0</v>
      </c>
      <c r="J81" s="174">
        <v>1</v>
      </c>
      <c r="K81" s="174">
        <f t="shared" si="1"/>
        <v>0</v>
      </c>
      <c r="L81" s="175">
        <f t="shared" si="2"/>
        <v>96.05</v>
      </c>
      <c r="N81" s="86">
        <f t="shared" si="9"/>
        <v>1.1546000000000001</v>
      </c>
      <c r="P81" s="84">
        <f t="shared" si="4"/>
        <v>327276.22534491267</v>
      </c>
      <c r="Q81" s="87">
        <f t="shared" si="5"/>
        <v>3407.3526844863372</v>
      </c>
      <c r="S81" s="84">
        <v>310754.31381275906</v>
      </c>
      <c r="T81" s="87">
        <v>3235.3390298048835</v>
      </c>
      <c r="V81" s="88">
        <f t="shared" si="10"/>
        <v>5.3167118838802985E-2</v>
      </c>
      <c r="X81" s="84">
        <v>18246.03</v>
      </c>
      <c r="Y81" s="87">
        <f t="shared" si="8"/>
        <v>309030.1953449127</v>
      </c>
      <c r="Z81" s="4"/>
    </row>
    <row r="82" spans="2:26" x14ac:dyDescent="0.25">
      <c r="B82" s="105" t="s">
        <v>106</v>
      </c>
      <c r="C82" s="106" t="s">
        <v>184</v>
      </c>
      <c r="D82" s="98"/>
      <c r="E82" s="103">
        <v>66.8</v>
      </c>
      <c r="F82" s="100">
        <v>1</v>
      </c>
      <c r="G82" s="172">
        <v>1</v>
      </c>
      <c r="H82" s="173">
        <f t="shared" si="0"/>
        <v>66.8</v>
      </c>
      <c r="I82" s="174">
        <v>0</v>
      </c>
      <c r="J82" s="174">
        <v>1</v>
      </c>
      <c r="K82" s="174">
        <f t="shared" si="1"/>
        <v>0</v>
      </c>
      <c r="L82" s="175">
        <f t="shared" si="2"/>
        <v>66.8</v>
      </c>
      <c r="N82" s="86">
        <f t="shared" si="9"/>
        <v>0.80300000000000005</v>
      </c>
      <c r="P82" s="84">
        <f t="shared" si="4"/>
        <v>227613.72679019996</v>
      </c>
      <c r="Q82" s="87">
        <f t="shared" si="5"/>
        <v>3407.3911196137719</v>
      </c>
      <c r="S82" s="84">
        <v>216129.16768836908</v>
      </c>
      <c r="T82" s="87">
        <v>3235.4665821612139</v>
      </c>
      <c r="V82" s="88">
        <f t="shared" si="10"/>
        <v>5.3137478965310958E-2</v>
      </c>
      <c r="X82" s="84"/>
      <c r="Y82" s="87">
        <f t="shared" si="8"/>
        <v>227613.72679019996</v>
      </c>
      <c r="Z82" s="4"/>
    </row>
    <row r="83" spans="2:26" x14ac:dyDescent="0.25">
      <c r="B83" s="105" t="s">
        <v>185</v>
      </c>
      <c r="C83" s="106" t="s">
        <v>197</v>
      </c>
      <c r="D83" s="98"/>
      <c r="E83" s="103">
        <v>42.8</v>
      </c>
      <c r="F83" s="100">
        <v>1</v>
      </c>
      <c r="G83" s="172">
        <v>1</v>
      </c>
      <c r="H83" s="173">
        <f t="shared" si="0"/>
        <v>42.8</v>
      </c>
      <c r="I83" s="174">
        <v>0</v>
      </c>
      <c r="J83" s="174">
        <v>1</v>
      </c>
      <c r="K83" s="174">
        <f t="shared" si="1"/>
        <v>0</v>
      </c>
      <c r="L83" s="175">
        <f t="shared" si="2"/>
        <v>42.8</v>
      </c>
      <c r="N83" s="86">
        <f t="shared" si="9"/>
        <v>0.51449999999999996</v>
      </c>
      <c r="P83" s="84">
        <f t="shared" si="4"/>
        <v>145837.18858475451</v>
      </c>
      <c r="Q83" s="87">
        <f t="shared" si="5"/>
        <v>3407.4109482419281</v>
      </c>
      <c r="S83" s="84">
        <v>138473.2726926691</v>
      </c>
      <c r="T83" s="87">
        <v>3235.356838613764</v>
      </c>
      <c r="V83" s="88">
        <f t="shared" si="10"/>
        <v>5.3179330197741903E-2</v>
      </c>
      <c r="X83" s="84"/>
      <c r="Y83" s="87"/>
      <c r="Z83" s="4"/>
    </row>
    <row r="84" spans="2:26" x14ac:dyDescent="0.25">
      <c r="B84" s="105" t="s">
        <v>177</v>
      </c>
      <c r="C84" s="106" t="s">
        <v>107</v>
      </c>
      <c r="D84" s="98"/>
      <c r="E84" s="103">
        <f>95.65+95.65+95.2+200.8</f>
        <v>487.3</v>
      </c>
      <c r="F84" s="100">
        <v>1</v>
      </c>
      <c r="G84" s="172">
        <v>1</v>
      </c>
      <c r="H84" s="173">
        <f t="shared" si="0"/>
        <v>487.3</v>
      </c>
      <c r="I84" s="174">
        <v>0</v>
      </c>
      <c r="J84" s="174">
        <v>1</v>
      </c>
      <c r="K84" s="174">
        <f t="shared" si="1"/>
        <v>0</v>
      </c>
      <c r="L84" s="175">
        <f t="shared" si="2"/>
        <v>487.3</v>
      </c>
      <c r="N84" s="86">
        <f t="shared" si="9"/>
        <v>5.8578999999999999</v>
      </c>
      <c r="P84" s="84">
        <f t="shared" si="4"/>
        <v>1660446.3887475869</v>
      </c>
      <c r="Q84" s="87">
        <f t="shared" si="5"/>
        <v>3407.4417991947194</v>
      </c>
      <c r="S84" s="84">
        <v>1576571.5490086609</v>
      </c>
      <c r="T84" s="87">
        <v>3235.3202319077795</v>
      </c>
      <c r="V84" s="88">
        <f t="shared" si="10"/>
        <v>5.320078228715075E-2</v>
      </c>
      <c r="X84" s="84">
        <v>54426.44</v>
      </c>
      <c r="Y84" s="87">
        <f t="shared" si="8"/>
        <v>1606019.9487475869</v>
      </c>
      <c r="Z84" s="4"/>
    </row>
    <row r="85" spans="2:26" x14ac:dyDescent="0.25">
      <c r="B85" s="116" t="s">
        <v>109</v>
      </c>
      <c r="C85" s="109" t="s">
        <v>172</v>
      </c>
      <c r="D85" s="94"/>
      <c r="E85" s="115">
        <f>89</f>
        <v>89</v>
      </c>
      <c r="F85" s="111">
        <v>1</v>
      </c>
      <c r="G85" s="172">
        <v>1</v>
      </c>
      <c r="H85" s="173">
        <f t="shared" si="0"/>
        <v>89</v>
      </c>
      <c r="I85" s="174">
        <v>0</v>
      </c>
      <c r="J85" s="174">
        <v>1</v>
      </c>
      <c r="K85" s="174">
        <f>ROUND(I85*J85,2)</f>
        <v>0</v>
      </c>
      <c r="L85" s="175">
        <f>H85+K85</f>
        <v>89</v>
      </c>
      <c r="N85" s="86">
        <f t="shared" si="9"/>
        <v>1.0699000000000001</v>
      </c>
      <c r="P85" s="84">
        <f t="shared" si="4"/>
        <v>303267.65416293265</v>
      </c>
      <c r="Q85" s="87">
        <f t="shared" si="5"/>
        <v>3407.5017321677824</v>
      </c>
      <c r="S85" s="84">
        <v>287954.33386789361</v>
      </c>
      <c r="T85" s="87">
        <v>3235.4419535718384</v>
      </c>
      <c r="V85" s="88">
        <f t="shared" si="10"/>
        <v>5.3179683352376328E-2</v>
      </c>
      <c r="X85" s="84">
        <v>16242.01</v>
      </c>
      <c r="Y85" s="87">
        <f t="shared" si="8"/>
        <v>287025.64416293264</v>
      </c>
      <c r="Z85" s="4"/>
    </row>
    <row r="86" spans="2:26" x14ac:dyDescent="0.25">
      <c r="B86" s="116" t="s">
        <v>189</v>
      </c>
      <c r="C86" s="109" t="s">
        <v>191</v>
      </c>
      <c r="D86" s="94"/>
      <c r="E86" s="115">
        <v>19.600000000000001</v>
      </c>
      <c r="F86" s="111">
        <v>0</v>
      </c>
      <c r="G86" s="172">
        <v>0</v>
      </c>
      <c r="H86" s="173">
        <f>ROUND(E86*G86*F86,2)</f>
        <v>0</v>
      </c>
      <c r="I86" s="174">
        <v>0</v>
      </c>
      <c r="J86" s="174">
        <v>1</v>
      </c>
      <c r="K86" s="174">
        <f>ROUND(I86*J86,2)</f>
        <v>0</v>
      </c>
      <c r="L86" s="175">
        <f>H86+K86</f>
        <v>0</v>
      </c>
      <c r="N86" s="86">
        <f t="shared" si="9"/>
        <v>0</v>
      </c>
      <c r="P86" s="84">
        <f>($P$12*N86)/100</f>
        <v>0</v>
      </c>
      <c r="Q86" s="87">
        <f>P86/E86</f>
        <v>0</v>
      </c>
      <c r="S86" s="84">
        <v>0</v>
      </c>
      <c r="T86" s="87">
        <v>0</v>
      </c>
      <c r="V86" s="88" t="e">
        <f t="shared" si="10"/>
        <v>#DIV/0!</v>
      </c>
      <c r="X86" s="84">
        <v>0</v>
      </c>
      <c r="Y86" s="87">
        <f t="shared" si="8"/>
        <v>0</v>
      </c>
      <c r="Z86" s="4"/>
    </row>
    <row r="87" spans="2:26" x14ac:dyDescent="0.25">
      <c r="B87" s="105" t="s">
        <v>110</v>
      </c>
      <c r="C87" s="106" t="s">
        <v>173</v>
      </c>
      <c r="D87" s="98"/>
      <c r="E87" s="103">
        <v>89.6</v>
      </c>
      <c r="F87" s="100">
        <v>1</v>
      </c>
      <c r="G87" s="172">
        <v>1</v>
      </c>
      <c r="H87" s="173">
        <f>ROUND(E87*G87*F87,2)</f>
        <v>89.6</v>
      </c>
      <c r="I87" s="174">
        <v>0</v>
      </c>
      <c r="J87" s="174">
        <v>1</v>
      </c>
      <c r="K87" s="174">
        <f>ROUND(I87*J87,2)</f>
        <v>0</v>
      </c>
      <c r="L87" s="175">
        <f>H87+K87</f>
        <v>89.6</v>
      </c>
      <c r="N87" s="86">
        <f t="shared" si="9"/>
        <v>1.0770999999999999</v>
      </c>
      <c r="P87" s="84">
        <f>($P$12*N87)/100</f>
        <v>305308.52444050356</v>
      </c>
      <c r="Q87" s="87">
        <f>P87/E87</f>
        <v>3407.4612102734773</v>
      </c>
      <c r="S87" s="84">
        <v>289889.19455128821</v>
      </c>
      <c r="T87" s="87">
        <v>3235.3704749027702</v>
      </c>
      <c r="V87" s="88">
        <f>(P87/S87)-1</f>
        <v>5.3190426476856123E-2</v>
      </c>
      <c r="X87" s="84">
        <v>17021.759999999998</v>
      </c>
      <c r="Y87" s="87">
        <f t="shared" si="8"/>
        <v>288286.76444050355</v>
      </c>
      <c r="Z87" s="4"/>
    </row>
    <row r="88" spans="2:26" x14ac:dyDescent="0.25">
      <c r="B88" s="184"/>
      <c r="C88" s="185" t="s">
        <v>234</v>
      </c>
      <c r="D88" s="98"/>
      <c r="E88" s="186">
        <v>68</v>
      </c>
      <c r="F88" s="100">
        <v>1</v>
      </c>
      <c r="G88" s="172">
        <v>1</v>
      </c>
      <c r="H88" s="173">
        <f>ROUND(E88*G88*F88,2)</f>
        <v>68</v>
      </c>
      <c r="I88" s="174">
        <v>0</v>
      </c>
      <c r="J88" s="174">
        <v>1</v>
      </c>
      <c r="K88" s="174">
        <f>ROUND(I88*J88,2)</f>
        <v>0</v>
      </c>
      <c r="L88" s="175">
        <f>H88+K88</f>
        <v>68</v>
      </c>
      <c r="N88" s="86">
        <f>ROUND((L88/$L$115)*100,4)</f>
        <v>0.81740000000000002</v>
      </c>
      <c r="P88" s="84">
        <f>($P$12*N88)/100</f>
        <v>231695.46734534178</v>
      </c>
      <c r="Q88" s="87">
        <f>P88/E88</f>
        <v>3407.2862844903202</v>
      </c>
      <c r="S88" s="84">
        <v>289889.19455128821</v>
      </c>
      <c r="T88" s="87">
        <v>3235.3704749027702</v>
      </c>
      <c r="V88" s="88">
        <f>(P88/S88)-1</f>
        <v>-0.20074472694997469</v>
      </c>
      <c r="X88" s="187"/>
      <c r="Y88" s="188"/>
      <c r="Z88" s="4"/>
    </row>
    <row r="89" spans="2:26" ht="13.5" thickBot="1" x14ac:dyDescent="0.3">
      <c r="B89" s="144" t="s">
        <v>178</v>
      </c>
      <c r="C89" s="145" t="s">
        <v>221</v>
      </c>
      <c r="D89" s="98"/>
      <c r="E89" s="164">
        <v>76</v>
      </c>
      <c r="F89" s="148">
        <v>1</v>
      </c>
      <c r="G89" s="176">
        <v>1</v>
      </c>
      <c r="H89" s="177">
        <f>ROUND(E89*G89*F89,2)</f>
        <v>76</v>
      </c>
      <c r="I89" s="178">
        <v>0</v>
      </c>
      <c r="J89" s="178">
        <v>1</v>
      </c>
      <c r="K89" s="178">
        <f>ROUND(I89*J89,2)</f>
        <v>0</v>
      </c>
      <c r="L89" s="179">
        <f>H89+K89</f>
        <v>76</v>
      </c>
      <c r="M89" s="80"/>
      <c r="N89" s="182">
        <f t="shared" si="9"/>
        <v>0.91359999999999997</v>
      </c>
      <c r="O89" s="80"/>
      <c r="P89" s="146">
        <f>($P$12*N89)/100</f>
        <v>258963.76188733085</v>
      </c>
      <c r="Q89" s="89">
        <f>P89/E89</f>
        <v>3407.4179195701427</v>
      </c>
      <c r="S89" s="146">
        <v>245884.18738705816</v>
      </c>
      <c r="T89" s="89">
        <v>3235.3182550928705</v>
      </c>
      <c r="V89" s="90">
        <f>(P89/S89)-1</f>
        <v>5.3194044884568026E-2</v>
      </c>
      <c r="X89" s="146">
        <v>15437.42</v>
      </c>
      <c r="Y89" s="89">
        <f t="shared" si="8"/>
        <v>243526.34188733084</v>
      </c>
      <c r="Z89" s="4"/>
    </row>
    <row r="90" spans="2:26" ht="13.5" thickBot="1" x14ac:dyDescent="0.3">
      <c r="B90" s="42"/>
      <c r="C90" s="43"/>
      <c r="E90" s="44"/>
      <c r="F90" s="44"/>
      <c r="G90" s="45"/>
      <c r="H90" s="46"/>
      <c r="I90" s="44"/>
      <c r="J90" s="44"/>
      <c r="K90" s="44"/>
      <c r="L90" s="44"/>
      <c r="N90" s="47"/>
      <c r="P90" s="48"/>
      <c r="Q90" s="48"/>
      <c r="S90" s="48"/>
      <c r="T90" s="48"/>
      <c r="V90" s="49"/>
      <c r="X90" s="48"/>
      <c r="Y90" s="48"/>
      <c r="Z90" s="66"/>
    </row>
    <row r="91" spans="2:26" ht="13.5" thickBot="1" x14ac:dyDescent="0.3">
      <c r="B91" s="139">
        <v>148</v>
      </c>
      <c r="C91" s="140" t="s">
        <v>111</v>
      </c>
      <c r="D91" s="98"/>
      <c r="E91" s="141">
        <v>20</v>
      </c>
      <c r="F91" s="142">
        <v>1</v>
      </c>
      <c r="G91" s="37">
        <v>1</v>
      </c>
      <c r="H91" s="38">
        <f t="shared" ref="H91:H113" si="11">ROUND(E91*G91*F91,2)</f>
        <v>20</v>
      </c>
      <c r="I91" s="36">
        <v>0</v>
      </c>
      <c r="J91" s="36">
        <v>1</v>
      </c>
      <c r="K91" s="36">
        <v>0</v>
      </c>
      <c r="L91" s="153">
        <f>H91+K91</f>
        <v>20</v>
      </c>
      <c r="N91" s="181">
        <f t="shared" ref="N91:N113" si="12">ROUND((L91/$L$115)*100,4)</f>
        <v>0.2404</v>
      </c>
      <c r="P91" s="152">
        <f t="shared" ref="P91:P113" si="13">($P$12*N91)/100</f>
        <v>68142.390934450901</v>
      </c>
      <c r="Q91" s="154">
        <f t="shared" ref="Q91:Q113" si="14">P91/E91</f>
        <v>3407.1195467225452</v>
      </c>
      <c r="S91" s="152">
        <v>64713.245829749998</v>
      </c>
      <c r="T91" s="154">
        <v>3235.6622914874997</v>
      </c>
      <c r="V91" s="90">
        <f t="shared" ref="V91:V113" si="15">(P91/S91)-1</f>
        <v>5.2989848689129593E-2</v>
      </c>
      <c r="X91" s="48"/>
      <c r="Y91" s="48"/>
      <c r="Z91" s="66"/>
    </row>
    <row r="92" spans="2:26" ht="13.5" thickBot="1" x14ac:dyDescent="0.3">
      <c r="B92" s="105">
        <v>149</v>
      </c>
      <c r="C92" s="106" t="s">
        <v>112</v>
      </c>
      <c r="D92" s="98"/>
      <c r="E92" s="107">
        <v>28</v>
      </c>
      <c r="F92" s="100">
        <v>1</v>
      </c>
      <c r="G92" s="39">
        <v>1</v>
      </c>
      <c r="H92" s="40">
        <f t="shared" si="11"/>
        <v>28</v>
      </c>
      <c r="I92" s="41">
        <v>0</v>
      </c>
      <c r="J92" s="41">
        <v>1</v>
      </c>
      <c r="K92" s="41">
        <v>0</v>
      </c>
      <c r="L92" s="85">
        <f t="shared" ref="L92:L113" si="16">H92+K92</f>
        <v>28</v>
      </c>
      <c r="N92" s="86">
        <f t="shared" si="12"/>
        <v>0.33660000000000001</v>
      </c>
      <c r="P92" s="84">
        <f t="shared" si="13"/>
        <v>95410.68547643999</v>
      </c>
      <c r="Q92" s="87">
        <f t="shared" si="14"/>
        <v>3407.5244813014283</v>
      </c>
      <c r="S92" s="84">
        <v>90598.544161650003</v>
      </c>
      <c r="T92" s="87">
        <v>3235.6622914875002</v>
      </c>
      <c r="V92" s="90">
        <f t="shared" si="15"/>
        <v>5.3114996044571594E-2</v>
      </c>
      <c r="X92" s="48"/>
      <c r="Y92" s="48"/>
      <c r="Z92" s="66"/>
    </row>
    <row r="93" spans="2:26" ht="13.5" thickBot="1" x14ac:dyDescent="0.3">
      <c r="B93" s="105">
        <v>150</v>
      </c>
      <c r="C93" s="106" t="s">
        <v>203</v>
      </c>
      <c r="D93" s="98"/>
      <c r="E93" s="107">
        <v>65</v>
      </c>
      <c r="F93" s="100">
        <v>1</v>
      </c>
      <c r="G93" s="39">
        <v>1</v>
      </c>
      <c r="H93" s="40">
        <f t="shared" si="11"/>
        <v>65</v>
      </c>
      <c r="I93" s="41">
        <v>0</v>
      </c>
      <c r="J93" s="41">
        <v>1</v>
      </c>
      <c r="K93" s="41">
        <v>0</v>
      </c>
      <c r="L93" s="85">
        <f t="shared" si="16"/>
        <v>65</v>
      </c>
      <c r="N93" s="86">
        <f t="shared" si="12"/>
        <v>0.78139999999999998</v>
      </c>
      <c r="P93" s="84">
        <f t="shared" si="13"/>
        <v>221491.11595748723</v>
      </c>
      <c r="Q93" s="87">
        <f t="shared" si="14"/>
        <v>3407.5556301151883</v>
      </c>
      <c r="S93" s="84">
        <v>210298.43887219366</v>
      </c>
      <c r="T93" s="87">
        <v>3235.3605980337484</v>
      </c>
      <c r="V93" s="90">
        <f t="shared" si="15"/>
        <v>5.3222825358659964E-2</v>
      </c>
      <c r="X93" s="48"/>
      <c r="Y93" s="48"/>
      <c r="Z93" s="66"/>
    </row>
    <row r="94" spans="2:26" ht="13.5" thickBot="1" x14ac:dyDescent="0.3">
      <c r="B94" s="105">
        <v>151</v>
      </c>
      <c r="C94" s="106" t="s">
        <v>174</v>
      </c>
      <c r="D94" s="98"/>
      <c r="E94" s="107">
        <v>67</v>
      </c>
      <c r="F94" s="100">
        <v>1</v>
      </c>
      <c r="G94" s="39">
        <v>1</v>
      </c>
      <c r="H94" s="40">
        <f t="shared" si="11"/>
        <v>67</v>
      </c>
      <c r="I94" s="41">
        <v>0</v>
      </c>
      <c r="J94" s="41">
        <v>1</v>
      </c>
      <c r="K94" s="41">
        <v>0</v>
      </c>
      <c r="L94" s="85">
        <f t="shared" si="16"/>
        <v>67</v>
      </c>
      <c r="N94" s="86">
        <f t="shared" si="12"/>
        <v>0.8054</v>
      </c>
      <c r="P94" s="84">
        <f t="shared" si="13"/>
        <v>228294.0168827236</v>
      </c>
      <c r="Q94" s="87">
        <f t="shared" si="14"/>
        <v>3407.3733863093075</v>
      </c>
      <c r="S94" s="84">
        <v>216756.69007217273</v>
      </c>
      <c r="T94" s="87">
        <v>3235.1744786891454</v>
      </c>
      <c r="V94" s="90">
        <f t="shared" si="15"/>
        <v>5.3227085201888569E-2</v>
      </c>
      <c r="X94" s="48"/>
      <c r="Y94" s="48"/>
      <c r="Z94" s="66"/>
    </row>
    <row r="95" spans="2:26" ht="13.5" thickBot="1" x14ac:dyDescent="0.3">
      <c r="B95" s="105">
        <v>152</v>
      </c>
      <c r="C95" s="106" t="s">
        <v>113</v>
      </c>
      <c r="D95" s="98"/>
      <c r="E95" s="107">
        <v>89</v>
      </c>
      <c r="F95" s="100">
        <v>1</v>
      </c>
      <c r="G95" s="39">
        <v>1</v>
      </c>
      <c r="H95" s="40">
        <f t="shared" si="11"/>
        <v>89</v>
      </c>
      <c r="I95" s="41">
        <v>0</v>
      </c>
      <c r="J95" s="41">
        <v>1</v>
      </c>
      <c r="K95" s="41">
        <v>0</v>
      </c>
      <c r="L95" s="85">
        <f t="shared" si="16"/>
        <v>89</v>
      </c>
      <c r="N95" s="86">
        <f t="shared" si="12"/>
        <v>1.0699000000000001</v>
      </c>
      <c r="P95" s="84">
        <f t="shared" si="13"/>
        <v>303267.65416293265</v>
      </c>
      <c r="Q95" s="87">
        <f t="shared" si="14"/>
        <v>3407.5017321677824</v>
      </c>
      <c r="S95" s="84">
        <v>287954.33386789361</v>
      </c>
      <c r="T95" s="87">
        <v>3235.4419535718384</v>
      </c>
      <c r="V95" s="90">
        <f t="shared" si="15"/>
        <v>5.3179683352376328E-2</v>
      </c>
      <c r="X95" s="48"/>
      <c r="Y95" s="48"/>
      <c r="Z95" s="66"/>
    </row>
    <row r="96" spans="2:26" ht="13.5" thickBot="1" x14ac:dyDescent="0.3">
      <c r="B96" s="105">
        <v>153</v>
      </c>
      <c r="C96" s="106" t="s">
        <v>166</v>
      </c>
      <c r="D96" s="98"/>
      <c r="E96" s="107">
        <v>26</v>
      </c>
      <c r="F96" s="100">
        <v>1</v>
      </c>
      <c r="G96" s="39">
        <v>1</v>
      </c>
      <c r="H96" s="40">
        <f t="shared" si="11"/>
        <v>26</v>
      </c>
      <c r="I96" s="41">
        <v>0</v>
      </c>
      <c r="J96" s="41">
        <v>1</v>
      </c>
      <c r="K96" s="41">
        <v>0</v>
      </c>
      <c r="L96" s="85">
        <f t="shared" si="16"/>
        <v>26</v>
      </c>
      <c r="N96" s="86">
        <f t="shared" si="12"/>
        <v>0.3125</v>
      </c>
      <c r="P96" s="84">
        <f t="shared" si="13"/>
        <v>88579.439130681785</v>
      </c>
      <c r="Q96" s="87">
        <f t="shared" si="14"/>
        <v>3406.9015050262224</v>
      </c>
      <c r="S96" s="84">
        <v>84114.146195679088</v>
      </c>
      <c r="T96" s="87">
        <v>3235.1594690645802</v>
      </c>
      <c r="V96" s="90">
        <f t="shared" si="15"/>
        <v>5.3086111396944524E-2</v>
      </c>
      <c r="X96" s="48"/>
      <c r="Y96" s="48"/>
      <c r="Z96" s="66"/>
    </row>
    <row r="97" spans="2:26" ht="13.5" thickBot="1" x14ac:dyDescent="0.3">
      <c r="B97" s="105">
        <v>154</v>
      </c>
      <c r="C97" s="106" t="s">
        <v>167</v>
      </c>
      <c r="D97" s="98"/>
      <c r="E97" s="107">
        <v>14.19</v>
      </c>
      <c r="F97" s="100">
        <v>1</v>
      </c>
      <c r="G97" s="39">
        <v>1</v>
      </c>
      <c r="H97" s="40">
        <f t="shared" si="11"/>
        <v>14.19</v>
      </c>
      <c r="I97" s="41">
        <v>0</v>
      </c>
      <c r="J97" s="41">
        <v>1</v>
      </c>
      <c r="K97" s="41">
        <v>0</v>
      </c>
      <c r="L97" s="85">
        <f t="shared" si="16"/>
        <v>14.19</v>
      </c>
      <c r="N97" s="86">
        <f t="shared" si="12"/>
        <v>0.1706</v>
      </c>
      <c r="P97" s="84">
        <f t="shared" si="13"/>
        <v>48357.287410221805</v>
      </c>
      <c r="Q97" s="87">
        <f t="shared" si="14"/>
        <v>3407.8426645681329</v>
      </c>
      <c r="S97" s="84">
        <v>45913.721081632728</v>
      </c>
      <c r="T97" s="87">
        <v>3235.6392587479022</v>
      </c>
      <c r="V97" s="90">
        <f t="shared" si="15"/>
        <v>5.3220829656662305E-2</v>
      </c>
      <c r="X97" s="48"/>
      <c r="Y97" s="48"/>
      <c r="Z97" s="66"/>
    </row>
    <row r="98" spans="2:26" ht="13.5" thickBot="1" x14ac:dyDescent="0.3">
      <c r="B98" s="105">
        <v>155</v>
      </c>
      <c r="C98" s="106" t="s">
        <v>114</v>
      </c>
      <c r="D98" s="98"/>
      <c r="E98" s="107">
        <v>134</v>
      </c>
      <c r="F98" s="100">
        <v>1</v>
      </c>
      <c r="G98" s="39">
        <v>1</v>
      </c>
      <c r="H98" s="40">
        <f t="shared" si="11"/>
        <v>134</v>
      </c>
      <c r="I98" s="41">
        <v>0</v>
      </c>
      <c r="J98" s="41">
        <v>1</v>
      </c>
      <c r="K98" s="41">
        <v>0</v>
      </c>
      <c r="L98" s="85">
        <f t="shared" si="16"/>
        <v>134</v>
      </c>
      <c r="N98" s="86">
        <f t="shared" si="12"/>
        <v>1.6108</v>
      </c>
      <c r="P98" s="84">
        <f t="shared" si="13"/>
        <v>456588.03376544721</v>
      </c>
      <c r="Q98" s="87">
        <f t="shared" si="14"/>
        <v>3407.3733863093075</v>
      </c>
      <c r="S98" s="84">
        <v>433539.52691033727</v>
      </c>
      <c r="T98" s="87">
        <v>3235.3696038084872</v>
      </c>
      <c r="V98" s="90">
        <f t="shared" si="15"/>
        <v>5.3163565083367281E-2</v>
      </c>
      <c r="X98" s="48"/>
      <c r="Y98" s="48"/>
      <c r="Z98" s="66"/>
    </row>
    <row r="99" spans="2:26" ht="13.5" thickBot="1" x14ac:dyDescent="0.3">
      <c r="B99" s="105">
        <v>156</v>
      </c>
      <c r="C99" s="106" t="s">
        <v>115</v>
      </c>
      <c r="D99" s="98"/>
      <c r="E99" s="107">
        <v>72</v>
      </c>
      <c r="F99" s="100">
        <v>1</v>
      </c>
      <c r="G99" s="39">
        <v>1</v>
      </c>
      <c r="H99" s="40">
        <f t="shared" si="11"/>
        <v>72</v>
      </c>
      <c r="I99" s="41">
        <v>0</v>
      </c>
      <c r="J99" s="41">
        <v>1</v>
      </c>
      <c r="K99" s="41">
        <v>0</v>
      </c>
      <c r="L99" s="85">
        <f t="shared" si="16"/>
        <v>72</v>
      </c>
      <c r="N99" s="86">
        <f t="shared" si="12"/>
        <v>0.86550000000000005</v>
      </c>
      <c r="P99" s="84">
        <f t="shared" si="13"/>
        <v>245329.61461633633</v>
      </c>
      <c r="Q99" s="87">
        <f t="shared" si="14"/>
        <v>3407.3557585602266</v>
      </c>
      <c r="S99" s="84">
        <v>232941.5382211082</v>
      </c>
      <c r="T99" s="87">
        <v>3235.2991419598361</v>
      </c>
      <c r="V99" s="90">
        <f t="shared" si="15"/>
        <v>5.3181053451571758E-2</v>
      </c>
      <c r="X99" s="48"/>
      <c r="Y99" s="48"/>
      <c r="Z99" s="66"/>
    </row>
    <row r="100" spans="2:26" ht="13.5" thickBot="1" x14ac:dyDescent="0.3">
      <c r="B100" s="105">
        <v>157</v>
      </c>
      <c r="C100" s="106" t="s">
        <v>182</v>
      </c>
      <c r="D100" s="98"/>
      <c r="E100" s="107">
        <v>103</v>
      </c>
      <c r="F100" s="100">
        <v>1</v>
      </c>
      <c r="G100" s="39">
        <v>1</v>
      </c>
      <c r="H100" s="40">
        <f t="shared" si="11"/>
        <v>103</v>
      </c>
      <c r="I100" s="41">
        <v>0</v>
      </c>
      <c r="J100" s="41">
        <v>1</v>
      </c>
      <c r="K100" s="41">
        <v>0</v>
      </c>
      <c r="L100" s="85">
        <f t="shared" si="16"/>
        <v>103</v>
      </c>
      <c r="N100" s="86">
        <f t="shared" si="12"/>
        <v>1.2382</v>
      </c>
      <c r="P100" s="84">
        <f t="shared" si="13"/>
        <v>350972.99690115266</v>
      </c>
      <c r="Q100" s="87">
        <f t="shared" si="14"/>
        <v>3407.5048242830353</v>
      </c>
      <c r="S100" s="84">
        <v>333240.53256572271</v>
      </c>
      <c r="T100" s="87">
        <v>3235.3449763662397</v>
      </c>
      <c r="V100" s="90">
        <f t="shared" si="15"/>
        <v>5.3212207407370871E-2</v>
      </c>
      <c r="X100" s="48"/>
      <c r="Y100" s="48"/>
      <c r="Z100" s="66"/>
    </row>
    <row r="101" spans="2:26" ht="13.5" thickBot="1" x14ac:dyDescent="0.3">
      <c r="B101" s="105">
        <v>158</v>
      </c>
      <c r="C101" s="106" t="s">
        <v>201</v>
      </c>
      <c r="D101" s="98"/>
      <c r="E101" s="107">
        <v>45</v>
      </c>
      <c r="F101" s="100">
        <v>1</v>
      </c>
      <c r="G101" s="39">
        <v>1</v>
      </c>
      <c r="H101" s="40">
        <f t="shared" si="11"/>
        <v>45</v>
      </c>
      <c r="I101" s="41">
        <v>0</v>
      </c>
      <c r="J101" s="41">
        <v>1</v>
      </c>
      <c r="K101" s="41">
        <v>0</v>
      </c>
      <c r="L101" s="85">
        <f t="shared" si="16"/>
        <v>45</v>
      </c>
      <c r="N101" s="86">
        <f t="shared" si="12"/>
        <v>0.54090000000000005</v>
      </c>
      <c r="P101" s="84">
        <f t="shared" si="13"/>
        <v>153320.37960251453</v>
      </c>
      <c r="Q101" s="87">
        <f t="shared" si="14"/>
        <v>3407.1195467225452</v>
      </c>
      <c r="S101" s="84">
        <v>145585.19304244363</v>
      </c>
      <c r="T101" s="87">
        <v>3235.2265120543029</v>
      </c>
      <c r="V101" s="90">
        <f t="shared" si="15"/>
        <v>5.3131684606248397E-2</v>
      </c>
      <c r="X101" s="48"/>
      <c r="Y101" s="48"/>
      <c r="Z101" s="66"/>
    </row>
    <row r="102" spans="2:26" ht="13.5" thickBot="1" x14ac:dyDescent="0.3">
      <c r="B102" s="105">
        <v>159</v>
      </c>
      <c r="C102" s="106" t="s">
        <v>201</v>
      </c>
      <c r="D102" s="98"/>
      <c r="E102" s="107">
        <v>48</v>
      </c>
      <c r="F102" s="100">
        <v>1</v>
      </c>
      <c r="G102" s="39">
        <v>1</v>
      </c>
      <c r="H102" s="40">
        <f t="shared" si="11"/>
        <v>48</v>
      </c>
      <c r="I102" s="41">
        <v>0</v>
      </c>
      <c r="J102" s="41">
        <v>1</v>
      </c>
      <c r="K102" s="41">
        <v>0</v>
      </c>
      <c r="L102" s="85">
        <f t="shared" si="16"/>
        <v>48</v>
      </c>
      <c r="N102" s="86">
        <f t="shared" si="12"/>
        <v>0.57699999999999996</v>
      </c>
      <c r="P102" s="84">
        <f t="shared" si="13"/>
        <v>163553.07641089085</v>
      </c>
      <c r="Q102" s="87">
        <f t="shared" si="14"/>
        <v>3407.3557585602261</v>
      </c>
      <c r="S102" s="84">
        <v>155285.64322540819</v>
      </c>
      <c r="T102" s="87">
        <v>3235.1175671960041</v>
      </c>
      <c r="V102" s="90">
        <f t="shared" si="15"/>
        <v>5.3240164472139195E-2</v>
      </c>
      <c r="X102" s="48"/>
      <c r="Y102" s="48"/>
      <c r="Z102" s="66"/>
    </row>
    <row r="103" spans="2:26" ht="13.5" thickBot="1" x14ac:dyDescent="0.3">
      <c r="B103" s="105">
        <v>160</v>
      </c>
      <c r="C103" s="106" t="s">
        <v>196</v>
      </c>
      <c r="D103" s="98"/>
      <c r="E103" s="107">
        <v>79</v>
      </c>
      <c r="F103" s="100">
        <v>1</v>
      </c>
      <c r="G103" s="39">
        <v>1</v>
      </c>
      <c r="H103" s="40">
        <f t="shared" si="11"/>
        <v>79</v>
      </c>
      <c r="I103" s="41">
        <v>0</v>
      </c>
      <c r="J103" s="41">
        <v>1</v>
      </c>
      <c r="K103" s="41">
        <v>0</v>
      </c>
      <c r="L103" s="85">
        <f t="shared" si="16"/>
        <v>79</v>
      </c>
      <c r="N103" s="86">
        <f t="shared" si="12"/>
        <v>0.94969999999999999</v>
      </c>
      <c r="P103" s="84">
        <f t="shared" si="13"/>
        <v>269196.4586957072</v>
      </c>
      <c r="Q103" s="87">
        <f t="shared" si="14"/>
        <v>3407.5501100722431</v>
      </c>
      <c r="S103" s="84">
        <v>255584.63757002275</v>
      </c>
      <c r="T103" s="87">
        <v>3235.248576835731</v>
      </c>
      <c r="V103" s="90">
        <f t="shared" si="15"/>
        <v>5.3257587212984125E-2</v>
      </c>
      <c r="X103" s="48"/>
      <c r="Y103" s="48"/>
      <c r="Z103" s="66"/>
    </row>
    <row r="104" spans="2:26" ht="13.5" thickBot="1" x14ac:dyDescent="0.3">
      <c r="B104" s="105">
        <v>161</v>
      </c>
      <c r="C104" s="106" t="s">
        <v>116</v>
      </c>
      <c r="D104" s="98"/>
      <c r="E104" s="107">
        <v>95</v>
      </c>
      <c r="F104" s="100">
        <v>1</v>
      </c>
      <c r="G104" s="39">
        <v>1</v>
      </c>
      <c r="H104" s="40">
        <f t="shared" si="11"/>
        <v>95</v>
      </c>
      <c r="I104" s="41">
        <v>0</v>
      </c>
      <c r="J104" s="41">
        <v>1</v>
      </c>
      <c r="K104" s="41">
        <v>0</v>
      </c>
      <c r="L104" s="85">
        <f t="shared" si="16"/>
        <v>95</v>
      </c>
      <c r="N104" s="86">
        <f t="shared" si="12"/>
        <v>1.1419999999999999</v>
      </c>
      <c r="P104" s="84">
        <f t="shared" si="13"/>
        <v>323704.70235916355</v>
      </c>
      <c r="Q104" s="87">
        <f t="shared" si="14"/>
        <v>3407.4179195701427</v>
      </c>
      <c r="S104" s="84">
        <v>307355.23423382273</v>
      </c>
      <c r="T104" s="87">
        <v>3235.3182550928709</v>
      </c>
      <c r="V104" s="90">
        <f t="shared" si="15"/>
        <v>5.3194044884567804E-2</v>
      </c>
      <c r="X104" s="48"/>
      <c r="Y104" s="48"/>
      <c r="Z104" s="66"/>
    </row>
    <row r="105" spans="2:26" ht="13.5" thickBot="1" x14ac:dyDescent="0.3">
      <c r="B105" s="105">
        <v>162</v>
      </c>
      <c r="C105" s="106" t="s">
        <v>217</v>
      </c>
      <c r="D105" s="98"/>
      <c r="E105" s="107">
        <v>95</v>
      </c>
      <c r="F105" s="100">
        <v>1</v>
      </c>
      <c r="G105" s="39">
        <v>1</v>
      </c>
      <c r="H105" s="40">
        <f t="shared" si="11"/>
        <v>95</v>
      </c>
      <c r="I105" s="41">
        <v>0</v>
      </c>
      <c r="J105" s="41">
        <v>1</v>
      </c>
      <c r="K105" s="41">
        <v>0</v>
      </c>
      <c r="L105" s="85">
        <f t="shared" si="16"/>
        <v>95</v>
      </c>
      <c r="N105" s="86">
        <f t="shared" si="12"/>
        <v>1.1419999999999999</v>
      </c>
      <c r="P105" s="84">
        <f t="shared" si="13"/>
        <v>323704.70235916355</v>
      </c>
      <c r="Q105" s="87">
        <f t="shared" si="14"/>
        <v>3407.4179195701427</v>
      </c>
      <c r="S105" s="84">
        <v>307355.23423382273</v>
      </c>
      <c r="T105" s="87">
        <v>3235.3182550928709</v>
      </c>
      <c r="V105" s="90">
        <f t="shared" si="15"/>
        <v>5.3194044884567804E-2</v>
      </c>
      <c r="X105" s="48"/>
      <c r="Y105" s="48"/>
      <c r="Z105" s="66"/>
    </row>
    <row r="106" spans="2:26" ht="13.5" thickBot="1" x14ac:dyDescent="0.3">
      <c r="B106" s="105">
        <v>163</v>
      </c>
      <c r="C106" s="106" t="s">
        <v>175</v>
      </c>
      <c r="D106" s="98"/>
      <c r="E106" s="107">
        <v>67</v>
      </c>
      <c r="F106" s="100">
        <v>1</v>
      </c>
      <c r="G106" s="39">
        <v>1</v>
      </c>
      <c r="H106" s="40">
        <f t="shared" si="11"/>
        <v>67</v>
      </c>
      <c r="I106" s="41">
        <v>0</v>
      </c>
      <c r="J106" s="41">
        <v>1</v>
      </c>
      <c r="K106" s="41">
        <v>0</v>
      </c>
      <c r="L106" s="85">
        <f t="shared" si="16"/>
        <v>67</v>
      </c>
      <c r="N106" s="86">
        <f t="shared" si="12"/>
        <v>0.8054</v>
      </c>
      <c r="P106" s="84">
        <f t="shared" si="13"/>
        <v>228294.0168827236</v>
      </c>
      <c r="Q106" s="87">
        <f t="shared" si="14"/>
        <v>3407.3733863093075</v>
      </c>
      <c r="S106" s="84">
        <v>216756.69007217273</v>
      </c>
      <c r="T106" s="87">
        <v>3235.1744786891454</v>
      </c>
      <c r="V106" s="90">
        <f t="shared" si="15"/>
        <v>5.3227085201888569E-2</v>
      </c>
      <c r="X106" s="48"/>
      <c r="Y106" s="48"/>
      <c r="Z106" s="66"/>
    </row>
    <row r="107" spans="2:26" ht="13.5" thickBot="1" x14ac:dyDescent="0.3">
      <c r="B107" s="105">
        <v>164</v>
      </c>
      <c r="C107" s="106" t="s">
        <v>228</v>
      </c>
      <c r="D107" s="98"/>
      <c r="E107" s="107">
        <v>70</v>
      </c>
      <c r="F107" s="100">
        <v>1</v>
      </c>
      <c r="G107" s="39">
        <v>1</v>
      </c>
      <c r="H107" s="40">
        <f t="shared" si="11"/>
        <v>70</v>
      </c>
      <c r="I107" s="41">
        <v>0</v>
      </c>
      <c r="J107" s="41">
        <v>1</v>
      </c>
      <c r="K107" s="41">
        <v>0</v>
      </c>
      <c r="L107" s="85">
        <f t="shared" si="16"/>
        <v>70</v>
      </c>
      <c r="N107" s="86">
        <f t="shared" si="12"/>
        <v>0.84150000000000003</v>
      </c>
      <c r="P107" s="84">
        <f t="shared" si="13"/>
        <v>238526.71369109995</v>
      </c>
      <c r="Q107" s="87">
        <f t="shared" si="14"/>
        <v>3407.5244813014278</v>
      </c>
      <c r="S107" s="84">
        <v>226483.2870211291</v>
      </c>
      <c r="T107" s="87">
        <v>3235.4755288732727</v>
      </c>
      <c r="V107" s="90">
        <f t="shared" si="15"/>
        <v>5.3175785411694765E-2</v>
      </c>
      <c r="X107" s="48"/>
      <c r="Y107" s="48"/>
      <c r="Z107" s="66"/>
    </row>
    <row r="108" spans="2:26" ht="13.5" thickBot="1" x14ac:dyDescent="0.3">
      <c r="B108" s="105">
        <v>165</v>
      </c>
      <c r="C108" s="106" t="s">
        <v>67</v>
      </c>
      <c r="D108" s="98"/>
      <c r="E108" s="107">
        <v>80</v>
      </c>
      <c r="F108" s="100">
        <v>1</v>
      </c>
      <c r="G108" s="39">
        <v>1</v>
      </c>
      <c r="H108" s="40">
        <f t="shared" si="11"/>
        <v>80</v>
      </c>
      <c r="I108" s="41">
        <v>0</v>
      </c>
      <c r="J108" s="41">
        <v>1</v>
      </c>
      <c r="K108" s="41">
        <v>0</v>
      </c>
      <c r="L108" s="85">
        <f t="shared" si="16"/>
        <v>80</v>
      </c>
      <c r="N108" s="86">
        <f t="shared" si="12"/>
        <v>0.9617</v>
      </c>
      <c r="P108" s="84">
        <f t="shared" si="13"/>
        <v>272597.9091583254</v>
      </c>
      <c r="Q108" s="87">
        <f t="shared" si="14"/>
        <v>3407.4738644790677</v>
      </c>
      <c r="S108" s="84">
        <v>258826.83655300818</v>
      </c>
      <c r="T108" s="87">
        <v>3235.3354569126022</v>
      </c>
      <c r="V108" s="90">
        <f t="shared" si="15"/>
        <v>5.3205737043024559E-2</v>
      </c>
      <c r="X108" s="48"/>
      <c r="Y108" s="48"/>
      <c r="Z108" s="66"/>
    </row>
    <row r="109" spans="2:26" ht="13.5" thickBot="1" x14ac:dyDescent="0.3">
      <c r="B109" s="108">
        <v>166</v>
      </c>
      <c r="C109" s="109" t="s">
        <v>117</v>
      </c>
      <c r="D109" s="94"/>
      <c r="E109" s="110">
        <v>300</v>
      </c>
      <c r="F109" s="111">
        <v>0.75</v>
      </c>
      <c r="G109" s="39">
        <v>1</v>
      </c>
      <c r="H109" s="40">
        <f t="shared" si="11"/>
        <v>225</v>
      </c>
      <c r="I109" s="41">
        <v>0</v>
      </c>
      <c r="J109" s="41">
        <v>1</v>
      </c>
      <c r="K109" s="41">
        <v>0</v>
      </c>
      <c r="L109" s="85">
        <f t="shared" si="16"/>
        <v>225</v>
      </c>
      <c r="N109" s="86">
        <f t="shared" si="12"/>
        <v>2.7046999999999999</v>
      </c>
      <c r="P109" s="84">
        <f t="shared" si="13"/>
        <v>766658.58885361615</v>
      </c>
      <c r="Q109" s="87">
        <f t="shared" si="14"/>
        <v>2555.5286295120536</v>
      </c>
      <c r="S109" s="84">
        <v>727952.11197821004</v>
      </c>
      <c r="T109" s="87">
        <v>2426.5070399273668</v>
      </c>
      <c r="V109" s="90">
        <f t="shared" si="15"/>
        <v>5.3171735116230634E-2</v>
      </c>
      <c r="X109" s="48"/>
      <c r="Y109" s="48"/>
      <c r="Z109" s="66"/>
    </row>
    <row r="110" spans="2:26" ht="13.5" thickBot="1" x14ac:dyDescent="0.3">
      <c r="B110" s="105">
        <v>166</v>
      </c>
      <c r="C110" s="106" t="s">
        <v>118</v>
      </c>
      <c r="D110" s="98"/>
      <c r="E110" s="107">
        <v>92</v>
      </c>
      <c r="F110" s="100">
        <v>1</v>
      </c>
      <c r="G110" s="39">
        <v>1</v>
      </c>
      <c r="H110" s="40">
        <f t="shared" si="11"/>
        <v>92</v>
      </c>
      <c r="I110" s="41">
        <v>0</v>
      </c>
      <c r="J110" s="41">
        <v>1</v>
      </c>
      <c r="K110" s="41">
        <v>0</v>
      </c>
      <c r="L110" s="85">
        <f t="shared" si="16"/>
        <v>92</v>
      </c>
      <c r="N110" s="86">
        <f t="shared" si="12"/>
        <v>1.1059000000000001</v>
      </c>
      <c r="P110" s="84">
        <f t="shared" si="13"/>
        <v>313472.0055507872</v>
      </c>
      <c r="Q110" s="87">
        <f t="shared" si="14"/>
        <v>3407.3044081607304</v>
      </c>
      <c r="S110" s="84">
        <v>297654.78405085823</v>
      </c>
      <c r="T110" s="87">
        <v>3235.3780875093285</v>
      </c>
      <c r="V110" s="90">
        <f t="shared" si="15"/>
        <v>5.3139483547579802E-2</v>
      </c>
      <c r="X110" s="48"/>
      <c r="Y110" s="48"/>
    </row>
    <row r="111" spans="2:26" ht="13.5" thickBot="1" x14ac:dyDescent="0.3">
      <c r="B111" s="144">
        <v>307</v>
      </c>
      <c r="C111" s="145" t="s">
        <v>176</v>
      </c>
      <c r="D111" s="98"/>
      <c r="E111" s="147">
        <v>128.19999999999999</v>
      </c>
      <c r="F111" s="148">
        <v>1</v>
      </c>
      <c r="G111" s="156">
        <v>1</v>
      </c>
      <c r="H111" s="157">
        <f t="shared" si="11"/>
        <v>128.19999999999999</v>
      </c>
      <c r="I111" s="158">
        <v>0</v>
      </c>
      <c r="J111" s="158">
        <v>1</v>
      </c>
      <c r="K111" s="158">
        <v>0</v>
      </c>
      <c r="L111" s="159">
        <f t="shared" si="16"/>
        <v>128.19999999999999</v>
      </c>
      <c r="N111" s="182">
        <f t="shared" si="12"/>
        <v>1.5410999999999999</v>
      </c>
      <c r="P111" s="146">
        <f t="shared" si="13"/>
        <v>436831.27566173987</v>
      </c>
      <c r="Q111" s="89">
        <f t="shared" si="14"/>
        <v>3407.4202469714501</v>
      </c>
      <c r="S111" s="146">
        <v>414766.148928212</v>
      </c>
      <c r="T111" s="89">
        <v>3235.3053738550066</v>
      </c>
      <c r="V111" s="90">
        <f t="shared" si="15"/>
        <v>5.3198957510264266E-2</v>
      </c>
      <c r="X111" s="48"/>
      <c r="Y111" s="48"/>
    </row>
    <row r="112" spans="2:26" ht="13.5" thickBot="1" x14ac:dyDescent="0.3">
      <c r="B112" s="144">
        <v>26</v>
      </c>
      <c r="C112" s="145" t="s">
        <v>233</v>
      </c>
      <c r="D112" s="98"/>
      <c r="E112" s="147">
        <v>51</v>
      </c>
      <c r="F112" s="148">
        <v>1</v>
      </c>
      <c r="G112" s="156">
        <v>1</v>
      </c>
      <c r="H112" s="157">
        <f>ROUND(E112*G112*F112,2)</f>
        <v>51</v>
      </c>
      <c r="I112" s="158">
        <v>0</v>
      </c>
      <c r="J112" s="158">
        <v>1</v>
      </c>
      <c r="K112" s="158">
        <v>0</v>
      </c>
      <c r="L112" s="159">
        <f>H112+K112</f>
        <v>51</v>
      </c>
      <c r="N112" s="182">
        <f>ROUND((L112/$L$115)*100,4)</f>
        <v>0.61309999999999998</v>
      </c>
      <c r="P112" s="146">
        <f>($P$12*N112)/100</f>
        <v>173785.77321926726</v>
      </c>
      <c r="Q112" s="89">
        <f t="shared" si="14"/>
        <v>3407.5641807699462</v>
      </c>
      <c r="R112" s="146">
        <f>($P$12*P112)/100</f>
        <v>49260308226.094582</v>
      </c>
      <c r="S112" s="146">
        <v>414766.148928212</v>
      </c>
      <c r="T112" s="89">
        <v>3235.3053738550066</v>
      </c>
      <c r="U112" s="146">
        <f>($P$12*S112)/100</f>
        <v>117567209095.85234</v>
      </c>
      <c r="V112" s="90">
        <f t="shared" si="15"/>
        <v>-0.58100299730741478</v>
      </c>
      <c r="X112" s="48"/>
      <c r="Y112" s="48"/>
    </row>
    <row r="113" spans="2:26" ht="13.5" thickBot="1" x14ac:dyDescent="0.3">
      <c r="B113" s="112">
        <v>402</v>
      </c>
      <c r="C113" s="113" t="s">
        <v>226</v>
      </c>
      <c r="D113" s="94"/>
      <c r="E113" s="136">
        <v>292</v>
      </c>
      <c r="F113" s="114">
        <v>0.51400000000000001</v>
      </c>
      <c r="G113" s="156">
        <v>1</v>
      </c>
      <c r="H113" s="157">
        <f t="shared" si="11"/>
        <v>150.09</v>
      </c>
      <c r="I113" s="158">
        <v>0</v>
      </c>
      <c r="J113" s="158">
        <v>1</v>
      </c>
      <c r="K113" s="158">
        <v>0</v>
      </c>
      <c r="L113" s="159">
        <f t="shared" si="16"/>
        <v>150.09</v>
      </c>
      <c r="N113" s="182">
        <f t="shared" si="12"/>
        <v>1.8042</v>
      </c>
      <c r="P113" s="146">
        <f t="shared" si="13"/>
        <v>511408.07705464354</v>
      </c>
      <c r="Q113" s="89">
        <f t="shared" si="14"/>
        <v>1751.3975241597382</v>
      </c>
      <c r="S113" s="146">
        <v>485597.73800004728</v>
      </c>
      <c r="T113" s="89">
        <v>1663.0059520549564</v>
      </c>
      <c r="V113" s="90">
        <f t="shared" si="15"/>
        <v>5.3151687157557914E-2</v>
      </c>
      <c r="X113" s="48"/>
      <c r="Y113" s="48"/>
    </row>
    <row r="114" spans="2:26" ht="13.5" thickBot="1" x14ac:dyDescent="0.3">
      <c r="I114" s="3"/>
      <c r="S114" s="137"/>
      <c r="T114" s="137"/>
    </row>
    <row r="115" spans="2:26" ht="13.5" thickBot="1" x14ac:dyDescent="0.3">
      <c r="B115" s="50" t="s">
        <v>119</v>
      </c>
      <c r="C115" s="51"/>
      <c r="E115" s="52">
        <f>SUM(E14:E89)+SUM(E91:E113)</f>
        <v>11856.204999999998</v>
      </c>
      <c r="F115" s="35"/>
      <c r="G115" s="53"/>
      <c r="H115" s="35"/>
      <c r="I115" s="35"/>
      <c r="J115" s="35"/>
      <c r="K115" s="35"/>
      <c r="L115" s="54">
        <f>SUM(L14:L89)+SUM(L91:L113)</f>
        <v>8318.7000000000007</v>
      </c>
      <c r="N115" s="183">
        <f>SUM(N14:N89)+SUM(N91:N113)</f>
        <v>99.999800000000036</v>
      </c>
      <c r="P115" s="55">
        <f>SUM(P14:P89)+SUM(P91:P113)</f>
        <v>28345363.830977127</v>
      </c>
      <c r="Q115" s="56"/>
      <c r="S115" s="55">
        <v>22011445.05849319</v>
      </c>
      <c r="T115" s="56"/>
      <c r="X115" s="57">
        <f>SUM(X14:X89)</f>
        <v>1166659.7300000002</v>
      </c>
      <c r="Y115" s="58">
        <f>SUM(Y14:Y89)</f>
        <v>20519684.530309524</v>
      </c>
    </row>
    <row r="116" spans="2:26" x14ac:dyDescent="0.25">
      <c r="E116" s="204"/>
      <c r="F116" s="204"/>
      <c r="G116" s="59"/>
      <c r="H116" s="17"/>
      <c r="I116" s="60"/>
      <c r="J116" s="61"/>
      <c r="S116" s="4"/>
      <c r="T116" s="4"/>
    </row>
    <row r="117" spans="2:26" x14ac:dyDescent="0.25">
      <c r="E117" s="143"/>
      <c r="I117" s="3"/>
      <c r="Q117" s="62"/>
      <c r="R117" s="62"/>
      <c r="S117" s="138"/>
      <c r="T117" s="48"/>
      <c r="U117" s="62"/>
      <c r="V117" s="62"/>
      <c r="W117" s="62"/>
      <c r="Y117" s="17"/>
    </row>
    <row r="118" spans="2:26" x14ac:dyDescent="0.25">
      <c r="E118" s="165"/>
      <c r="H118" s="17"/>
      <c r="I118" s="17"/>
      <c r="P118" s="4" t="s">
        <v>120</v>
      </c>
      <c r="Q118" s="4">
        <f>SUM(L14:L89)</f>
        <v>6475.2200000000012</v>
      </c>
      <c r="Y118" s="17"/>
      <c r="Z118" s="17"/>
    </row>
    <row r="119" spans="2:26" x14ac:dyDescent="0.25">
      <c r="E119" s="165"/>
      <c r="P119" s="4" t="s">
        <v>121</v>
      </c>
      <c r="Q119" s="4">
        <f>SUM(L91:L113)</f>
        <v>1843.48</v>
      </c>
    </row>
    <row r="120" spans="2:26" x14ac:dyDescent="0.25">
      <c r="E120" s="165"/>
      <c r="P120" s="63" t="s">
        <v>122</v>
      </c>
      <c r="Q120" s="63">
        <f>Q118+Q119</f>
        <v>8318.7000000000007</v>
      </c>
      <c r="S120" s="64">
        <f>(Q120/Q118)-1</f>
        <v>0.28469766278211384</v>
      </c>
    </row>
    <row r="121" spans="2:26" x14ac:dyDescent="0.25">
      <c r="C121" s="205"/>
      <c r="D121" s="205"/>
      <c r="E121" s="205"/>
      <c r="F121" s="17"/>
    </row>
    <row r="122" spans="2:26" x14ac:dyDescent="0.25">
      <c r="E122" s="165"/>
    </row>
    <row r="123" spans="2:26" x14ac:dyDescent="0.25">
      <c r="C123" s="192"/>
      <c r="D123" s="192"/>
      <c r="E123" s="192"/>
    </row>
    <row r="124" spans="2:26" x14ac:dyDescent="0.25">
      <c r="E124" s="165"/>
      <c r="I124" s="65"/>
    </row>
    <row r="125" spans="2:26" x14ac:dyDescent="0.25">
      <c r="C125" s="192"/>
      <c r="D125" s="192"/>
      <c r="E125" s="192"/>
      <c r="F125" s="17"/>
      <c r="T125" s="23"/>
    </row>
    <row r="126" spans="2:26" x14ac:dyDescent="0.25">
      <c r="B126" s="1" t="s">
        <v>202</v>
      </c>
      <c r="E126" s="165"/>
      <c r="I126" s="65"/>
    </row>
    <row r="127" spans="2:26" x14ac:dyDescent="0.25">
      <c r="C127" s="192"/>
      <c r="D127" s="192"/>
      <c r="E127" s="192"/>
      <c r="F127" s="3"/>
    </row>
    <row r="129" spans="2:28" x14ac:dyDescent="0.25">
      <c r="F129" s="17"/>
    </row>
    <row r="132" spans="2:28" s="2" customFormat="1" x14ac:dyDescent="0.25">
      <c r="B132" s="1"/>
      <c r="C132" s="3"/>
      <c r="D132" s="1"/>
      <c r="E132" s="61"/>
      <c r="F132" s="1"/>
      <c r="H132" s="1"/>
      <c r="I132" s="1"/>
      <c r="J132" s="1"/>
      <c r="K132" s="1"/>
      <c r="L132" s="1"/>
      <c r="M132" s="1"/>
      <c r="N132" s="1"/>
      <c r="O132" s="1"/>
      <c r="P132" s="4"/>
      <c r="Q132" s="4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s="2" customFormat="1" x14ac:dyDescent="0.25">
      <c r="B133" s="1"/>
      <c r="C133" s="1"/>
      <c r="D133" s="1"/>
      <c r="E133" s="1"/>
      <c r="F133" s="20"/>
      <c r="H133" s="1"/>
      <c r="I133" s="1"/>
      <c r="J133" s="1"/>
      <c r="K133" s="1"/>
      <c r="L133" s="1"/>
      <c r="M133" s="1"/>
      <c r="N133" s="1"/>
      <c r="O133" s="1"/>
      <c r="P133" s="4"/>
      <c r="Q133" s="4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s="2" customFormat="1" x14ac:dyDescent="0.25">
      <c r="B134" s="1"/>
      <c r="C134" s="20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4"/>
      <c r="Q134" s="4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s="2" customFormat="1" x14ac:dyDescent="0.25">
      <c r="B135" s="1"/>
      <c r="C135" s="66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4"/>
      <c r="Q135" s="4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</row>
  </sheetData>
  <mergeCells count="8">
    <mergeCell ref="C125:E125"/>
    <mergeCell ref="C127:E127"/>
    <mergeCell ref="B2:M6"/>
    <mergeCell ref="S12:T12"/>
    <mergeCell ref="X12:Y12"/>
    <mergeCell ref="E116:F116"/>
    <mergeCell ref="C121:E121"/>
    <mergeCell ref="C123:E12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E92B-2A81-46FD-B0EA-83B7B5906B15}">
  <sheetPr>
    <tabColor theme="4" tint="0.39997558519241921"/>
  </sheetPr>
  <dimension ref="A1:AB135"/>
  <sheetViews>
    <sheetView topLeftCell="J3" zoomScale="94" zoomScaleNormal="116" workbookViewId="0">
      <selection activeCell="T10" sqref="T10"/>
    </sheetView>
  </sheetViews>
  <sheetFormatPr baseColWidth="10" defaultColWidth="10.81640625" defaultRowHeight="13" x14ac:dyDescent="0.25"/>
  <cols>
    <col min="1" max="1" width="4.453125" style="1" customWidth="1"/>
    <col min="2" max="2" width="19.54296875" style="1" customWidth="1"/>
    <col min="3" max="3" width="29.453125" style="1" customWidth="1"/>
    <col min="4" max="4" width="1.453125" style="1" customWidth="1"/>
    <col min="5" max="5" width="11.453125" style="1" customWidth="1"/>
    <col min="6" max="6" width="14.453125" style="1" customWidth="1"/>
    <col min="7" max="7" width="13.81640625" style="2" customWidth="1"/>
    <col min="8" max="8" width="13.453125" style="1" customWidth="1"/>
    <col min="9" max="9" width="12.453125" style="1" customWidth="1"/>
    <col min="10" max="11" width="11.453125" style="1" customWidth="1"/>
    <col min="12" max="12" width="8.26953125" style="1" customWidth="1"/>
    <col min="13" max="13" width="0.1796875" style="1" customWidth="1"/>
    <col min="14" max="14" width="19.453125" style="1" customWidth="1"/>
    <col min="15" max="15" width="0.1796875" style="1" customWidth="1"/>
    <col min="16" max="16" width="22.7265625" style="4" customWidth="1"/>
    <col min="17" max="17" width="15" style="4" customWidth="1"/>
    <col min="18" max="18" width="1.7265625" style="1" customWidth="1"/>
    <col min="19" max="19" width="17.26953125" style="5" bestFit="1" customWidth="1"/>
    <col min="20" max="20" width="17.54296875" style="1" customWidth="1"/>
    <col min="21" max="21" width="1.7265625" style="1" customWidth="1"/>
    <col min="22" max="22" width="13.1796875" style="1" customWidth="1"/>
    <col min="23" max="23" width="1.7265625" style="1" customWidth="1"/>
    <col min="24" max="24" width="14.453125" style="1" bestFit="1" customWidth="1"/>
    <col min="25" max="25" width="15.81640625" style="1" customWidth="1"/>
    <col min="26" max="26" width="14.26953125" style="1" customWidth="1"/>
    <col min="27" max="27" width="11.81640625" style="1" bestFit="1" customWidth="1"/>
    <col min="28" max="28" width="15.7265625" style="1" customWidth="1"/>
    <col min="29" max="16384" width="10.81640625" style="1"/>
  </cols>
  <sheetData>
    <row r="1" spans="2:28" ht="13.5" thickBot="1" x14ac:dyDescent="0.3">
      <c r="I1" s="3"/>
    </row>
    <row r="2" spans="2:28" ht="13.5" thickBot="1" x14ac:dyDescent="0.3">
      <c r="B2" s="193" t="s">
        <v>232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P2" s="6" t="s">
        <v>0</v>
      </c>
      <c r="Q2" s="7">
        <f>T10</f>
        <v>35463389.831818178</v>
      </c>
      <c r="R2" s="8"/>
      <c r="S2" s="9" t="s">
        <v>1</v>
      </c>
      <c r="T2" s="10">
        <f>519334.36+137332.91+33332.73</f>
        <v>690000</v>
      </c>
      <c r="U2" s="8"/>
      <c r="W2" s="8"/>
    </row>
    <row r="3" spans="2:28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8"/>
      <c r="O3" s="11" t="s">
        <v>2</v>
      </c>
      <c r="P3" s="12"/>
      <c r="Q3" s="13"/>
      <c r="S3" s="9" t="s">
        <v>3</v>
      </c>
      <c r="T3" s="10"/>
    </row>
    <row r="4" spans="2:28" x14ac:dyDescent="0.25"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8"/>
      <c r="O4" s="14" t="s">
        <v>4</v>
      </c>
      <c r="P4" s="15"/>
      <c r="Q4" s="16"/>
      <c r="S4" s="9" t="s">
        <v>5</v>
      </c>
      <c r="T4" s="17">
        <v>119150</v>
      </c>
    </row>
    <row r="5" spans="2:28" ht="14.5" x14ac:dyDescent="0.35">
      <c r="B5" s="196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8"/>
      <c r="O5" s="14" t="s">
        <v>6</v>
      </c>
      <c r="P5" s="18" t="s">
        <v>7</v>
      </c>
      <c r="Q5" s="19">
        <f>819346.66+274073.23</f>
        <v>1093419.8900000001</v>
      </c>
      <c r="S5" s="9" t="s">
        <v>8</v>
      </c>
      <c r="T5" s="17">
        <v>27642</v>
      </c>
      <c r="V5" s="20"/>
      <c r="Y5" s="21"/>
    </row>
    <row r="6" spans="2:28" ht="15" thickBot="1" x14ac:dyDescent="0.4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O6" s="14" t="s">
        <v>9</v>
      </c>
      <c r="P6" s="18" t="s">
        <v>220</v>
      </c>
      <c r="Q6" s="16">
        <v>4005806.21</v>
      </c>
      <c r="S6" s="9" t="s">
        <v>10</v>
      </c>
      <c r="T6" s="77">
        <v>3603000.02</v>
      </c>
      <c r="V6" s="22"/>
      <c r="Y6" s="149"/>
      <c r="AB6" s="22"/>
    </row>
    <row r="7" spans="2:28" ht="13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0"/>
      <c r="O7" s="14" t="s">
        <v>11</v>
      </c>
      <c r="P7" s="25" t="s">
        <v>12</v>
      </c>
      <c r="Q7" s="19">
        <v>208849.15</v>
      </c>
      <c r="S7" s="9" t="s">
        <v>13</v>
      </c>
      <c r="T7" s="17">
        <f>Premisas!D11</f>
        <v>1043597.8118181818</v>
      </c>
      <c r="V7" s="20"/>
      <c r="Y7" s="149"/>
    </row>
    <row r="8" spans="2:28" ht="13" customHeight="1" x14ac:dyDescent="0.25">
      <c r="B8" s="26" t="s">
        <v>14</v>
      </c>
      <c r="C8" s="102"/>
      <c r="D8" s="24"/>
      <c r="E8" s="24"/>
      <c r="F8" s="24"/>
      <c r="G8" s="24"/>
      <c r="H8" s="24"/>
      <c r="I8" s="24"/>
      <c r="J8" s="24"/>
      <c r="K8" s="24"/>
      <c r="L8" s="24"/>
      <c r="M8" s="24"/>
      <c r="O8" s="14" t="s">
        <v>15</v>
      </c>
      <c r="P8" s="18" t="s">
        <v>181</v>
      </c>
      <c r="Q8" s="16">
        <v>382299.46</v>
      </c>
      <c r="S8" s="9" t="s">
        <v>16</v>
      </c>
      <c r="T8" s="17">
        <v>600000</v>
      </c>
    </row>
    <row r="9" spans="2:28" ht="13" customHeight="1" thickBot="1" x14ac:dyDescent="0.3">
      <c r="B9" s="26" t="s">
        <v>17</v>
      </c>
      <c r="C9" s="95"/>
      <c r="D9" s="24"/>
      <c r="E9" s="24"/>
      <c r="F9" s="24"/>
      <c r="G9" s="24"/>
      <c r="H9" s="24"/>
      <c r="I9" s="24"/>
      <c r="J9" s="24"/>
      <c r="K9" s="24"/>
      <c r="L9" s="24"/>
      <c r="M9" s="24"/>
      <c r="O9" s="27" t="s">
        <v>18</v>
      </c>
      <c r="P9" s="28"/>
      <c r="Q9" s="29">
        <v>0</v>
      </c>
      <c r="S9" s="9"/>
      <c r="T9" s="30">
        <v>29380000</v>
      </c>
      <c r="V9" s="31"/>
      <c r="W9" s="32"/>
      <c r="X9" s="150"/>
    </row>
    <row r="10" spans="2:28" ht="13.5" thickBot="1" x14ac:dyDescent="0.3">
      <c r="B10" s="26" t="s">
        <v>19</v>
      </c>
      <c r="C10" s="80"/>
      <c r="I10" s="3"/>
      <c r="P10" s="6" t="s">
        <v>20</v>
      </c>
      <c r="Q10" s="34">
        <f>Q2-Q3-Q4-Q5-Q6-Q7-Q8-Q9</f>
        <v>29773015.121818177</v>
      </c>
      <c r="S10" s="5" t="s">
        <v>21</v>
      </c>
      <c r="T10" s="17">
        <f>SUM(T2:T9)</f>
        <v>35463389.831818178</v>
      </c>
      <c r="V10" s="138"/>
      <c r="W10" s="32"/>
      <c r="X10" s="33"/>
      <c r="Z10" s="138"/>
    </row>
    <row r="11" spans="2:28" ht="13.5" thickBot="1" x14ac:dyDescent="0.3">
      <c r="I11" s="3"/>
    </row>
    <row r="12" spans="2:28" ht="26.5" thickBot="1" x14ac:dyDescent="0.3">
      <c r="B12" s="119" t="s">
        <v>22</v>
      </c>
      <c r="C12" s="120" t="s">
        <v>23</v>
      </c>
      <c r="E12" s="119" t="s">
        <v>24</v>
      </c>
      <c r="F12" s="121" t="s">
        <v>25</v>
      </c>
      <c r="G12" s="122" t="s">
        <v>26</v>
      </c>
      <c r="H12" s="123" t="s">
        <v>27</v>
      </c>
      <c r="I12" s="124" t="s">
        <v>28</v>
      </c>
      <c r="J12" s="121" t="s">
        <v>29</v>
      </c>
      <c r="K12" s="121" t="s">
        <v>30</v>
      </c>
      <c r="L12" s="120" t="s">
        <v>31</v>
      </c>
      <c r="M12" s="125"/>
      <c r="N12" s="180" t="s">
        <v>32</v>
      </c>
      <c r="O12" s="125"/>
      <c r="P12" s="126">
        <f>+Q10</f>
        <v>29773015.121818177</v>
      </c>
      <c r="Q12" s="127" t="s">
        <v>33</v>
      </c>
      <c r="S12" s="202" t="s">
        <v>238</v>
      </c>
      <c r="T12" s="203"/>
      <c r="V12" s="128" t="s">
        <v>34</v>
      </c>
      <c r="X12" s="202" t="s">
        <v>35</v>
      </c>
      <c r="Y12" s="203"/>
    </row>
    <row r="13" spans="2:28" ht="7" customHeight="1" thickBot="1" x14ac:dyDescent="0.3">
      <c r="I13" s="3"/>
      <c r="X13" s="5"/>
    </row>
    <row r="14" spans="2:28" x14ac:dyDescent="0.25">
      <c r="B14" s="160" t="s">
        <v>36</v>
      </c>
      <c r="C14" s="161" t="s">
        <v>198</v>
      </c>
      <c r="D14" s="94"/>
      <c r="E14" s="162">
        <v>211</v>
      </c>
      <c r="F14" s="163">
        <v>0.9</v>
      </c>
      <c r="G14" s="37">
        <v>1</v>
      </c>
      <c r="H14" s="38">
        <f t="shared" ref="H14:H85" si="0">ROUND(E14*G14*F14,2)</f>
        <v>189.9</v>
      </c>
      <c r="I14" s="36">
        <v>0</v>
      </c>
      <c r="J14" s="36">
        <v>1</v>
      </c>
      <c r="K14" s="36">
        <f t="shared" ref="K14:K84" si="1">ROUND(I14*J14,2)</f>
        <v>0</v>
      </c>
      <c r="L14" s="153">
        <f t="shared" ref="L14:L84" si="2">H14+K14</f>
        <v>189.9</v>
      </c>
      <c r="N14" s="181">
        <f t="shared" ref="N14:N77" si="3">ROUND((L14/$L$115)*100,4)</f>
        <v>2.2827999999999999</v>
      </c>
      <c r="P14" s="152">
        <f t="shared" ref="P14:P85" si="4">($P$12*N14)/100</f>
        <v>679658.38920086529</v>
      </c>
      <c r="Q14" s="154">
        <f t="shared" ref="Q14:Q85" si="5">P14/E14</f>
        <v>3221.1298066391719</v>
      </c>
      <c r="R14" s="2"/>
      <c r="S14" s="152">
        <v>647069.25967206527</v>
      </c>
      <c r="T14" s="154">
        <v>3066.6789557917787</v>
      </c>
      <c r="U14" s="2"/>
      <c r="V14" s="155">
        <f t="shared" ref="V14:V78" si="6">(P14/S14)-1</f>
        <v>5.0364206059357874E-2</v>
      </c>
      <c r="W14" s="2"/>
      <c r="X14" s="152">
        <v>43179.58</v>
      </c>
      <c r="Y14" s="154">
        <f t="shared" ref="Y14:Y48" si="7">+P14-X14</f>
        <v>636478.80920086533</v>
      </c>
      <c r="Z14" s="4"/>
    </row>
    <row r="15" spans="2:28" x14ac:dyDescent="0.25">
      <c r="B15" s="96" t="s">
        <v>37</v>
      </c>
      <c r="C15" s="97" t="s">
        <v>38</v>
      </c>
      <c r="D15" s="98"/>
      <c r="E15" s="99">
        <f>140.4+64.1</f>
        <v>204.5</v>
      </c>
      <c r="F15" s="100">
        <v>1</v>
      </c>
      <c r="G15" s="39">
        <v>1</v>
      </c>
      <c r="H15" s="40">
        <f t="shared" si="0"/>
        <v>204.5</v>
      </c>
      <c r="I15" s="41">
        <v>0</v>
      </c>
      <c r="J15" s="41">
        <v>1</v>
      </c>
      <c r="K15" s="41">
        <f t="shared" si="1"/>
        <v>0</v>
      </c>
      <c r="L15" s="85">
        <f t="shared" si="2"/>
        <v>204.5</v>
      </c>
      <c r="N15" s="86">
        <f t="shared" si="3"/>
        <v>2.4582999999999999</v>
      </c>
      <c r="P15" s="84">
        <f t="shared" si="4"/>
        <v>731910.03073965618</v>
      </c>
      <c r="Q15" s="91">
        <f t="shared" si="5"/>
        <v>3579.0221552061425</v>
      </c>
      <c r="S15" s="84">
        <v>696815.47268785629</v>
      </c>
      <c r="T15" s="91">
        <v>3407.4106243904953</v>
      </c>
      <c r="V15" s="88">
        <f t="shared" si="6"/>
        <v>5.0364206059357652E-2</v>
      </c>
      <c r="X15" s="84">
        <v>26671.86</v>
      </c>
      <c r="Y15" s="87">
        <f t="shared" si="7"/>
        <v>705238.1707396562</v>
      </c>
      <c r="Z15" s="4"/>
    </row>
    <row r="16" spans="2:28" x14ac:dyDescent="0.25">
      <c r="B16" s="96" t="s">
        <v>39</v>
      </c>
      <c r="C16" s="97" t="s">
        <v>40</v>
      </c>
      <c r="D16" s="98"/>
      <c r="E16" s="99">
        <v>81.3</v>
      </c>
      <c r="F16" s="100">
        <v>1</v>
      </c>
      <c r="G16" s="39">
        <v>1</v>
      </c>
      <c r="H16" s="40">
        <f t="shared" si="0"/>
        <v>81.3</v>
      </c>
      <c r="I16" s="41">
        <v>0</v>
      </c>
      <c r="J16" s="41">
        <v>1</v>
      </c>
      <c r="K16" s="41">
        <f t="shared" si="1"/>
        <v>0</v>
      </c>
      <c r="L16" s="85">
        <f t="shared" si="2"/>
        <v>81.3</v>
      </c>
      <c r="N16" s="86">
        <f t="shared" si="3"/>
        <v>0.97729999999999995</v>
      </c>
      <c r="P16" s="84">
        <f t="shared" si="4"/>
        <v>290971.67678552901</v>
      </c>
      <c r="Q16" s="91">
        <f t="shared" si="5"/>
        <v>3578.9874143361503</v>
      </c>
      <c r="S16" s="84">
        <v>277019.794759729</v>
      </c>
      <c r="T16" s="91">
        <v>3407.3775493201601</v>
      </c>
      <c r="V16" s="88">
        <f t="shared" si="6"/>
        <v>5.0364206059357874E-2</v>
      </c>
      <c r="X16" s="84">
        <v>15444.87</v>
      </c>
      <c r="Y16" s="87">
        <f t="shared" si="7"/>
        <v>275526.80678552901</v>
      </c>
      <c r="Z16" s="4"/>
    </row>
    <row r="17" spans="1:26" x14ac:dyDescent="0.25">
      <c r="B17" s="96" t="s">
        <v>41</v>
      </c>
      <c r="C17" s="97" t="s">
        <v>42</v>
      </c>
      <c r="D17" s="98"/>
      <c r="E17" s="99">
        <v>56.6</v>
      </c>
      <c r="F17" s="100">
        <v>1</v>
      </c>
      <c r="G17" s="39">
        <v>1</v>
      </c>
      <c r="H17" s="40">
        <f t="shared" si="0"/>
        <v>56.6</v>
      </c>
      <c r="I17" s="41">
        <v>0</v>
      </c>
      <c r="J17" s="41">
        <v>1</v>
      </c>
      <c r="K17" s="41">
        <f t="shared" si="1"/>
        <v>0</v>
      </c>
      <c r="L17" s="85">
        <f t="shared" si="2"/>
        <v>56.6</v>
      </c>
      <c r="N17" s="86">
        <f t="shared" si="3"/>
        <v>0.6804</v>
      </c>
      <c r="P17" s="84">
        <f t="shared" si="4"/>
        <v>202575.5948888509</v>
      </c>
      <c r="Q17" s="91">
        <f t="shared" si="5"/>
        <v>3579.0741146440087</v>
      </c>
      <c r="S17" s="84">
        <v>192862.24123045086</v>
      </c>
      <c r="T17" s="91">
        <v>3407.4600924107926</v>
      </c>
      <c r="V17" s="88">
        <f t="shared" si="6"/>
        <v>5.0364206059358096E-2</v>
      </c>
      <c r="X17" s="84">
        <v>10752.68</v>
      </c>
      <c r="Y17" s="87">
        <f t="shared" si="7"/>
        <v>191822.91488885091</v>
      </c>
      <c r="Z17" s="4"/>
    </row>
    <row r="18" spans="1:26" x14ac:dyDescent="0.25">
      <c r="A18" s="1" t="s">
        <v>230</v>
      </c>
      <c r="B18" s="96" t="s">
        <v>43</v>
      </c>
      <c r="C18" s="97" t="s">
        <v>129</v>
      </c>
      <c r="D18" s="98"/>
      <c r="E18" s="99">
        <v>24.35</v>
      </c>
      <c r="F18" s="100">
        <v>1</v>
      </c>
      <c r="G18" s="39">
        <v>1</v>
      </c>
      <c r="H18" s="40">
        <f t="shared" si="0"/>
        <v>24.35</v>
      </c>
      <c r="I18" s="41">
        <v>0</v>
      </c>
      <c r="J18" s="41">
        <v>1</v>
      </c>
      <c r="K18" s="41">
        <f t="shared" si="1"/>
        <v>0</v>
      </c>
      <c r="L18" s="85">
        <f t="shared" si="2"/>
        <v>24.35</v>
      </c>
      <c r="N18" s="86">
        <f t="shared" si="3"/>
        <v>0.29270000000000002</v>
      </c>
      <c r="P18" s="84">
        <f t="shared" si="4"/>
        <v>87145.615261561819</v>
      </c>
      <c r="Q18" s="91">
        <f t="shared" si="5"/>
        <v>3578.8753700846742</v>
      </c>
      <c r="S18" s="84">
        <v>82967.045867361812</v>
      </c>
      <c r="T18" s="91">
        <v>3407.2708775097253</v>
      </c>
      <c r="V18" s="88">
        <f t="shared" si="6"/>
        <v>5.0364206059357874E-2</v>
      </c>
      <c r="X18" s="84">
        <v>4625.1400000000003</v>
      </c>
      <c r="Y18" s="87">
        <f t="shared" si="7"/>
        <v>82520.47526156182</v>
      </c>
      <c r="Z18" s="4"/>
    </row>
    <row r="19" spans="1:26" x14ac:dyDescent="0.25">
      <c r="B19" s="96" t="s">
        <v>44</v>
      </c>
      <c r="C19" s="97" t="s">
        <v>45</v>
      </c>
      <c r="D19" s="98"/>
      <c r="E19" s="99">
        <v>55.25</v>
      </c>
      <c r="F19" s="100">
        <v>1</v>
      </c>
      <c r="G19" s="39">
        <v>1</v>
      </c>
      <c r="H19" s="40">
        <f t="shared" si="0"/>
        <v>55.25</v>
      </c>
      <c r="I19" s="41">
        <v>0</v>
      </c>
      <c r="J19" s="41">
        <v>1</v>
      </c>
      <c r="K19" s="41">
        <f t="shared" si="1"/>
        <v>0</v>
      </c>
      <c r="L19" s="85">
        <f t="shared" si="2"/>
        <v>55.25</v>
      </c>
      <c r="N19" s="86">
        <f t="shared" si="3"/>
        <v>0.66420000000000001</v>
      </c>
      <c r="P19" s="84">
        <f t="shared" si="4"/>
        <v>197752.36643911633</v>
      </c>
      <c r="Q19" s="87">
        <f t="shared" si="5"/>
        <v>3579.2283518392096</v>
      </c>
      <c r="S19" s="84">
        <v>188270.28310591634</v>
      </c>
      <c r="T19" s="87">
        <v>3407.6069340437348</v>
      </c>
      <c r="V19" s="88">
        <f t="shared" si="6"/>
        <v>5.0364206059357652E-2</v>
      </c>
      <c r="X19" s="84">
        <v>10495.66</v>
      </c>
      <c r="Y19" s="87">
        <f t="shared" si="7"/>
        <v>187256.70643911633</v>
      </c>
      <c r="Z19" s="4"/>
    </row>
    <row r="20" spans="1:26" x14ac:dyDescent="0.25">
      <c r="B20" s="101" t="s">
        <v>46</v>
      </c>
      <c r="C20" s="97" t="s">
        <v>123</v>
      </c>
      <c r="D20" s="98"/>
      <c r="E20" s="99">
        <v>48.9</v>
      </c>
      <c r="F20" s="100">
        <v>1</v>
      </c>
      <c r="G20" s="39">
        <v>1</v>
      </c>
      <c r="H20" s="40">
        <f t="shared" si="0"/>
        <v>48.9</v>
      </c>
      <c r="I20" s="41">
        <v>0</v>
      </c>
      <c r="J20" s="41">
        <v>1</v>
      </c>
      <c r="K20" s="41">
        <f t="shared" si="1"/>
        <v>0</v>
      </c>
      <c r="L20" s="85">
        <f t="shared" si="2"/>
        <v>48.9</v>
      </c>
      <c r="N20" s="86">
        <f t="shared" si="3"/>
        <v>0.58779999999999999</v>
      </c>
      <c r="P20" s="84">
        <f t="shared" si="4"/>
        <v>175005.78288604727</v>
      </c>
      <c r="Q20" s="87">
        <f t="shared" si="5"/>
        <v>3578.850365767838</v>
      </c>
      <c r="S20" s="84">
        <v>166614.38182724724</v>
      </c>
      <c r="T20" s="87">
        <v>3407.2470721318455</v>
      </c>
      <c r="V20" s="88">
        <f t="shared" si="6"/>
        <v>5.0364206059357874E-2</v>
      </c>
      <c r="X20" s="84">
        <v>9290.02</v>
      </c>
      <c r="Y20" s="87">
        <f t="shared" si="7"/>
        <v>165715.76288604728</v>
      </c>
      <c r="Z20" s="4"/>
    </row>
    <row r="21" spans="1:26" x14ac:dyDescent="0.25">
      <c r="B21" s="101" t="s">
        <v>47</v>
      </c>
      <c r="C21" s="97" t="s">
        <v>123</v>
      </c>
      <c r="D21" s="98"/>
      <c r="E21" s="99">
        <v>48.7</v>
      </c>
      <c r="F21" s="100">
        <v>1</v>
      </c>
      <c r="G21" s="39">
        <v>1</v>
      </c>
      <c r="H21" s="40">
        <f t="shared" si="0"/>
        <v>48.7</v>
      </c>
      <c r="I21" s="41">
        <v>0</v>
      </c>
      <c r="J21" s="41">
        <v>1</v>
      </c>
      <c r="K21" s="41">
        <f t="shared" si="1"/>
        <v>0</v>
      </c>
      <c r="L21" s="85">
        <f t="shared" si="2"/>
        <v>48.7</v>
      </c>
      <c r="N21" s="86">
        <f t="shared" si="3"/>
        <v>0.58540000000000003</v>
      </c>
      <c r="P21" s="84">
        <f t="shared" si="4"/>
        <v>174291.23052312364</v>
      </c>
      <c r="Q21" s="87">
        <f t="shared" si="5"/>
        <v>3578.8753700846742</v>
      </c>
      <c r="S21" s="84">
        <v>165934.09173472362</v>
      </c>
      <c r="T21" s="87">
        <v>3407.2708775097253</v>
      </c>
      <c r="V21" s="88">
        <f t="shared" si="6"/>
        <v>5.0364206059357874E-2</v>
      </c>
      <c r="X21" s="84">
        <v>9251.5300000000007</v>
      </c>
      <c r="Y21" s="87">
        <f t="shared" si="7"/>
        <v>165039.70052312364</v>
      </c>
      <c r="Z21" s="4"/>
    </row>
    <row r="22" spans="1:26" x14ac:dyDescent="0.25">
      <c r="B22" s="101" t="s">
        <v>48</v>
      </c>
      <c r="C22" s="97" t="s">
        <v>124</v>
      </c>
      <c r="D22" s="98"/>
      <c r="E22" s="99">
        <v>43.65</v>
      </c>
      <c r="F22" s="100">
        <v>1</v>
      </c>
      <c r="G22" s="39">
        <v>1</v>
      </c>
      <c r="H22" s="40">
        <f t="shared" si="0"/>
        <v>43.65</v>
      </c>
      <c r="I22" s="41">
        <v>0</v>
      </c>
      <c r="J22" s="41">
        <v>1</v>
      </c>
      <c r="K22" s="41">
        <f t="shared" si="1"/>
        <v>0</v>
      </c>
      <c r="L22" s="85">
        <f t="shared" si="2"/>
        <v>43.65</v>
      </c>
      <c r="N22" s="86">
        <f t="shared" si="3"/>
        <v>0.52470000000000006</v>
      </c>
      <c r="P22" s="84">
        <f t="shared" si="4"/>
        <v>156219.01034417999</v>
      </c>
      <c r="Q22" s="87">
        <f t="shared" si="5"/>
        <v>3578.9005806226801</v>
      </c>
      <c r="S22" s="84">
        <v>148728.42147797998</v>
      </c>
      <c r="T22" s="87">
        <v>3407.2948792206184</v>
      </c>
      <c r="V22" s="88">
        <f t="shared" si="6"/>
        <v>5.0364206059357874E-2</v>
      </c>
      <c r="X22" s="84">
        <v>8291.73</v>
      </c>
      <c r="Y22" s="87">
        <f t="shared" si="7"/>
        <v>147927.28034417998</v>
      </c>
      <c r="Z22" s="4"/>
    </row>
    <row r="23" spans="1:26" x14ac:dyDescent="0.25">
      <c r="B23" s="96" t="s">
        <v>49</v>
      </c>
      <c r="C23" s="97" t="s">
        <v>51</v>
      </c>
      <c r="D23" s="98"/>
      <c r="E23" s="99">
        <v>44.85</v>
      </c>
      <c r="F23" s="100">
        <v>1</v>
      </c>
      <c r="G23" s="39">
        <v>1</v>
      </c>
      <c r="H23" s="40">
        <f t="shared" si="0"/>
        <v>44.85</v>
      </c>
      <c r="I23" s="41">
        <v>0</v>
      </c>
      <c r="J23" s="41">
        <v>1</v>
      </c>
      <c r="K23" s="41">
        <f t="shared" si="1"/>
        <v>0</v>
      </c>
      <c r="L23" s="85">
        <f t="shared" si="2"/>
        <v>44.85</v>
      </c>
      <c r="N23" s="86">
        <f t="shared" si="3"/>
        <v>0.53910000000000002</v>
      </c>
      <c r="P23" s="84">
        <f t="shared" si="4"/>
        <v>160506.32452172181</v>
      </c>
      <c r="Q23" s="87">
        <f t="shared" si="5"/>
        <v>3578.7363327028274</v>
      </c>
      <c r="R23" s="92"/>
      <c r="S23" s="84">
        <v>152810.1620331218</v>
      </c>
      <c r="T23" s="87">
        <v>3407.1385068700511</v>
      </c>
      <c r="U23" s="92"/>
      <c r="V23" s="88">
        <f t="shared" si="6"/>
        <v>5.0364206059357874E-2</v>
      </c>
      <c r="W23" s="92"/>
      <c r="X23" s="84">
        <v>8520.19</v>
      </c>
      <c r="Y23" s="87">
        <f t="shared" si="7"/>
        <v>151986.1345217218</v>
      </c>
      <c r="Z23" s="4"/>
    </row>
    <row r="24" spans="1:26" x14ac:dyDescent="0.25">
      <c r="B24" s="96" t="s">
        <v>50</v>
      </c>
      <c r="C24" s="97" t="s">
        <v>51</v>
      </c>
      <c r="D24" s="98"/>
      <c r="E24" s="99">
        <v>55.65</v>
      </c>
      <c r="F24" s="100">
        <v>1</v>
      </c>
      <c r="G24" s="39">
        <v>1</v>
      </c>
      <c r="H24" s="40">
        <f t="shared" si="0"/>
        <v>55.65</v>
      </c>
      <c r="I24" s="41">
        <v>0</v>
      </c>
      <c r="J24" s="41">
        <v>1</v>
      </c>
      <c r="K24" s="41">
        <f t="shared" si="1"/>
        <v>0</v>
      </c>
      <c r="L24" s="85">
        <f t="shared" si="2"/>
        <v>55.65</v>
      </c>
      <c r="N24" s="86">
        <f t="shared" si="3"/>
        <v>0.66900000000000004</v>
      </c>
      <c r="P24" s="84">
        <f t="shared" si="4"/>
        <v>199181.47116496362</v>
      </c>
      <c r="Q24" s="87">
        <f t="shared" si="5"/>
        <v>3579.1818717873066</v>
      </c>
      <c r="S24" s="84">
        <v>189630.86329096361</v>
      </c>
      <c r="T24" s="87">
        <v>3407.5626826767943</v>
      </c>
      <c r="V24" s="88">
        <f t="shared" si="6"/>
        <v>5.0364206059357874E-2</v>
      </c>
      <c r="X24" s="84">
        <v>10571.4</v>
      </c>
      <c r="Y24" s="87">
        <f t="shared" si="7"/>
        <v>188610.07116496362</v>
      </c>
      <c r="Z24" s="4"/>
    </row>
    <row r="25" spans="1:26" x14ac:dyDescent="0.25">
      <c r="B25" s="101" t="s">
        <v>52</v>
      </c>
      <c r="C25" s="97" t="s">
        <v>53</v>
      </c>
      <c r="D25" s="98"/>
      <c r="E25" s="99">
        <v>55.65</v>
      </c>
      <c r="F25" s="100">
        <v>1</v>
      </c>
      <c r="G25" s="39">
        <v>1</v>
      </c>
      <c r="H25" s="40">
        <f t="shared" si="0"/>
        <v>55.65</v>
      </c>
      <c r="I25" s="41">
        <v>0</v>
      </c>
      <c r="J25" s="41">
        <v>1</v>
      </c>
      <c r="K25" s="41">
        <f t="shared" si="1"/>
        <v>0</v>
      </c>
      <c r="L25" s="85">
        <f t="shared" si="2"/>
        <v>55.65</v>
      </c>
      <c r="M25" s="80"/>
      <c r="N25" s="86">
        <f t="shared" si="3"/>
        <v>0.66900000000000004</v>
      </c>
      <c r="O25" s="80"/>
      <c r="P25" s="84">
        <f t="shared" si="4"/>
        <v>199181.47116496362</v>
      </c>
      <c r="Q25" s="87">
        <f t="shared" si="5"/>
        <v>3579.1818717873066</v>
      </c>
      <c r="S25" s="84">
        <v>189630.86329096361</v>
      </c>
      <c r="T25" s="87">
        <v>3407.5626826767943</v>
      </c>
      <c r="V25" s="88">
        <f t="shared" si="6"/>
        <v>5.0364206059357874E-2</v>
      </c>
      <c r="X25" s="84">
        <v>10571.4</v>
      </c>
      <c r="Y25" s="87">
        <f t="shared" si="7"/>
        <v>188610.07116496362</v>
      </c>
      <c r="Z25" s="4"/>
    </row>
    <row r="26" spans="1:26" x14ac:dyDescent="0.25">
      <c r="B26" s="101" t="s">
        <v>54</v>
      </c>
      <c r="C26" s="97" t="s">
        <v>55</v>
      </c>
      <c r="D26" s="98"/>
      <c r="E26" s="103">
        <f>44.85+43.5</f>
        <v>88.35</v>
      </c>
      <c r="F26" s="100">
        <v>1</v>
      </c>
      <c r="G26" s="39">
        <v>1</v>
      </c>
      <c r="H26" s="40">
        <f t="shared" si="0"/>
        <v>88.35</v>
      </c>
      <c r="I26" s="41">
        <v>0</v>
      </c>
      <c r="J26" s="41">
        <v>1</v>
      </c>
      <c r="K26" s="41">
        <f t="shared" si="1"/>
        <v>0</v>
      </c>
      <c r="L26" s="85">
        <f t="shared" si="2"/>
        <v>88.35</v>
      </c>
      <c r="N26" s="86">
        <f t="shared" si="3"/>
        <v>1.0621</v>
      </c>
      <c r="P26" s="84">
        <f t="shared" si="4"/>
        <v>316219.19360883086</v>
      </c>
      <c r="Q26" s="87">
        <f t="shared" si="5"/>
        <v>3579.1646135691103</v>
      </c>
      <c r="S26" s="84">
        <v>301056.71136223082</v>
      </c>
      <c r="T26" s="87">
        <v>3407.546251977712</v>
      </c>
      <c r="V26" s="88">
        <f t="shared" si="6"/>
        <v>5.0364206059357874E-2</v>
      </c>
      <c r="X26" s="84">
        <v>16783.37</v>
      </c>
      <c r="Y26" s="87">
        <f t="shared" si="7"/>
        <v>299435.82360883086</v>
      </c>
      <c r="Z26" s="4"/>
    </row>
    <row r="27" spans="1:26" x14ac:dyDescent="0.25">
      <c r="B27" s="78" t="s">
        <v>211</v>
      </c>
      <c r="C27" s="79" t="s">
        <v>45</v>
      </c>
      <c r="D27" s="80"/>
      <c r="E27" s="81">
        <v>52.8</v>
      </c>
      <c r="F27" s="82">
        <v>1</v>
      </c>
      <c r="G27" s="166">
        <v>1</v>
      </c>
      <c r="H27" s="167">
        <f t="shared" si="0"/>
        <v>52.8</v>
      </c>
      <c r="I27" s="82">
        <v>0</v>
      </c>
      <c r="J27" s="82">
        <v>1</v>
      </c>
      <c r="K27" s="82">
        <v>0</v>
      </c>
      <c r="L27" s="168">
        <f t="shared" si="2"/>
        <v>52.8</v>
      </c>
      <c r="N27" s="86">
        <f t="shared" si="3"/>
        <v>0.63470000000000004</v>
      </c>
      <c r="P27" s="169">
        <f t="shared" si="4"/>
        <v>188969.32697818</v>
      </c>
      <c r="Q27" s="170">
        <f t="shared" si="5"/>
        <v>3578.9645261018941</v>
      </c>
      <c r="R27" s="80"/>
      <c r="S27" s="169">
        <v>179908.38405197996</v>
      </c>
      <c r="T27" s="170">
        <v>3407.3557585602266</v>
      </c>
      <c r="U27" s="80"/>
      <c r="V27" s="171">
        <f t="shared" si="6"/>
        <v>5.0364206059358096E-2</v>
      </c>
      <c r="W27" s="80"/>
      <c r="X27" s="169">
        <v>16783.37</v>
      </c>
      <c r="Y27" s="170">
        <f t="shared" si="7"/>
        <v>172185.95697818001</v>
      </c>
      <c r="Z27" s="4"/>
    </row>
    <row r="28" spans="1:26" x14ac:dyDescent="0.25">
      <c r="B28" s="101" t="s">
        <v>212</v>
      </c>
      <c r="C28" s="97" t="s">
        <v>208</v>
      </c>
      <c r="D28" s="98"/>
      <c r="E28" s="103">
        <v>133.85</v>
      </c>
      <c r="F28" s="100">
        <v>1</v>
      </c>
      <c r="G28" s="39">
        <v>1</v>
      </c>
      <c r="H28" s="40">
        <f t="shared" si="0"/>
        <v>133.85</v>
      </c>
      <c r="I28" s="41">
        <v>0</v>
      </c>
      <c r="J28" s="41">
        <v>1</v>
      </c>
      <c r="K28" s="41">
        <f t="shared" si="1"/>
        <v>0</v>
      </c>
      <c r="L28" s="85">
        <f t="shared" si="2"/>
        <v>133.85</v>
      </c>
      <c r="M28" s="80"/>
      <c r="N28" s="86">
        <f t="shared" si="3"/>
        <v>1.609</v>
      </c>
      <c r="O28" s="80"/>
      <c r="P28" s="84">
        <f t="shared" si="4"/>
        <v>479047.81331005448</v>
      </c>
      <c r="Q28" s="87">
        <f t="shared" si="5"/>
        <v>3578.9900135230073</v>
      </c>
      <c r="S28" s="84">
        <v>456077.81619605445</v>
      </c>
      <c r="T28" s="87">
        <v>3407.3800238778817</v>
      </c>
      <c r="V28" s="88">
        <f t="shared" si="6"/>
        <v>5.0364206059357874E-2</v>
      </c>
      <c r="X28" s="84">
        <v>31563.96</v>
      </c>
      <c r="Y28" s="87">
        <f t="shared" si="7"/>
        <v>447483.85331005446</v>
      </c>
      <c r="Z28" s="4"/>
    </row>
    <row r="29" spans="1:26" x14ac:dyDescent="0.25">
      <c r="B29" s="101" t="s">
        <v>56</v>
      </c>
      <c r="C29" s="97" t="s">
        <v>57</v>
      </c>
      <c r="D29" s="98"/>
      <c r="E29" s="103">
        <v>232.05</v>
      </c>
      <c r="F29" s="100">
        <v>1</v>
      </c>
      <c r="G29" s="39">
        <v>1</v>
      </c>
      <c r="H29" s="40">
        <f t="shared" si="0"/>
        <v>232.05</v>
      </c>
      <c r="I29" s="41">
        <v>0</v>
      </c>
      <c r="J29" s="41">
        <v>1</v>
      </c>
      <c r="K29" s="41">
        <f t="shared" si="1"/>
        <v>0</v>
      </c>
      <c r="L29" s="85">
        <f t="shared" si="2"/>
        <v>232.05</v>
      </c>
      <c r="N29" s="86">
        <f t="shared" si="3"/>
        <v>2.7894999999999999</v>
      </c>
      <c r="P29" s="84">
        <f t="shared" si="4"/>
        <v>830518.25682311808</v>
      </c>
      <c r="Q29" s="87">
        <f t="shared" si="5"/>
        <v>3579.0487258052922</v>
      </c>
      <c r="S29" s="84">
        <v>790695.50545611803</v>
      </c>
      <c r="T29" s="87">
        <v>3407.4359209485801</v>
      </c>
      <c r="V29" s="88">
        <f t="shared" si="6"/>
        <v>5.0364206059357874E-2</v>
      </c>
      <c r="X29" s="84">
        <v>44082.26</v>
      </c>
      <c r="Y29" s="87">
        <f t="shared" si="7"/>
        <v>786435.99682311807</v>
      </c>
      <c r="Z29" s="4"/>
    </row>
    <row r="30" spans="1:26" x14ac:dyDescent="0.25">
      <c r="B30" s="101" t="s">
        <v>58</v>
      </c>
      <c r="C30" s="97" t="s">
        <v>59</v>
      </c>
      <c r="D30" s="98"/>
      <c r="E30" s="103">
        <f>69.8+54.8</f>
        <v>124.6</v>
      </c>
      <c r="F30" s="100">
        <v>1</v>
      </c>
      <c r="G30" s="39">
        <v>1</v>
      </c>
      <c r="H30" s="40">
        <f t="shared" si="0"/>
        <v>124.6</v>
      </c>
      <c r="I30" s="41">
        <v>0</v>
      </c>
      <c r="J30" s="41">
        <v>1</v>
      </c>
      <c r="K30" s="41">
        <f t="shared" si="1"/>
        <v>0</v>
      </c>
      <c r="L30" s="85">
        <f t="shared" si="2"/>
        <v>124.6</v>
      </c>
      <c r="N30" s="86">
        <f t="shared" si="3"/>
        <v>1.4978</v>
      </c>
      <c r="P30" s="84">
        <f t="shared" si="4"/>
        <v>445940.22049459262</v>
      </c>
      <c r="Q30" s="87">
        <f t="shared" si="5"/>
        <v>3578.9744823001015</v>
      </c>
      <c r="S30" s="84">
        <v>424557.70857579261</v>
      </c>
      <c r="T30" s="87">
        <v>3407.365237365912</v>
      </c>
      <c r="V30" s="88">
        <f t="shared" si="6"/>
        <v>5.0364206059357874E-2</v>
      </c>
      <c r="X30" s="84">
        <v>23670.79</v>
      </c>
      <c r="Y30" s="87">
        <f t="shared" si="7"/>
        <v>422269.43049459264</v>
      </c>
      <c r="Z30" s="4"/>
    </row>
    <row r="31" spans="1:26" x14ac:dyDescent="0.25">
      <c r="B31" s="96" t="s">
        <v>60</v>
      </c>
      <c r="C31" s="97" t="s">
        <v>61</v>
      </c>
      <c r="D31" s="98"/>
      <c r="E31" s="103">
        <v>89.65</v>
      </c>
      <c r="F31" s="100">
        <v>1</v>
      </c>
      <c r="G31" s="39">
        <v>1</v>
      </c>
      <c r="H31" s="40">
        <f t="shared" si="0"/>
        <v>89.65</v>
      </c>
      <c r="I31" s="41">
        <v>0</v>
      </c>
      <c r="J31" s="41">
        <v>1</v>
      </c>
      <c r="K31" s="41">
        <f t="shared" si="1"/>
        <v>0</v>
      </c>
      <c r="L31" s="85">
        <f t="shared" si="2"/>
        <v>89.65</v>
      </c>
      <c r="N31" s="86">
        <f t="shared" si="3"/>
        <v>1.0777000000000001</v>
      </c>
      <c r="P31" s="84">
        <f t="shared" si="4"/>
        <v>320863.78396783455</v>
      </c>
      <c r="Q31" s="87">
        <f t="shared" si="5"/>
        <v>3579.071767627825</v>
      </c>
      <c r="S31" s="84">
        <v>305478.59696363454</v>
      </c>
      <c r="T31" s="87">
        <v>3407.4578579323424</v>
      </c>
      <c r="V31" s="88">
        <f t="shared" si="6"/>
        <v>5.0364206059357874E-2</v>
      </c>
      <c r="X31" s="84">
        <v>17030.46</v>
      </c>
      <c r="Y31" s="87">
        <f t="shared" si="7"/>
        <v>303833.32396783453</v>
      </c>
      <c r="Z31" s="4"/>
    </row>
    <row r="32" spans="1:26" x14ac:dyDescent="0.25">
      <c r="B32" s="96" t="s">
        <v>62</v>
      </c>
      <c r="C32" s="97" t="s">
        <v>213</v>
      </c>
      <c r="D32" s="98"/>
      <c r="E32" s="103">
        <v>57.85</v>
      </c>
      <c r="F32" s="100">
        <v>1</v>
      </c>
      <c r="G32" s="39">
        <v>1</v>
      </c>
      <c r="H32" s="40">
        <f t="shared" si="0"/>
        <v>57.85</v>
      </c>
      <c r="I32" s="41">
        <v>0</v>
      </c>
      <c r="J32" s="41">
        <v>1</v>
      </c>
      <c r="K32" s="41">
        <f t="shared" si="1"/>
        <v>0</v>
      </c>
      <c r="L32" s="85">
        <f t="shared" si="2"/>
        <v>57.85</v>
      </c>
      <c r="N32" s="86">
        <f t="shared" si="3"/>
        <v>0.69540000000000002</v>
      </c>
      <c r="P32" s="84">
        <f t="shared" si="4"/>
        <v>207041.5471571236</v>
      </c>
      <c r="Q32" s="87">
        <f t="shared" si="5"/>
        <v>3578.9377209528711</v>
      </c>
      <c r="S32" s="84">
        <v>197114.05430872357</v>
      </c>
      <c r="T32" s="87">
        <v>3407.3302386987652</v>
      </c>
      <c r="V32" s="88">
        <f t="shared" si="6"/>
        <v>5.0364206059357874E-2</v>
      </c>
      <c r="X32" s="84">
        <v>10989.83</v>
      </c>
      <c r="Y32" s="87">
        <f t="shared" si="7"/>
        <v>196051.71715712361</v>
      </c>
      <c r="Z32" s="4"/>
    </row>
    <row r="33" spans="2:26" x14ac:dyDescent="0.25">
      <c r="B33" s="101" t="s">
        <v>63</v>
      </c>
      <c r="C33" s="97" t="s">
        <v>125</v>
      </c>
      <c r="D33" s="98"/>
      <c r="E33" s="103">
        <v>51.5</v>
      </c>
      <c r="F33" s="100">
        <v>1</v>
      </c>
      <c r="G33" s="39">
        <v>1</v>
      </c>
      <c r="H33" s="40">
        <f t="shared" si="0"/>
        <v>51.5</v>
      </c>
      <c r="I33" s="41">
        <v>0</v>
      </c>
      <c r="J33" s="41">
        <v>1</v>
      </c>
      <c r="K33" s="41">
        <f t="shared" si="1"/>
        <v>0</v>
      </c>
      <c r="L33" s="85">
        <f t="shared" si="2"/>
        <v>51.5</v>
      </c>
      <c r="N33" s="86">
        <f t="shared" si="3"/>
        <v>0.61909999999999998</v>
      </c>
      <c r="P33" s="84">
        <f t="shared" si="4"/>
        <v>184324.73661917634</v>
      </c>
      <c r="Q33" s="87">
        <f t="shared" si="5"/>
        <v>3579.1210994014823</v>
      </c>
      <c r="S33" s="84">
        <v>175486.49845057633</v>
      </c>
      <c r="T33" s="87">
        <v>3407.5048242830353</v>
      </c>
      <c r="V33" s="88">
        <f t="shared" si="6"/>
        <v>5.0364206059357874E-2</v>
      </c>
      <c r="X33" s="84">
        <v>9782.9500000000007</v>
      </c>
      <c r="Y33" s="87">
        <f t="shared" si="7"/>
        <v>174541.78661917633</v>
      </c>
      <c r="Z33" s="4"/>
    </row>
    <row r="34" spans="2:26" x14ac:dyDescent="0.25">
      <c r="B34" s="101" t="s">
        <v>64</v>
      </c>
      <c r="C34" s="104" t="s">
        <v>163</v>
      </c>
      <c r="D34" s="98"/>
      <c r="E34" s="103">
        <v>49.85</v>
      </c>
      <c r="F34" s="100">
        <v>1</v>
      </c>
      <c r="G34" s="39">
        <v>1</v>
      </c>
      <c r="H34" s="40">
        <f t="shared" si="0"/>
        <v>49.85</v>
      </c>
      <c r="I34" s="41">
        <v>0</v>
      </c>
      <c r="J34" s="41">
        <v>1</v>
      </c>
      <c r="K34" s="41">
        <f t="shared" si="1"/>
        <v>0</v>
      </c>
      <c r="L34" s="85">
        <f t="shared" si="2"/>
        <v>49.85</v>
      </c>
      <c r="N34" s="86">
        <f t="shared" si="3"/>
        <v>0.59930000000000005</v>
      </c>
      <c r="P34" s="84">
        <f t="shared" si="4"/>
        <v>178429.67962505633</v>
      </c>
      <c r="Q34" s="87">
        <f t="shared" si="5"/>
        <v>3579.3315872629155</v>
      </c>
      <c r="S34" s="84">
        <v>169874.10518725633</v>
      </c>
      <c r="T34" s="87">
        <v>3407.7052194033363</v>
      </c>
      <c r="V34" s="88">
        <f t="shared" si="6"/>
        <v>5.0364206059357874E-2</v>
      </c>
      <c r="X34" s="84">
        <v>9470.06</v>
      </c>
      <c r="Y34" s="87">
        <f t="shared" si="7"/>
        <v>168959.61962505634</v>
      </c>
      <c r="Z34" s="4"/>
    </row>
    <row r="35" spans="2:26" x14ac:dyDescent="0.25">
      <c r="B35" s="101" t="s">
        <v>65</v>
      </c>
      <c r="C35" s="104" t="s">
        <v>183</v>
      </c>
      <c r="D35" s="98"/>
      <c r="E35" s="103">
        <v>75.400000000000006</v>
      </c>
      <c r="F35" s="100">
        <v>1</v>
      </c>
      <c r="G35" s="39">
        <v>1</v>
      </c>
      <c r="H35" s="40">
        <f t="shared" si="0"/>
        <v>75.400000000000006</v>
      </c>
      <c r="I35" s="41">
        <v>0</v>
      </c>
      <c r="J35" s="41">
        <v>1</v>
      </c>
      <c r="K35" s="41">
        <f>ROUND(I35*J35,2)</f>
        <v>0</v>
      </c>
      <c r="L35" s="85">
        <f>H35+K35</f>
        <v>75.400000000000006</v>
      </c>
      <c r="N35" s="86">
        <f t="shared" si="3"/>
        <v>0.90639999999999998</v>
      </c>
      <c r="P35" s="84">
        <f t="shared" si="4"/>
        <v>269862.60906415997</v>
      </c>
      <c r="Q35" s="87">
        <f t="shared" si="5"/>
        <v>3579.07969581114</v>
      </c>
      <c r="S35" s="84">
        <v>256922.89160975991</v>
      </c>
      <c r="T35" s="87">
        <v>3407.4654059649852</v>
      </c>
      <c r="V35" s="88">
        <f t="shared" si="6"/>
        <v>5.0364206059358096E-2</v>
      </c>
      <c r="X35" s="84">
        <v>14322.66</v>
      </c>
      <c r="Y35" s="87">
        <f t="shared" si="7"/>
        <v>255539.94906415997</v>
      </c>
      <c r="Z35" s="4"/>
    </row>
    <row r="36" spans="2:26" x14ac:dyDescent="0.25">
      <c r="B36" s="101" t="s">
        <v>66</v>
      </c>
      <c r="C36" s="104" t="s">
        <v>126</v>
      </c>
      <c r="D36" s="98"/>
      <c r="E36" s="103">
        <v>45.15</v>
      </c>
      <c r="F36" s="100">
        <v>1</v>
      </c>
      <c r="G36" s="39">
        <v>1</v>
      </c>
      <c r="H36" s="40">
        <f t="shared" si="0"/>
        <v>45.15</v>
      </c>
      <c r="I36" s="41">
        <v>0</v>
      </c>
      <c r="J36" s="41">
        <v>1</v>
      </c>
      <c r="K36" s="41">
        <f t="shared" si="1"/>
        <v>0</v>
      </c>
      <c r="L36" s="85">
        <f t="shared" si="2"/>
        <v>45.15</v>
      </c>
      <c r="N36" s="86">
        <f t="shared" si="3"/>
        <v>0.54279999999999995</v>
      </c>
      <c r="P36" s="84">
        <f t="shared" si="4"/>
        <v>161607.92608122906</v>
      </c>
      <c r="Q36" s="87">
        <f t="shared" si="5"/>
        <v>3579.3560593849184</v>
      </c>
      <c r="S36" s="84">
        <v>153858.94259242906</v>
      </c>
      <c r="T36" s="87">
        <v>3407.7285181047409</v>
      </c>
      <c r="V36" s="88">
        <f t="shared" si="6"/>
        <v>5.0364206059357874E-2</v>
      </c>
      <c r="X36" s="84">
        <v>8577.31</v>
      </c>
      <c r="Y36" s="87">
        <f t="shared" si="7"/>
        <v>153030.61608122906</v>
      </c>
      <c r="Z36" s="4"/>
    </row>
    <row r="37" spans="2:26" x14ac:dyDescent="0.25">
      <c r="B37" s="96" t="s">
        <v>68</v>
      </c>
      <c r="C37" s="97" t="s">
        <v>224</v>
      </c>
      <c r="D37" s="98"/>
      <c r="E37" s="103">
        <v>43.85</v>
      </c>
      <c r="F37" s="100">
        <v>1</v>
      </c>
      <c r="G37" s="39">
        <v>1</v>
      </c>
      <c r="H37" s="40">
        <f t="shared" si="0"/>
        <v>43.85</v>
      </c>
      <c r="I37" s="41">
        <v>0</v>
      </c>
      <c r="J37" s="41">
        <v>1</v>
      </c>
      <c r="K37" s="41">
        <f t="shared" si="1"/>
        <v>0</v>
      </c>
      <c r="L37" s="85">
        <f t="shared" si="2"/>
        <v>43.85</v>
      </c>
      <c r="N37" s="86">
        <f t="shared" si="3"/>
        <v>0.52710000000000001</v>
      </c>
      <c r="P37" s="84">
        <f t="shared" si="4"/>
        <v>156933.56270710361</v>
      </c>
      <c r="Q37" s="87">
        <f t="shared" si="5"/>
        <v>3578.8725816899341</v>
      </c>
      <c r="S37" s="84">
        <v>149408.7115705036</v>
      </c>
      <c r="T37" s="87">
        <v>3407.2682228165017</v>
      </c>
      <c r="V37" s="88">
        <f t="shared" si="6"/>
        <v>5.0364206059357874E-2</v>
      </c>
      <c r="X37" s="84">
        <v>8330.2199999999993</v>
      </c>
      <c r="Y37" s="87">
        <f t="shared" si="7"/>
        <v>148603.34270710361</v>
      </c>
      <c r="Z37" s="4"/>
    </row>
    <row r="38" spans="2:26" x14ac:dyDescent="0.25">
      <c r="B38" s="101" t="s">
        <v>69</v>
      </c>
      <c r="C38" s="97" t="s">
        <v>225</v>
      </c>
      <c r="D38" s="98"/>
      <c r="E38" s="103">
        <v>55.4</v>
      </c>
      <c r="F38" s="100">
        <v>1</v>
      </c>
      <c r="G38" s="39">
        <v>1</v>
      </c>
      <c r="H38" s="40">
        <f t="shared" si="0"/>
        <v>55.4</v>
      </c>
      <c r="I38" s="41">
        <v>0</v>
      </c>
      <c r="J38" s="41">
        <v>1</v>
      </c>
      <c r="K38" s="41">
        <f t="shared" si="1"/>
        <v>0</v>
      </c>
      <c r="L38" s="85">
        <f t="shared" si="2"/>
        <v>55.4</v>
      </c>
      <c r="N38" s="86">
        <f t="shared" si="3"/>
        <v>0.66600000000000004</v>
      </c>
      <c r="P38" s="84">
        <f t="shared" si="4"/>
        <v>198288.28071130908</v>
      </c>
      <c r="Q38" s="87">
        <f t="shared" si="5"/>
        <v>3579.2108431644237</v>
      </c>
      <c r="S38" s="84">
        <v>188780.50067530907</v>
      </c>
      <c r="T38" s="87">
        <v>3407.5902648972756</v>
      </c>
      <c r="V38" s="88">
        <f t="shared" si="6"/>
        <v>5.0364206059357874E-2</v>
      </c>
      <c r="X38" s="84">
        <v>10524.22</v>
      </c>
      <c r="Y38" s="87">
        <f t="shared" si="7"/>
        <v>187764.06071130908</v>
      </c>
      <c r="Z38" s="4"/>
    </row>
    <row r="39" spans="2:26" x14ac:dyDescent="0.25">
      <c r="B39" s="96" t="s">
        <v>70</v>
      </c>
      <c r="C39" s="97" t="s">
        <v>71</v>
      </c>
      <c r="D39" s="98"/>
      <c r="E39" s="103">
        <v>135.75</v>
      </c>
      <c r="F39" s="100">
        <v>1</v>
      </c>
      <c r="G39" s="39">
        <v>1</v>
      </c>
      <c r="H39" s="40">
        <f t="shared" si="0"/>
        <v>135.75</v>
      </c>
      <c r="I39" s="41">
        <v>0</v>
      </c>
      <c r="J39" s="41">
        <v>1</v>
      </c>
      <c r="K39" s="41">
        <f t="shared" si="1"/>
        <v>0</v>
      </c>
      <c r="L39" s="85">
        <f t="shared" si="2"/>
        <v>135.75</v>
      </c>
      <c r="N39" s="86">
        <f t="shared" si="3"/>
        <v>1.6318999999999999</v>
      </c>
      <c r="P39" s="84">
        <f t="shared" si="4"/>
        <v>485865.83377295086</v>
      </c>
      <c r="Q39" s="87">
        <f t="shared" si="5"/>
        <v>3579.1221640733029</v>
      </c>
      <c r="S39" s="84">
        <v>462568.91749555082</v>
      </c>
      <c r="T39" s="87">
        <v>3407.50583790461</v>
      </c>
      <c r="V39" s="88">
        <f t="shared" si="6"/>
        <v>5.0364206059357874E-2</v>
      </c>
      <c r="X39" s="84">
        <v>21922.55</v>
      </c>
      <c r="Y39" s="87">
        <f t="shared" si="7"/>
        <v>463943.28377295088</v>
      </c>
      <c r="Z39" s="4"/>
    </row>
    <row r="40" spans="2:26" x14ac:dyDescent="0.25">
      <c r="B40" s="96" t="s">
        <v>72</v>
      </c>
      <c r="C40" s="97" t="s">
        <v>71</v>
      </c>
      <c r="D40" s="98"/>
      <c r="E40" s="103">
        <v>21.6</v>
      </c>
      <c r="F40" s="100">
        <v>1</v>
      </c>
      <c r="G40" s="39">
        <v>1</v>
      </c>
      <c r="H40" s="40">
        <f t="shared" si="0"/>
        <v>21.6</v>
      </c>
      <c r="I40" s="41">
        <v>0</v>
      </c>
      <c r="J40" s="41">
        <v>1</v>
      </c>
      <c r="K40" s="41">
        <f t="shared" si="1"/>
        <v>0</v>
      </c>
      <c r="L40" s="85">
        <f t="shared" si="2"/>
        <v>21.6</v>
      </c>
      <c r="N40" s="86">
        <f t="shared" si="3"/>
        <v>0.25969999999999999</v>
      </c>
      <c r="P40" s="84">
        <f t="shared" si="4"/>
        <v>77320.520271361805</v>
      </c>
      <c r="Q40" s="87">
        <f t="shared" si="5"/>
        <v>3579.6537162667501</v>
      </c>
      <c r="S40" s="84">
        <v>73613.057095161799</v>
      </c>
      <c r="T40" s="87">
        <v>3408.011902553787</v>
      </c>
      <c r="V40" s="88">
        <f t="shared" si="6"/>
        <v>5.0364206059357874E-2</v>
      </c>
      <c r="X40" s="84">
        <v>21922.55</v>
      </c>
      <c r="Y40" s="87">
        <f t="shared" si="7"/>
        <v>55397.970271361803</v>
      </c>
      <c r="Z40" s="4"/>
    </row>
    <row r="41" spans="2:26" x14ac:dyDescent="0.25">
      <c r="B41" s="96" t="s">
        <v>214</v>
      </c>
      <c r="C41" s="97" t="s">
        <v>200</v>
      </c>
      <c r="D41" s="98"/>
      <c r="E41" s="103">
        <v>70</v>
      </c>
      <c r="F41" s="100">
        <v>1</v>
      </c>
      <c r="G41" s="39">
        <v>1</v>
      </c>
      <c r="H41" s="40">
        <f t="shared" si="0"/>
        <v>70</v>
      </c>
      <c r="I41" s="41">
        <v>0</v>
      </c>
      <c r="J41" s="41">
        <v>1</v>
      </c>
      <c r="K41" s="41">
        <f t="shared" si="1"/>
        <v>0</v>
      </c>
      <c r="L41" s="85">
        <f t="shared" si="2"/>
        <v>70</v>
      </c>
      <c r="N41" s="86">
        <f t="shared" si="3"/>
        <v>0.84150000000000003</v>
      </c>
      <c r="P41" s="84">
        <f t="shared" si="4"/>
        <v>250539.92225009997</v>
      </c>
      <c r="Q41" s="87">
        <f t="shared" si="5"/>
        <v>3579.1417464299998</v>
      </c>
      <c r="S41" s="84">
        <v>238526.71369109995</v>
      </c>
      <c r="T41" s="87">
        <v>3407.5244813014278</v>
      </c>
      <c r="V41" s="88">
        <f t="shared" si="6"/>
        <v>5.0364206059357874E-2</v>
      </c>
      <c r="X41" s="84">
        <v>8377.4</v>
      </c>
      <c r="Y41" s="87">
        <f t="shared" si="7"/>
        <v>242162.52225009998</v>
      </c>
      <c r="Z41" s="4"/>
    </row>
    <row r="42" spans="2:26" x14ac:dyDescent="0.25">
      <c r="B42" s="96" t="s">
        <v>215</v>
      </c>
      <c r="C42" s="104" t="s">
        <v>179</v>
      </c>
      <c r="D42" s="98"/>
      <c r="E42" s="103">
        <v>74.25</v>
      </c>
      <c r="F42" s="100">
        <v>1</v>
      </c>
      <c r="G42" s="39">
        <v>1</v>
      </c>
      <c r="H42" s="40">
        <f t="shared" si="0"/>
        <v>74.25</v>
      </c>
      <c r="I42" s="41">
        <v>0</v>
      </c>
      <c r="J42" s="41">
        <v>1</v>
      </c>
      <c r="K42" s="41">
        <f t="shared" si="1"/>
        <v>0</v>
      </c>
      <c r="L42" s="85">
        <f t="shared" si="2"/>
        <v>74.25</v>
      </c>
      <c r="N42" s="86">
        <f t="shared" si="3"/>
        <v>0.89259999999999995</v>
      </c>
      <c r="P42" s="84">
        <f t="shared" si="4"/>
        <v>265753.93297734903</v>
      </c>
      <c r="Q42" s="87">
        <f t="shared" si="5"/>
        <v>3579.1775485164853</v>
      </c>
      <c r="S42" s="84">
        <v>253011.22357774901</v>
      </c>
      <c r="T42" s="87">
        <v>3407.5585667036903</v>
      </c>
      <c r="V42" s="88">
        <f t="shared" si="6"/>
        <v>5.0364206059357874E-2</v>
      </c>
      <c r="X42" s="84">
        <v>25456.28</v>
      </c>
      <c r="Y42" s="87">
        <f t="shared" si="7"/>
        <v>240297.65297734903</v>
      </c>
      <c r="Z42" s="4"/>
    </row>
    <row r="43" spans="2:26" x14ac:dyDescent="0.25">
      <c r="B43" s="118" t="s">
        <v>73</v>
      </c>
      <c r="C43" s="117" t="s">
        <v>195</v>
      </c>
      <c r="D43" s="94"/>
      <c r="E43" s="115">
        <v>506.75</v>
      </c>
      <c r="F43" s="115">
        <v>0.75</v>
      </c>
      <c r="G43" s="39">
        <v>1</v>
      </c>
      <c r="H43" s="40">
        <f t="shared" si="0"/>
        <v>380.06</v>
      </c>
      <c r="I43" s="41">
        <v>0</v>
      </c>
      <c r="J43" s="41">
        <v>1</v>
      </c>
      <c r="K43" s="41">
        <f t="shared" si="1"/>
        <v>0</v>
      </c>
      <c r="L43" s="85">
        <f t="shared" si="2"/>
        <v>380.06</v>
      </c>
      <c r="N43" s="86">
        <f t="shared" si="3"/>
        <v>4.5686999999999998</v>
      </c>
      <c r="P43" s="84">
        <f t="shared" si="4"/>
        <v>1360239.7418705069</v>
      </c>
      <c r="Q43" s="87">
        <f t="shared" si="5"/>
        <v>2684.242213853985</v>
      </c>
      <c r="S43" s="84">
        <v>1295017.2273803069</v>
      </c>
      <c r="T43" s="87">
        <v>2555.5347358269501</v>
      </c>
      <c r="V43" s="88">
        <f t="shared" si="6"/>
        <v>5.0364206059357874E-2</v>
      </c>
      <c r="X43" s="84">
        <v>78940.31</v>
      </c>
      <c r="Y43" s="87">
        <f t="shared" si="7"/>
        <v>1281299.4318705068</v>
      </c>
      <c r="Z43" s="4"/>
    </row>
    <row r="44" spans="2:26" x14ac:dyDescent="0.25">
      <c r="B44" s="116" t="s">
        <v>74</v>
      </c>
      <c r="C44" s="117" t="s">
        <v>231</v>
      </c>
      <c r="D44" s="94"/>
      <c r="E44" s="115">
        <f>244</f>
        <v>244</v>
      </c>
      <c r="F44" s="111">
        <v>1</v>
      </c>
      <c r="G44" s="39">
        <v>1</v>
      </c>
      <c r="H44" s="40">
        <f t="shared" si="0"/>
        <v>244</v>
      </c>
      <c r="I44" s="41">
        <v>0</v>
      </c>
      <c r="J44" s="41">
        <v>1</v>
      </c>
      <c r="K44" s="41">
        <f t="shared" si="1"/>
        <v>0</v>
      </c>
      <c r="L44" s="85">
        <f t="shared" si="2"/>
        <v>244</v>
      </c>
      <c r="N44" s="86">
        <f t="shared" si="3"/>
        <v>2.9331999999999998</v>
      </c>
      <c r="P44" s="84">
        <f t="shared" si="4"/>
        <v>873302.0795531706</v>
      </c>
      <c r="Q44" s="87">
        <f t="shared" si="5"/>
        <v>3579.1068834146336</v>
      </c>
      <c r="S44" s="84">
        <v>831427.87474597071</v>
      </c>
      <c r="T44" s="87">
        <v>3407.491289942503</v>
      </c>
      <c r="V44" s="88">
        <f t="shared" si="6"/>
        <v>5.0364206059357652E-2</v>
      </c>
      <c r="X44" s="84">
        <v>23936.51</v>
      </c>
      <c r="Y44" s="87">
        <f t="shared" si="7"/>
        <v>849365.56955317059</v>
      </c>
      <c r="Z44" s="4"/>
    </row>
    <row r="45" spans="2:26" x14ac:dyDescent="0.25">
      <c r="B45" s="116" t="s">
        <v>75</v>
      </c>
      <c r="C45" s="117" t="s">
        <v>76</v>
      </c>
      <c r="D45" s="94"/>
      <c r="E45" s="115">
        <f>221.7-69.3</f>
        <v>152.39999999999998</v>
      </c>
      <c r="F45" s="111">
        <v>0.75</v>
      </c>
      <c r="G45" s="39">
        <v>1</v>
      </c>
      <c r="H45" s="40">
        <f t="shared" si="0"/>
        <v>114.3</v>
      </c>
      <c r="I45" s="41">
        <v>0</v>
      </c>
      <c r="J45" s="41">
        <v>1</v>
      </c>
      <c r="K45" s="41">
        <f t="shared" si="1"/>
        <v>0</v>
      </c>
      <c r="L45" s="85">
        <f t="shared" si="2"/>
        <v>114.3</v>
      </c>
      <c r="N45" s="86">
        <f t="shared" si="3"/>
        <v>1.3740000000000001</v>
      </c>
      <c r="P45" s="84">
        <f t="shared" si="4"/>
        <v>409081.22777378181</v>
      </c>
      <c r="Q45" s="87">
        <f t="shared" si="5"/>
        <v>2684.2600247623482</v>
      </c>
      <c r="S45" s="84">
        <v>389466.07796978176</v>
      </c>
      <c r="T45" s="87">
        <v>2555.5516927151039</v>
      </c>
      <c r="V45" s="88">
        <f t="shared" si="6"/>
        <v>5.0364206059357874E-2</v>
      </c>
      <c r="X45" s="84">
        <v>31587.55</v>
      </c>
      <c r="Y45" s="87">
        <f t="shared" si="7"/>
        <v>377493.67777378182</v>
      </c>
      <c r="Z45" s="4"/>
    </row>
    <row r="46" spans="2:26" x14ac:dyDescent="0.25">
      <c r="B46" s="116" t="s">
        <v>75</v>
      </c>
      <c r="C46" s="117" t="s">
        <v>190</v>
      </c>
      <c r="D46" s="94"/>
      <c r="E46" s="115">
        <v>69.3</v>
      </c>
      <c r="F46" s="111">
        <v>0</v>
      </c>
      <c r="G46" s="39">
        <v>0</v>
      </c>
      <c r="H46" s="40">
        <f t="shared" si="0"/>
        <v>0</v>
      </c>
      <c r="I46" s="41">
        <v>0</v>
      </c>
      <c r="J46" s="41">
        <v>1</v>
      </c>
      <c r="K46" s="41">
        <f t="shared" si="1"/>
        <v>0</v>
      </c>
      <c r="L46" s="85">
        <f t="shared" si="2"/>
        <v>0</v>
      </c>
      <c r="N46" s="86">
        <f t="shared" si="3"/>
        <v>0</v>
      </c>
      <c r="P46" s="84">
        <f t="shared" si="4"/>
        <v>0</v>
      </c>
      <c r="Q46" s="87">
        <f t="shared" si="5"/>
        <v>0</v>
      </c>
      <c r="S46" s="84">
        <v>0</v>
      </c>
      <c r="T46" s="87">
        <v>0</v>
      </c>
      <c r="V46" s="88" t="e">
        <f t="shared" si="6"/>
        <v>#DIV/0!</v>
      </c>
      <c r="X46" s="84">
        <v>0</v>
      </c>
      <c r="Y46" s="87">
        <f t="shared" si="7"/>
        <v>0</v>
      </c>
      <c r="Z46" s="4"/>
    </row>
    <row r="47" spans="2:26" x14ac:dyDescent="0.25">
      <c r="B47" s="116" t="s">
        <v>77</v>
      </c>
      <c r="C47" s="117" t="s">
        <v>78</v>
      </c>
      <c r="D47" s="94"/>
      <c r="E47" s="115">
        <f>109.55-35.65</f>
        <v>73.900000000000006</v>
      </c>
      <c r="F47" s="111">
        <v>0.75</v>
      </c>
      <c r="G47" s="39">
        <v>1</v>
      </c>
      <c r="H47" s="40">
        <f t="shared" si="0"/>
        <v>55.43</v>
      </c>
      <c r="I47" s="41">
        <v>0</v>
      </c>
      <c r="J47" s="41">
        <v>1</v>
      </c>
      <c r="K47" s="41">
        <f t="shared" si="1"/>
        <v>0</v>
      </c>
      <c r="L47" s="85">
        <f t="shared" si="2"/>
        <v>55.43</v>
      </c>
      <c r="N47" s="86">
        <f t="shared" si="3"/>
        <v>0.6663</v>
      </c>
      <c r="P47" s="84">
        <f t="shared" si="4"/>
        <v>198377.59975667449</v>
      </c>
      <c r="Q47" s="87">
        <f t="shared" si="5"/>
        <v>2684.4059506992485</v>
      </c>
      <c r="S47" s="84">
        <v>188865.5369368745</v>
      </c>
      <c r="T47" s="87">
        <v>2555.6906216085858</v>
      </c>
      <c r="V47" s="88">
        <f t="shared" si="6"/>
        <v>5.0364206059357652E-2</v>
      </c>
      <c r="X47" s="84">
        <v>15607.53</v>
      </c>
      <c r="Y47" s="87">
        <f t="shared" si="7"/>
        <v>182770.06975667449</v>
      </c>
      <c r="Z47" s="4"/>
    </row>
    <row r="48" spans="2:26" x14ac:dyDescent="0.25">
      <c r="B48" s="78" t="s">
        <v>79</v>
      </c>
      <c r="C48" s="79" t="s">
        <v>209</v>
      </c>
      <c r="D48" s="80"/>
      <c r="E48" s="81">
        <f>219.1+35.65-106.95</f>
        <v>147.80000000000001</v>
      </c>
      <c r="F48" s="82">
        <v>0.75</v>
      </c>
      <c r="G48" s="166">
        <v>1</v>
      </c>
      <c r="H48" s="167">
        <f t="shared" si="0"/>
        <v>110.85</v>
      </c>
      <c r="I48" s="82">
        <v>0</v>
      </c>
      <c r="J48" s="82">
        <v>1</v>
      </c>
      <c r="K48" s="82">
        <f t="shared" si="1"/>
        <v>0</v>
      </c>
      <c r="L48" s="168">
        <f t="shared" si="2"/>
        <v>110.85</v>
      </c>
      <c r="M48" s="80"/>
      <c r="N48" s="86">
        <f t="shared" si="3"/>
        <v>1.3325</v>
      </c>
      <c r="O48" s="80"/>
      <c r="P48" s="169">
        <f t="shared" si="4"/>
        <v>396725.42649822717</v>
      </c>
      <c r="Q48" s="170">
        <f t="shared" si="5"/>
        <v>2684.2045094602649</v>
      </c>
      <c r="R48" s="80"/>
      <c r="S48" s="169">
        <v>377702.7284532272</v>
      </c>
      <c r="T48" s="170">
        <v>2555.498839331713</v>
      </c>
      <c r="U48" s="80"/>
      <c r="V48" s="171">
        <f t="shared" si="6"/>
        <v>5.0364206059357652E-2</v>
      </c>
      <c r="W48" s="80"/>
      <c r="X48" s="169">
        <v>31217.54</v>
      </c>
      <c r="Y48" s="170">
        <f t="shared" si="7"/>
        <v>365507.88649822719</v>
      </c>
      <c r="Z48" s="4"/>
    </row>
    <row r="49" spans="2:26" x14ac:dyDescent="0.25">
      <c r="B49" s="78" t="s">
        <v>79</v>
      </c>
      <c r="C49" s="79" t="s">
        <v>209</v>
      </c>
      <c r="D49" s="80"/>
      <c r="E49" s="81">
        <v>106.95</v>
      </c>
      <c r="F49" s="82">
        <v>0</v>
      </c>
      <c r="G49" s="166">
        <v>1</v>
      </c>
      <c r="H49" s="167">
        <f t="shared" si="0"/>
        <v>0</v>
      </c>
      <c r="I49" s="82">
        <v>0</v>
      </c>
      <c r="J49" s="82">
        <v>1</v>
      </c>
      <c r="K49" s="82">
        <f t="shared" si="1"/>
        <v>0</v>
      </c>
      <c r="L49" s="168">
        <f t="shared" si="2"/>
        <v>0</v>
      </c>
      <c r="M49" s="80"/>
      <c r="N49" s="86">
        <f t="shared" si="3"/>
        <v>0</v>
      </c>
      <c r="O49" s="80"/>
      <c r="P49" s="169">
        <f t="shared" si="4"/>
        <v>0</v>
      </c>
      <c r="Q49" s="170">
        <f t="shared" si="5"/>
        <v>0</v>
      </c>
      <c r="R49" s="80"/>
      <c r="S49" s="169">
        <v>0</v>
      </c>
      <c r="T49" s="170">
        <v>0</v>
      </c>
      <c r="U49" s="80"/>
      <c r="V49" s="171" t="e">
        <f t="shared" si="6"/>
        <v>#DIV/0!</v>
      </c>
      <c r="W49" s="80"/>
      <c r="X49" s="169"/>
      <c r="Y49" s="170"/>
      <c r="Z49" s="4"/>
    </row>
    <row r="50" spans="2:26" x14ac:dyDescent="0.25">
      <c r="B50" s="116" t="s">
        <v>80</v>
      </c>
      <c r="C50" s="117" t="s">
        <v>210</v>
      </c>
      <c r="D50" s="94"/>
      <c r="E50" s="115">
        <f>219.1-71.3</f>
        <v>147.80000000000001</v>
      </c>
      <c r="F50" s="111">
        <v>0.75</v>
      </c>
      <c r="G50" s="39">
        <v>1</v>
      </c>
      <c r="H50" s="40">
        <f t="shared" si="0"/>
        <v>110.85</v>
      </c>
      <c r="I50" s="41">
        <v>0</v>
      </c>
      <c r="J50" s="41">
        <v>1</v>
      </c>
      <c r="K50" s="41">
        <f t="shared" si="1"/>
        <v>0</v>
      </c>
      <c r="L50" s="85">
        <f t="shared" si="2"/>
        <v>110.85</v>
      </c>
      <c r="N50" s="86">
        <f t="shared" si="3"/>
        <v>1.3325</v>
      </c>
      <c r="P50" s="84">
        <f t="shared" si="4"/>
        <v>396725.42649822717</v>
      </c>
      <c r="Q50" s="87">
        <f t="shared" si="5"/>
        <v>2684.2045094602649</v>
      </c>
      <c r="S50" s="84">
        <v>377702.7284532272</v>
      </c>
      <c r="T50" s="87">
        <v>2555.498839331713</v>
      </c>
      <c r="V50" s="88">
        <f t="shared" si="6"/>
        <v>5.0364206059357652E-2</v>
      </c>
      <c r="X50" s="84">
        <v>31217.54</v>
      </c>
      <c r="Y50" s="87">
        <f t="shared" ref="Y50:Y89" si="8">+P50-X50</f>
        <v>365507.88649822719</v>
      </c>
      <c r="Z50" s="4"/>
    </row>
    <row r="51" spans="2:26" x14ac:dyDescent="0.25">
      <c r="B51" s="116" t="s">
        <v>80</v>
      </c>
      <c r="C51" s="117" t="s">
        <v>210</v>
      </c>
      <c r="D51" s="94"/>
      <c r="E51" s="115">
        <v>71.3</v>
      </c>
      <c r="F51" s="111">
        <v>0</v>
      </c>
      <c r="G51" s="39">
        <v>0</v>
      </c>
      <c r="H51" s="40">
        <f t="shared" si="0"/>
        <v>0</v>
      </c>
      <c r="I51" s="41">
        <v>0</v>
      </c>
      <c r="J51" s="41">
        <v>1</v>
      </c>
      <c r="K51" s="41">
        <f t="shared" si="1"/>
        <v>0</v>
      </c>
      <c r="L51" s="85">
        <f t="shared" si="2"/>
        <v>0</v>
      </c>
      <c r="N51" s="86">
        <f t="shared" si="3"/>
        <v>0</v>
      </c>
      <c r="P51" s="84">
        <f t="shared" si="4"/>
        <v>0</v>
      </c>
      <c r="Q51" s="87">
        <f t="shared" si="5"/>
        <v>0</v>
      </c>
      <c r="S51" s="84">
        <v>0</v>
      </c>
      <c r="T51" s="87">
        <v>0</v>
      </c>
      <c r="V51" s="88"/>
      <c r="X51" s="84"/>
      <c r="Y51" s="87"/>
      <c r="Z51" s="4"/>
    </row>
    <row r="52" spans="2:26" x14ac:dyDescent="0.25">
      <c r="B52" s="116" t="s">
        <v>81</v>
      </c>
      <c r="C52" s="117" t="s">
        <v>82</v>
      </c>
      <c r="D52" s="94"/>
      <c r="E52" s="115">
        <f>168.85-50.65</f>
        <v>118.19999999999999</v>
      </c>
      <c r="F52" s="111">
        <v>0.75</v>
      </c>
      <c r="G52" s="39">
        <v>1</v>
      </c>
      <c r="H52" s="40">
        <f t="shared" si="0"/>
        <v>88.65</v>
      </c>
      <c r="I52" s="41">
        <v>0</v>
      </c>
      <c r="J52" s="41">
        <v>1</v>
      </c>
      <c r="K52" s="41">
        <f t="shared" si="1"/>
        <v>0</v>
      </c>
      <c r="L52" s="85">
        <f t="shared" si="2"/>
        <v>88.65</v>
      </c>
      <c r="N52" s="86">
        <f t="shared" si="3"/>
        <v>1.0657000000000001</v>
      </c>
      <c r="P52" s="84">
        <f t="shared" si="4"/>
        <v>317291.02215321636</v>
      </c>
      <c r="Q52" s="87">
        <f t="shared" si="5"/>
        <v>2684.3572094180745</v>
      </c>
      <c r="S52" s="84">
        <v>302077.14650101634</v>
      </c>
      <c r="T52" s="87">
        <v>2555.6442174366866</v>
      </c>
      <c r="V52" s="88">
        <f t="shared" si="6"/>
        <v>5.0364206059357874E-2</v>
      </c>
      <c r="X52" s="84">
        <v>23972.51</v>
      </c>
      <c r="Y52" s="87">
        <f t="shared" si="8"/>
        <v>293318.51215321635</v>
      </c>
      <c r="Z52" s="4"/>
    </row>
    <row r="53" spans="2:26" x14ac:dyDescent="0.25">
      <c r="B53" s="116" t="s">
        <v>81</v>
      </c>
      <c r="C53" s="117" t="s">
        <v>192</v>
      </c>
      <c r="D53" s="94"/>
      <c r="E53" s="115">
        <v>50.65</v>
      </c>
      <c r="F53" s="111">
        <v>0</v>
      </c>
      <c r="G53" s="39">
        <v>0</v>
      </c>
      <c r="H53" s="40">
        <f t="shared" si="0"/>
        <v>0</v>
      </c>
      <c r="I53" s="41">
        <v>0</v>
      </c>
      <c r="J53" s="41">
        <v>1</v>
      </c>
      <c r="K53" s="41">
        <f t="shared" si="1"/>
        <v>0</v>
      </c>
      <c r="L53" s="85">
        <f t="shared" si="2"/>
        <v>0</v>
      </c>
      <c r="N53" s="86">
        <f t="shared" si="3"/>
        <v>0</v>
      </c>
      <c r="P53" s="84">
        <f t="shared" si="4"/>
        <v>0</v>
      </c>
      <c r="Q53" s="87">
        <f t="shared" si="5"/>
        <v>0</v>
      </c>
      <c r="S53" s="84">
        <v>0</v>
      </c>
      <c r="T53" s="87">
        <v>0</v>
      </c>
      <c r="V53" s="88"/>
      <c r="X53" s="84"/>
      <c r="Y53" s="87"/>
      <c r="Z53" s="4"/>
    </row>
    <row r="54" spans="2:26" x14ac:dyDescent="0.25">
      <c r="B54" s="116" t="s">
        <v>83</v>
      </c>
      <c r="C54" s="117" t="s">
        <v>171</v>
      </c>
      <c r="D54" s="94"/>
      <c r="E54" s="115">
        <f>149.55-11.9</f>
        <v>137.65</v>
      </c>
      <c r="F54" s="111">
        <v>0.75</v>
      </c>
      <c r="G54" s="39">
        <v>1</v>
      </c>
      <c r="H54" s="40">
        <f t="shared" si="0"/>
        <v>103.24</v>
      </c>
      <c r="I54" s="41">
        <v>0</v>
      </c>
      <c r="J54" s="41">
        <v>1</v>
      </c>
      <c r="K54" s="41">
        <f t="shared" si="1"/>
        <v>0</v>
      </c>
      <c r="L54" s="85">
        <f t="shared" si="2"/>
        <v>103.24</v>
      </c>
      <c r="N54" s="86">
        <f t="shared" si="3"/>
        <v>1.2411000000000001</v>
      </c>
      <c r="P54" s="84">
        <f t="shared" si="4"/>
        <v>369512.89067688538</v>
      </c>
      <c r="Q54" s="87">
        <f t="shared" si="5"/>
        <v>2684.4379998320769</v>
      </c>
      <c r="S54" s="84">
        <v>351795.01409628539</v>
      </c>
      <c r="T54" s="87">
        <v>2555.7211340086114</v>
      </c>
      <c r="V54" s="88">
        <f t="shared" si="6"/>
        <v>5.0364206059357652E-2</v>
      </c>
      <c r="X54" s="84">
        <v>21306.69</v>
      </c>
      <c r="Y54" s="87">
        <f t="shared" si="8"/>
        <v>348206.20067688538</v>
      </c>
      <c r="Z54" s="4"/>
    </row>
    <row r="55" spans="2:26" x14ac:dyDescent="0.25">
      <c r="B55" s="116" t="s">
        <v>83</v>
      </c>
      <c r="C55" s="117" t="s">
        <v>193</v>
      </c>
      <c r="D55" s="94"/>
      <c r="E55" s="115">
        <v>11.9</v>
      </c>
      <c r="F55" s="111">
        <v>0</v>
      </c>
      <c r="G55" s="39">
        <v>0</v>
      </c>
      <c r="H55" s="40">
        <f t="shared" si="0"/>
        <v>0</v>
      </c>
      <c r="I55" s="41">
        <v>0</v>
      </c>
      <c r="J55" s="41">
        <v>1</v>
      </c>
      <c r="K55" s="41">
        <f t="shared" si="1"/>
        <v>0</v>
      </c>
      <c r="L55" s="85">
        <f t="shared" si="2"/>
        <v>0</v>
      </c>
      <c r="N55" s="86">
        <f t="shared" si="3"/>
        <v>0</v>
      </c>
      <c r="P55" s="84">
        <f t="shared" si="4"/>
        <v>0</v>
      </c>
      <c r="Q55" s="87">
        <f t="shared" si="5"/>
        <v>0</v>
      </c>
      <c r="S55" s="84">
        <v>0</v>
      </c>
      <c r="T55" s="87">
        <v>0</v>
      </c>
      <c r="V55" s="88"/>
      <c r="X55" s="84"/>
      <c r="Y55" s="87"/>
      <c r="Z55" s="4"/>
    </row>
    <row r="56" spans="2:26" x14ac:dyDescent="0.25">
      <c r="B56" s="78" t="s">
        <v>218</v>
      </c>
      <c r="C56" s="79" t="s">
        <v>219</v>
      </c>
      <c r="D56" s="80"/>
      <c r="E56" s="81">
        <v>612.85</v>
      </c>
      <c r="F56" s="82">
        <v>0.3</v>
      </c>
      <c r="G56" s="166">
        <v>1</v>
      </c>
      <c r="H56" s="167">
        <f t="shared" si="0"/>
        <v>183.86</v>
      </c>
      <c r="I56" s="82">
        <v>0</v>
      </c>
      <c r="J56" s="82">
        <v>1</v>
      </c>
      <c r="K56" s="82">
        <f t="shared" si="1"/>
        <v>0</v>
      </c>
      <c r="L56" s="168">
        <f t="shared" si="2"/>
        <v>183.86</v>
      </c>
      <c r="N56" s="86">
        <f t="shared" si="3"/>
        <v>2.2101999999999999</v>
      </c>
      <c r="P56" s="169">
        <f t="shared" si="4"/>
        <v>658043.18022242526</v>
      </c>
      <c r="Q56" s="170">
        <f t="shared" si="5"/>
        <v>1073.7426453821085</v>
      </c>
      <c r="R56" s="80"/>
      <c r="S56" s="169">
        <v>626490.48437322525</v>
      </c>
      <c r="T56" s="170">
        <v>1022.2574600199481</v>
      </c>
      <c r="U56" s="80"/>
      <c r="V56" s="171">
        <f t="shared" si="6"/>
        <v>5.0364206059357874E-2</v>
      </c>
      <c r="W56" s="80"/>
      <c r="X56" s="169"/>
      <c r="Y56" s="170">
        <f t="shared" si="8"/>
        <v>658043.18022242526</v>
      </c>
      <c r="Z56" s="4"/>
    </row>
    <row r="57" spans="2:26" x14ac:dyDescent="0.25">
      <c r="B57" s="101" t="s">
        <v>84</v>
      </c>
      <c r="C57" s="97" t="s">
        <v>222</v>
      </c>
      <c r="D57" s="98"/>
      <c r="E57" s="103">
        <v>30.05</v>
      </c>
      <c r="F57" s="100">
        <v>1</v>
      </c>
      <c r="G57" s="39">
        <v>1</v>
      </c>
      <c r="H57" s="40">
        <f t="shared" si="0"/>
        <v>30.05</v>
      </c>
      <c r="I57" s="41">
        <v>0</v>
      </c>
      <c r="J57" s="41">
        <v>1</v>
      </c>
      <c r="K57" s="41">
        <f>ROUND(I57*J57,2)</f>
        <v>0</v>
      </c>
      <c r="L57" s="85">
        <f>H57+K57</f>
        <v>30.05</v>
      </c>
      <c r="N57" s="86">
        <f t="shared" si="3"/>
        <v>0.36120000000000002</v>
      </c>
      <c r="P57" s="84">
        <f t="shared" si="4"/>
        <v>107540.13062000726</v>
      </c>
      <c r="Q57" s="87">
        <f t="shared" si="5"/>
        <v>3578.7065098172134</v>
      </c>
      <c r="S57" s="84">
        <v>102383.65892480726</v>
      </c>
      <c r="T57" s="87">
        <v>3407.1101139702914</v>
      </c>
      <c r="V57" s="88">
        <f t="shared" si="6"/>
        <v>5.0364206059357874E-2</v>
      </c>
      <c r="X57" s="84">
        <v>5709.1</v>
      </c>
      <c r="Y57" s="87">
        <f t="shared" si="8"/>
        <v>101831.03062000725</v>
      </c>
      <c r="Z57" s="4"/>
    </row>
    <row r="58" spans="2:26" x14ac:dyDescent="0.25">
      <c r="B58" s="116"/>
      <c r="C58" s="117" t="s">
        <v>85</v>
      </c>
      <c r="D58" s="94"/>
      <c r="E58" s="115">
        <v>1934.81</v>
      </c>
      <c r="F58" s="111">
        <v>0.08</v>
      </c>
      <c r="G58" s="39">
        <v>1</v>
      </c>
      <c r="H58" s="40">
        <f t="shared" si="0"/>
        <v>154.78</v>
      </c>
      <c r="I58" s="41">
        <v>0</v>
      </c>
      <c r="J58" s="41">
        <v>1</v>
      </c>
      <c r="K58" s="41">
        <f>ROUND(I58*J58,2)</f>
        <v>0</v>
      </c>
      <c r="L58" s="85">
        <f>H58+K58</f>
        <v>154.78</v>
      </c>
      <c r="N58" s="86">
        <f t="shared" si="3"/>
        <v>1.8606</v>
      </c>
      <c r="P58" s="84">
        <f t="shared" si="4"/>
        <v>553956.71935654897</v>
      </c>
      <c r="Q58" s="87">
        <f t="shared" si="5"/>
        <v>286.31065549410482</v>
      </c>
      <c r="S58" s="84">
        <v>527394.89422894898</v>
      </c>
      <c r="T58" s="87">
        <v>272.58226607726289</v>
      </c>
      <c r="V58" s="88">
        <f t="shared" si="6"/>
        <v>5.0364206059357874E-2</v>
      </c>
      <c r="X58" s="84">
        <v>24417.02</v>
      </c>
      <c r="Y58" s="87">
        <f t="shared" si="8"/>
        <v>529539.69935654895</v>
      </c>
      <c r="Z58" s="4"/>
    </row>
    <row r="59" spans="2:26" x14ac:dyDescent="0.25">
      <c r="B59" s="78" t="s">
        <v>86</v>
      </c>
      <c r="C59" s="79" t="s">
        <v>87</v>
      </c>
      <c r="D59" s="80"/>
      <c r="E59" s="81">
        <v>565</v>
      </c>
      <c r="F59" s="83">
        <v>0.5</v>
      </c>
      <c r="G59" s="166">
        <v>1</v>
      </c>
      <c r="H59" s="167">
        <f t="shared" si="0"/>
        <v>282.5</v>
      </c>
      <c r="I59" s="82">
        <v>0</v>
      </c>
      <c r="J59" s="82">
        <v>1</v>
      </c>
      <c r="K59" s="82">
        <f t="shared" si="1"/>
        <v>0</v>
      </c>
      <c r="L59" s="168">
        <f t="shared" si="2"/>
        <v>282.5</v>
      </c>
      <c r="N59" s="86">
        <f t="shared" si="3"/>
        <v>3.3959999999999999</v>
      </c>
      <c r="P59" s="169">
        <f t="shared" si="4"/>
        <v>1011091.5935369453</v>
      </c>
      <c r="Q59" s="170">
        <f t="shared" si="5"/>
        <v>1789.5426434282217</v>
      </c>
      <c r="R59" s="80"/>
      <c r="S59" s="169">
        <v>962610.48092094529</v>
      </c>
      <c r="T59" s="170">
        <v>1703.7353644618502</v>
      </c>
      <c r="U59" s="80"/>
      <c r="V59" s="171">
        <f t="shared" si="6"/>
        <v>5.0364206059357874E-2</v>
      </c>
      <c r="W59" s="80"/>
      <c r="X59" s="169"/>
      <c r="Y59" s="170">
        <f t="shared" si="8"/>
        <v>1011091.5935369453</v>
      </c>
      <c r="Z59" s="4"/>
    </row>
    <row r="60" spans="2:26" x14ac:dyDescent="0.25">
      <c r="B60" s="101" t="s">
        <v>186</v>
      </c>
      <c r="C60" s="97" t="s">
        <v>199</v>
      </c>
      <c r="D60" s="98"/>
      <c r="E60" s="103">
        <v>31</v>
      </c>
      <c r="F60" s="100">
        <v>1</v>
      </c>
      <c r="G60" s="39">
        <v>1</v>
      </c>
      <c r="H60" s="40">
        <f t="shared" si="0"/>
        <v>31</v>
      </c>
      <c r="I60" s="41">
        <v>0</v>
      </c>
      <c r="J60" s="41">
        <v>1</v>
      </c>
      <c r="K60" s="41">
        <f t="shared" si="1"/>
        <v>0</v>
      </c>
      <c r="L60" s="85">
        <f t="shared" si="2"/>
        <v>31</v>
      </c>
      <c r="N60" s="86">
        <f t="shared" si="3"/>
        <v>0.37269999999999998</v>
      </c>
      <c r="P60" s="84">
        <f t="shared" si="4"/>
        <v>110964.02735901633</v>
      </c>
      <c r="Q60" s="87">
        <f t="shared" si="5"/>
        <v>3579.4847535166559</v>
      </c>
      <c r="S60" s="84">
        <v>105643.38228481634</v>
      </c>
      <c r="T60" s="87">
        <v>3407.8510414456882</v>
      </c>
      <c r="V60" s="88">
        <f t="shared" si="6"/>
        <v>5.0364206059357652E-2</v>
      </c>
      <c r="X60" s="84"/>
      <c r="Y60" s="87">
        <f t="shared" si="8"/>
        <v>110964.02735901633</v>
      </c>
      <c r="Z60" s="4"/>
    </row>
    <row r="61" spans="2:26" x14ac:dyDescent="0.25">
      <c r="B61" s="101" t="s">
        <v>187</v>
      </c>
      <c r="C61" s="97" t="s">
        <v>188</v>
      </c>
      <c r="D61" s="98"/>
      <c r="E61" s="103">
        <v>45.3</v>
      </c>
      <c r="F61" s="100">
        <v>1</v>
      </c>
      <c r="G61" s="39">
        <v>1</v>
      </c>
      <c r="H61" s="40">
        <f>ROUND(E61*G61*F61,2)</f>
        <v>45.3</v>
      </c>
      <c r="I61" s="41">
        <v>0</v>
      </c>
      <c r="J61" s="41">
        <v>1</v>
      </c>
      <c r="K61" s="41">
        <f>ROUND(I61*J61,2)</f>
        <v>0</v>
      </c>
      <c r="L61" s="85">
        <f>H61+K61</f>
        <v>45.3</v>
      </c>
      <c r="N61" s="86">
        <f t="shared" si="3"/>
        <v>0.54459999999999997</v>
      </c>
      <c r="P61" s="84">
        <f>($P$12*N61)/100</f>
        <v>162143.84035342178</v>
      </c>
      <c r="Q61" s="87">
        <f>P61/E61</f>
        <v>3579.3342241373462</v>
      </c>
      <c r="S61" s="84">
        <v>154369.16016182178</v>
      </c>
      <c r="T61" s="87">
        <v>3407.7077298415406</v>
      </c>
      <c r="V61" s="88">
        <f t="shared" si="6"/>
        <v>5.0364206059357874E-2</v>
      </c>
      <c r="X61" s="84"/>
      <c r="Y61" s="87">
        <f t="shared" si="8"/>
        <v>162143.84035342178</v>
      </c>
      <c r="Z61" s="4"/>
    </row>
    <row r="62" spans="2:26" x14ac:dyDescent="0.25">
      <c r="B62" s="101" t="s">
        <v>88</v>
      </c>
      <c r="C62" s="97" t="s">
        <v>89</v>
      </c>
      <c r="D62" s="98"/>
      <c r="E62" s="103">
        <v>39.799999999999997</v>
      </c>
      <c r="F62" s="100">
        <v>1</v>
      </c>
      <c r="G62" s="39">
        <v>1</v>
      </c>
      <c r="H62" s="40">
        <f t="shared" si="0"/>
        <v>39.799999999999997</v>
      </c>
      <c r="I62" s="41">
        <v>0</v>
      </c>
      <c r="J62" s="41">
        <v>1</v>
      </c>
      <c r="K62" s="41">
        <f t="shared" si="1"/>
        <v>0</v>
      </c>
      <c r="L62" s="85">
        <f t="shared" si="2"/>
        <v>39.799999999999997</v>
      </c>
      <c r="N62" s="86">
        <f t="shared" si="3"/>
        <v>0.47839999999999999</v>
      </c>
      <c r="P62" s="84">
        <f t="shared" si="4"/>
        <v>142434.10434277816</v>
      </c>
      <c r="Q62" s="87">
        <f t="shared" si="5"/>
        <v>3578.7463402708081</v>
      </c>
      <c r="S62" s="84">
        <v>135604.49177637816</v>
      </c>
      <c r="T62" s="87">
        <v>3407.1480345823661</v>
      </c>
      <c r="V62" s="88">
        <f t="shared" si="6"/>
        <v>5.0364206059357874E-2</v>
      </c>
      <c r="X62" s="84">
        <v>7560.4</v>
      </c>
      <c r="Y62" s="87">
        <f t="shared" si="8"/>
        <v>134873.70434277816</v>
      </c>
      <c r="Z62" s="4"/>
    </row>
    <row r="63" spans="2:26" x14ac:dyDescent="0.25">
      <c r="B63" s="101" t="s">
        <v>161</v>
      </c>
      <c r="C63" s="97" t="s">
        <v>194</v>
      </c>
      <c r="D63" s="98"/>
      <c r="E63" s="103">
        <v>43.5</v>
      </c>
      <c r="F63" s="100">
        <v>1</v>
      </c>
      <c r="G63" s="39">
        <v>1</v>
      </c>
      <c r="H63" s="40">
        <f t="shared" si="0"/>
        <v>43.5</v>
      </c>
      <c r="I63" s="41">
        <v>0</v>
      </c>
      <c r="J63" s="41">
        <v>1</v>
      </c>
      <c r="K63" s="41">
        <f t="shared" si="1"/>
        <v>0</v>
      </c>
      <c r="L63" s="85">
        <f t="shared" si="2"/>
        <v>43.5</v>
      </c>
      <c r="N63" s="86">
        <f t="shared" si="3"/>
        <v>0.52290000000000003</v>
      </c>
      <c r="P63" s="84">
        <f t="shared" si="4"/>
        <v>155683.09607198727</v>
      </c>
      <c r="Q63" s="87">
        <f t="shared" si="5"/>
        <v>3578.9217487813166</v>
      </c>
      <c r="R63" s="2"/>
      <c r="S63" s="84">
        <v>148218.20390858725</v>
      </c>
      <c r="T63" s="87">
        <v>3407.3150323813161</v>
      </c>
      <c r="U63" s="2"/>
      <c r="V63" s="88">
        <f t="shared" si="6"/>
        <v>5.0364206059357874E-2</v>
      </c>
      <c r="W63" s="2"/>
      <c r="X63" s="84">
        <v>7551.71</v>
      </c>
      <c r="Y63" s="87">
        <f t="shared" si="8"/>
        <v>148131.38607198728</v>
      </c>
      <c r="Z63" s="4"/>
    </row>
    <row r="64" spans="2:26" x14ac:dyDescent="0.25">
      <c r="B64" s="101" t="s">
        <v>162</v>
      </c>
      <c r="C64" s="97" t="s">
        <v>216</v>
      </c>
      <c r="D64" s="98"/>
      <c r="E64" s="100">
        <f>(39.75+33.85+33.8+43.4)*0.85+(23.65/2)</f>
        <v>140.00499999999997</v>
      </c>
      <c r="F64" s="100">
        <v>1</v>
      </c>
      <c r="G64" s="39">
        <v>1</v>
      </c>
      <c r="H64" s="40">
        <f t="shared" si="0"/>
        <v>140.01</v>
      </c>
      <c r="I64" s="41">
        <v>0</v>
      </c>
      <c r="J64" s="41">
        <v>1</v>
      </c>
      <c r="K64" s="41">
        <f t="shared" si="1"/>
        <v>0</v>
      </c>
      <c r="L64" s="85">
        <f t="shared" si="2"/>
        <v>140.01</v>
      </c>
      <c r="N64" s="86">
        <f t="shared" si="3"/>
        <v>1.6831</v>
      </c>
      <c r="P64" s="84">
        <f t="shared" si="4"/>
        <v>501109.61751532176</v>
      </c>
      <c r="Q64" s="87">
        <f t="shared" si="5"/>
        <v>3579.2265813029667</v>
      </c>
      <c r="R64" s="93"/>
      <c r="S64" s="84">
        <v>477081.77280272171</v>
      </c>
      <c r="T64" s="87">
        <v>3407.6052484034271</v>
      </c>
      <c r="U64" s="93"/>
      <c r="V64" s="88">
        <f t="shared" si="6"/>
        <v>5.0364206059357874E-2</v>
      </c>
      <c r="W64" s="93"/>
      <c r="X64" s="84">
        <v>27406.92</v>
      </c>
      <c r="Y64" s="87">
        <f t="shared" si="8"/>
        <v>473702.69751532178</v>
      </c>
      <c r="Z64" s="4"/>
    </row>
    <row r="65" spans="2:26" x14ac:dyDescent="0.25">
      <c r="B65" s="116" t="s">
        <v>90</v>
      </c>
      <c r="C65" s="117" t="s">
        <v>127</v>
      </c>
      <c r="D65" s="94"/>
      <c r="E65" s="115">
        <f>150.45+23.65-23.65</f>
        <v>150.44999999999999</v>
      </c>
      <c r="F65" s="111">
        <v>0.8</v>
      </c>
      <c r="G65" s="39">
        <v>1</v>
      </c>
      <c r="H65" s="40">
        <f t="shared" si="0"/>
        <v>120.36</v>
      </c>
      <c r="I65" s="41">
        <v>0</v>
      </c>
      <c r="J65" s="41">
        <v>1</v>
      </c>
      <c r="K65" s="41">
        <f t="shared" si="1"/>
        <v>0</v>
      </c>
      <c r="L65" s="85">
        <f t="shared" si="2"/>
        <v>120.36</v>
      </c>
      <c r="N65" s="86">
        <f t="shared" si="3"/>
        <v>1.4469000000000001</v>
      </c>
      <c r="P65" s="84">
        <f t="shared" si="4"/>
        <v>430785.75579758728</v>
      </c>
      <c r="Q65" s="87">
        <f t="shared" si="5"/>
        <v>2863.3150933704705</v>
      </c>
      <c r="S65" s="84">
        <v>410129.88953018718</v>
      </c>
      <c r="T65" s="87">
        <v>2726.0211999347771</v>
      </c>
      <c r="V65" s="88">
        <f t="shared" si="6"/>
        <v>5.0364206059358096E-2</v>
      </c>
      <c r="X65" s="84">
        <v>29766.05</v>
      </c>
      <c r="Y65" s="87">
        <f t="shared" si="8"/>
        <v>401019.70579758729</v>
      </c>
      <c r="Z65" s="4"/>
    </row>
    <row r="66" spans="2:26" x14ac:dyDescent="0.25">
      <c r="B66" s="101" t="s">
        <v>91</v>
      </c>
      <c r="C66" s="97" t="s">
        <v>181</v>
      </c>
      <c r="D66" s="98"/>
      <c r="E66" s="103">
        <v>0</v>
      </c>
      <c r="F66" s="100">
        <v>1</v>
      </c>
      <c r="G66" s="39">
        <v>1</v>
      </c>
      <c r="H66" s="40">
        <f t="shared" si="0"/>
        <v>0</v>
      </c>
      <c r="I66" s="41">
        <v>0</v>
      </c>
      <c r="J66" s="41">
        <v>1</v>
      </c>
      <c r="K66" s="41">
        <f t="shared" si="1"/>
        <v>0</v>
      </c>
      <c r="L66" s="85">
        <f t="shared" si="2"/>
        <v>0</v>
      </c>
      <c r="N66" s="86">
        <f t="shared" si="3"/>
        <v>0</v>
      </c>
      <c r="P66" s="84">
        <f t="shared" si="4"/>
        <v>0</v>
      </c>
      <c r="Q66" s="87" t="e">
        <f t="shared" si="5"/>
        <v>#DIV/0!</v>
      </c>
      <c r="S66" s="84">
        <v>0</v>
      </c>
      <c r="T66" s="87" t="e">
        <v>#DIV/0!</v>
      </c>
      <c r="V66" s="88" t="e">
        <f t="shared" si="6"/>
        <v>#DIV/0!</v>
      </c>
      <c r="X66" s="84">
        <v>26253.42</v>
      </c>
      <c r="Y66" s="87">
        <f t="shared" si="8"/>
        <v>-26253.42</v>
      </c>
      <c r="Z66" s="4"/>
    </row>
    <row r="67" spans="2:26" x14ac:dyDescent="0.25">
      <c r="B67" s="101" t="s">
        <v>92</v>
      </c>
      <c r="C67" s="97" t="s">
        <v>181</v>
      </c>
      <c r="D67" s="98"/>
      <c r="E67" s="103">
        <v>0</v>
      </c>
      <c r="F67" s="100">
        <v>1</v>
      </c>
      <c r="G67" s="39">
        <v>1</v>
      </c>
      <c r="H67" s="40">
        <f t="shared" si="0"/>
        <v>0</v>
      </c>
      <c r="I67" s="41">
        <v>0</v>
      </c>
      <c r="J67" s="41">
        <v>1</v>
      </c>
      <c r="K67" s="41">
        <f t="shared" si="1"/>
        <v>0</v>
      </c>
      <c r="L67" s="85">
        <f t="shared" si="2"/>
        <v>0</v>
      </c>
      <c r="N67" s="86">
        <f t="shared" si="3"/>
        <v>0</v>
      </c>
      <c r="P67" s="84">
        <f t="shared" si="4"/>
        <v>0</v>
      </c>
      <c r="Q67" s="87" t="e">
        <f t="shared" si="5"/>
        <v>#DIV/0!</v>
      </c>
      <c r="S67" s="84">
        <v>0</v>
      </c>
      <c r="T67" s="87" t="e">
        <v>#DIV/0!</v>
      </c>
      <c r="V67" s="88" t="e">
        <f t="shared" si="6"/>
        <v>#DIV/0!</v>
      </c>
      <c r="X67" s="84">
        <v>7750.37</v>
      </c>
      <c r="Y67" s="87">
        <f t="shared" si="8"/>
        <v>-7750.37</v>
      </c>
      <c r="Z67" s="4"/>
    </row>
    <row r="68" spans="2:26" x14ac:dyDescent="0.25">
      <c r="B68" s="116" t="s">
        <v>93</v>
      </c>
      <c r="C68" s="109" t="s">
        <v>95</v>
      </c>
      <c r="D68" s="94"/>
      <c r="E68" s="115">
        <v>39.200000000000003</v>
      </c>
      <c r="F68" s="111">
        <v>0.8</v>
      </c>
      <c r="G68" s="39">
        <v>1</v>
      </c>
      <c r="H68" s="40">
        <f t="shared" si="0"/>
        <v>31.36</v>
      </c>
      <c r="I68" s="41">
        <v>0</v>
      </c>
      <c r="J68" s="41">
        <v>1</v>
      </c>
      <c r="K68" s="41">
        <f t="shared" si="1"/>
        <v>0</v>
      </c>
      <c r="L68" s="85">
        <f t="shared" si="2"/>
        <v>31.36</v>
      </c>
      <c r="N68" s="86">
        <f t="shared" si="3"/>
        <v>0.377</v>
      </c>
      <c r="P68" s="84">
        <f t="shared" si="4"/>
        <v>112244.26700925453</v>
      </c>
      <c r="Q68" s="87">
        <f t="shared" si="5"/>
        <v>2863.3741583993501</v>
      </c>
      <c r="S68" s="84">
        <v>106862.23536725453</v>
      </c>
      <c r="T68" s="87">
        <v>2726.0774328381253</v>
      </c>
      <c r="V68" s="88">
        <f t="shared" si="6"/>
        <v>5.0364206059357874E-2</v>
      </c>
      <c r="X68" s="84">
        <v>7447.41</v>
      </c>
      <c r="Y68" s="87">
        <f t="shared" si="8"/>
        <v>104796.85700925453</v>
      </c>
      <c r="Z68" s="4"/>
    </row>
    <row r="69" spans="2:26" x14ac:dyDescent="0.25">
      <c r="B69" s="108" t="s">
        <v>94</v>
      </c>
      <c r="C69" s="109" t="s">
        <v>95</v>
      </c>
      <c r="D69" s="94"/>
      <c r="E69" s="115">
        <v>179.3</v>
      </c>
      <c r="F69" s="111">
        <v>0.8</v>
      </c>
      <c r="G69" s="39">
        <v>1</v>
      </c>
      <c r="H69" s="40">
        <f t="shared" si="0"/>
        <v>143.44</v>
      </c>
      <c r="I69" s="41">
        <v>0</v>
      </c>
      <c r="J69" s="41">
        <v>1</v>
      </c>
      <c r="K69" s="41">
        <f t="shared" si="1"/>
        <v>0</v>
      </c>
      <c r="L69" s="85">
        <f t="shared" si="2"/>
        <v>143.44</v>
      </c>
      <c r="N69" s="86">
        <f t="shared" si="3"/>
        <v>1.7242999999999999</v>
      </c>
      <c r="P69" s="84">
        <f t="shared" si="4"/>
        <v>513376.09974551084</v>
      </c>
      <c r="Q69" s="87">
        <f t="shared" si="5"/>
        <v>2863.2242038232616</v>
      </c>
      <c r="S69" s="84">
        <v>488760.08605771081</v>
      </c>
      <c r="T69" s="87">
        <v>2725.9346684757993</v>
      </c>
      <c r="V69" s="88">
        <f t="shared" si="6"/>
        <v>5.0364206059357874E-2</v>
      </c>
      <c r="X69" s="84">
        <v>26481.89</v>
      </c>
      <c r="Y69" s="87">
        <f t="shared" si="8"/>
        <v>486894.20974551083</v>
      </c>
      <c r="Z69" s="4"/>
    </row>
    <row r="70" spans="2:26" x14ac:dyDescent="0.25">
      <c r="B70" s="105" t="s">
        <v>96</v>
      </c>
      <c r="C70" s="106" t="s">
        <v>97</v>
      </c>
      <c r="D70" s="98"/>
      <c r="E70" s="103">
        <v>58</v>
      </c>
      <c r="F70" s="100">
        <v>1</v>
      </c>
      <c r="G70" s="39">
        <v>1</v>
      </c>
      <c r="H70" s="40">
        <f t="shared" si="0"/>
        <v>58</v>
      </c>
      <c r="I70" s="41">
        <v>0</v>
      </c>
      <c r="J70" s="41">
        <v>1</v>
      </c>
      <c r="K70" s="41">
        <f>ROUND(I70*J70,2)</f>
        <v>0</v>
      </c>
      <c r="L70" s="85">
        <f>H70+K70</f>
        <v>58</v>
      </c>
      <c r="N70" s="86">
        <f t="shared" si="3"/>
        <v>0.69720000000000004</v>
      </c>
      <c r="P70" s="84">
        <f t="shared" si="4"/>
        <v>207577.46142931632</v>
      </c>
      <c r="Q70" s="87">
        <f t="shared" si="5"/>
        <v>3578.9217487813157</v>
      </c>
      <c r="S70" s="84">
        <v>197624.27187811633</v>
      </c>
      <c r="T70" s="87">
        <v>3407.3150323813161</v>
      </c>
      <c r="V70" s="88">
        <f t="shared" si="6"/>
        <v>5.0364206059357652E-2</v>
      </c>
      <c r="X70" s="84">
        <v>11018.39</v>
      </c>
      <c r="Y70" s="87">
        <f t="shared" si="8"/>
        <v>196559.0714293163</v>
      </c>
      <c r="Z70" s="4"/>
    </row>
    <row r="71" spans="2:26" x14ac:dyDescent="0.25">
      <c r="B71" s="105" t="s">
        <v>100</v>
      </c>
      <c r="C71" s="106" t="s">
        <v>128</v>
      </c>
      <c r="D71" s="98"/>
      <c r="E71" s="103">
        <v>33.200000000000003</v>
      </c>
      <c r="F71" s="100">
        <v>1</v>
      </c>
      <c r="G71" s="39">
        <v>1</v>
      </c>
      <c r="H71" s="40">
        <f t="shared" si="0"/>
        <v>33.200000000000003</v>
      </c>
      <c r="I71" s="41">
        <v>0</v>
      </c>
      <c r="J71" s="41">
        <v>1</v>
      </c>
      <c r="K71" s="41">
        <f t="shared" si="1"/>
        <v>0</v>
      </c>
      <c r="L71" s="85">
        <f t="shared" si="2"/>
        <v>33.200000000000003</v>
      </c>
      <c r="N71" s="86">
        <f t="shared" si="3"/>
        <v>0.39910000000000001</v>
      </c>
      <c r="P71" s="84">
        <f t="shared" si="4"/>
        <v>118824.10335117634</v>
      </c>
      <c r="Q71" s="87">
        <f t="shared" si="5"/>
        <v>3579.0392575655519</v>
      </c>
      <c r="S71" s="84">
        <v>113126.57330257633</v>
      </c>
      <c r="T71" s="87">
        <v>3407.4269067041059</v>
      </c>
      <c r="V71" s="88">
        <f t="shared" si="6"/>
        <v>5.0364206059357874E-2</v>
      </c>
      <c r="X71" s="84">
        <v>8513.99</v>
      </c>
      <c r="Y71" s="87">
        <f t="shared" si="8"/>
        <v>110310.11335117633</v>
      </c>
      <c r="Z71" s="4"/>
    </row>
    <row r="72" spans="2:26" x14ac:dyDescent="0.25">
      <c r="B72" s="105" t="s">
        <v>99</v>
      </c>
      <c r="C72" s="106" t="s">
        <v>164</v>
      </c>
      <c r="D72" s="98"/>
      <c r="E72" s="103">
        <v>43</v>
      </c>
      <c r="F72" s="100">
        <v>1</v>
      </c>
      <c r="G72" s="39">
        <v>1</v>
      </c>
      <c r="H72" s="40">
        <f t="shared" si="0"/>
        <v>43</v>
      </c>
      <c r="I72" s="41">
        <v>0</v>
      </c>
      <c r="J72" s="41">
        <v>1</v>
      </c>
      <c r="K72" s="41">
        <f>ROUND(I72*J72,2)</f>
        <v>0</v>
      </c>
      <c r="L72" s="85">
        <f>H72+K72</f>
        <v>43</v>
      </c>
      <c r="N72" s="86">
        <f t="shared" si="3"/>
        <v>0.51690000000000003</v>
      </c>
      <c r="P72" s="84">
        <f t="shared" si="4"/>
        <v>153896.71516467817</v>
      </c>
      <c r="Q72" s="87">
        <f t="shared" si="5"/>
        <v>3578.9933759227483</v>
      </c>
      <c r="S72" s="84">
        <v>146517.47867727815</v>
      </c>
      <c r="T72" s="87">
        <v>3407.3832250529804</v>
      </c>
      <c r="V72" s="88">
        <f t="shared" si="6"/>
        <v>5.0364206059357874E-2</v>
      </c>
      <c r="X72" s="84">
        <v>8168.81</v>
      </c>
      <c r="Y72" s="87">
        <f t="shared" si="8"/>
        <v>145727.90516467817</v>
      </c>
      <c r="Z72" s="4"/>
    </row>
    <row r="73" spans="2:26" x14ac:dyDescent="0.25">
      <c r="B73" s="105" t="s">
        <v>98</v>
      </c>
      <c r="C73" s="106" t="s">
        <v>165</v>
      </c>
      <c r="D73" s="98"/>
      <c r="E73" s="103">
        <v>43</v>
      </c>
      <c r="F73" s="100">
        <v>1</v>
      </c>
      <c r="G73" s="39">
        <v>1</v>
      </c>
      <c r="H73" s="40">
        <f t="shared" si="0"/>
        <v>43</v>
      </c>
      <c r="I73" s="41">
        <v>0</v>
      </c>
      <c r="J73" s="41">
        <v>1</v>
      </c>
      <c r="K73" s="41">
        <f>ROUND(I73*J73,2)</f>
        <v>0</v>
      </c>
      <c r="L73" s="85">
        <f>H73+K73</f>
        <v>43</v>
      </c>
      <c r="N73" s="86">
        <f t="shared" si="3"/>
        <v>0.51690000000000003</v>
      </c>
      <c r="P73" s="84">
        <f t="shared" si="4"/>
        <v>153896.71516467817</v>
      </c>
      <c r="Q73" s="87">
        <f t="shared" si="5"/>
        <v>3578.9933759227483</v>
      </c>
      <c r="S73" s="84">
        <v>146517.47867727815</v>
      </c>
      <c r="T73" s="87">
        <v>3407.3832250529804</v>
      </c>
      <c r="V73" s="88">
        <f t="shared" si="6"/>
        <v>5.0364206059357874E-2</v>
      </c>
      <c r="X73" s="84">
        <v>8168.81</v>
      </c>
      <c r="Y73" s="87">
        <f t="shared" si="8"/>
        <v>145727.90516467817</v>
      </c>
      <c r="Z73" s="4"/>
    </row>
    <row r="74" spans="2:26" x14ac:dyDescent="0.25">
      <c r="B74" s="108" t="s">
        <v>170</v>
      </c>
      <c r="C74" s="109" t="s">
        <v>180</v>
      </c>
      <c r="D74" s="94"/>
      <c r="E74" s="115">
        <v>101.8</v>
      </c>
      <c r="F74" s="111">
        <v>0.7</v>
      </c>
      <c r="G74" s="39">
        <v>1</v>
      </c>
      <c r="H74" s="40">
        <f t="shared" si="0"/>
        <v>71.260000000000005</v>
      </c>
      <c r="I74" s="41">
        <v>0</v>
      </c>
      <c r="J74" s="41">
        <v>1</v>
      </c>
      <c r="K74" s="41">
        <f t="shared" si="1"/>
        <v>0</v>
      </c>
      <c r="L74" s="85">
        <f t="shared" si="2"/>
        <v>71.260000000000005</v>
      </c>
      <c r="N74" s="86">
        <f t="shared" si="3"/>
        <v>0.85660000000000003</v>
      </c>
      <c r="P74" s="84">
        <f t="shared" si="4"/>
        <v>255035.64753349454</v>
      </c>
      <c r="Q74" s="87">
        <f t="shared" si="5"/>
        <v>2505.2617635903198</v>
      </c>
      <c r="S74" s="84">
        <v>242806.87218989449</v>
      </c>
      <c r="T74" s="87">
        <v>2385.1362690559381</v>
      </c>
      <c r="V74" s="88">
        <f t="shared" si="6"/>
        <v>5.0364206059358096E-2</v>
      </c>
      <c r="X74" s="84">
        <v>32553.55</v>
      </c>
      <c r="Y74" s="87">
        <f t="shared" si="8"/>
        <v>222482.09753349455</v>
      </c>
      <c r="Z74" s="4"/>
    </row>
    <row r="75" spans="2:26" x14ac:dyDescent="0.25">
      <c r="B75" s="108" t="s">
        <v>169</v>
      </c>
      <c r="C75" s="109" t="s">
        <v>108</v>
      </c>
      <c r="D75" s="94"/>
      <c r="E75" s="115">
        <v>88.6</v>
      </c>
      <c r="F75" s="111">
        <v>0.7</v>
      </c>
      <c r="G75" s="39">
        <v>1</v>
      </c>
      <c r="H75" s="40">
        <f t="shared" si="0"/>
        <v>62.02</v>
      </c>
      <c r="I75" s="41">
        <v>0</v>
      </c>
      <c r="J75" s="41">
        <v>1</v>
      </c>
      <c r="K75" s="41">
        <f t="shared" si="1"/>
        <v>0</v>
      </c>
      <c r="L75" s="85">
        <f t="shared" si="2"/>
        <v>62.02</v>
      </c>
      <c r="N75" s="86">
        <f t="shared" si="3"/>
        <v>0.74550000000000005</v>
      </c>
      <c r="P75" s="84">
        <f t="shared" si="4"/>
        <v>221957.82773315453</v>
      </c>
      <c r="Q75" s="87">
        <f t="shared" si="5"/>
        <v>2505.167355904679</v>
      </c>
      <c r="S75" s="84">
        <v>211315.10999015451</v>
      </c>
      <c r="T75" s="87">
        <v>2385.046388150728</v>
      </c>
      <c r="V75" s="88">
        <f t="shared" si="6"/>
        <v>5.0364206059357874E-2</v>
      </c>
      <c r="X75" s="84">
        <v>32553.55</v>
      </c>
      <c r="Y75" s="87">
        <f t="shared" si="8"/>
        <v>189404.27773315454</v>
      </c>
      <c r="Z75" s="4"/>
    </row>
    <row r="76" spans="2:26" x14ac:dyDescent="0.25">
      <c r="B76" s="105" t="s">
        <v>101</v>
      </c>
      <c r="C76" s="106" t="s">
        <v>223</v>
      </c>
      <c r="D76" s="98"/>
      <c r="E76" s="103">
        <f>93.1+30.25</f>
        <v>123.35</v>
      </c>
      <c r="F76" s="100">
        <v>1</v>
      </c>
      <c r="G76" s="39">
        <v>1</v>
      </c>
      <c r="H76" s="40">
        <f t="shared" si="0"/>
        <v>123.35</v>
      </c>
      <c r="I76" s="41">
        <v>0</v>
      </c>
      <c r="J76" s="41">
        <v>1</v>
      </c>
      <c r="K76" s="41">
        <f t="shared" si="1"/>
        <v>0</v>
      </c>
      <c r="L76" s="85">
        <f t="shared" si="2"/>
        <v>123.35</v>
      </c>
      <c r="N76" s="86">
        <f t="shared" si="3"/>
        <v>1.4827999999999999</v>
      </c>
      <c r="P76" s="84">
        <f t="shared" si="4"/>
        <v>441474.26822631992</v>
      </c>
      <c r="Q76" s="87">
        <f t="shared" si="5"/>
        <v>3579.037440018808</v>
      </c>
      <c r="S76" s="84">
        <v>420305.89549751987</v>
      </c>
      <c r="T76" s="87">
        <v>3407.4251763074171</v>
      </c>
      <c r="V76" s="88">
        <f t="shared" si="6"/>
        <v>5.0364206059357874E-2</v>
      </c>
      <c r="X76" s="84">
        <v>0</v>
      </c>
      <c r="Y76" s="87">
        <f t="shared" si="8"/>
        <v>441474.26822631992</v>
      </c>
      <c r="Z76" s="4"/>
    </row>
    <row r="77" spans="2:26" x14ac:dyDescent="0.25">
      <c r="B77" s="105" t="s">
        <v>102</v>
      </c>
      <c r="C77" s="106" t="s">
        <v>223</v>
      </c>
      <c r="D77" s="98"/>
      <c r="E77" s="103">
        <v>95.65</v>
      </c>
      <c r="F77" s="100">
        <v>1</v>
      </c>
      <c r="G77" s="39">
        <v>1</v>
      </c>
      <c r="H77" s="40">
        <f t="shared" si="0"/>
        <v>95.65</v>
      </c>
      <c r="I77" s="41">
        <v>0</v>
      </c>
      <c r="J77" s="41">
        <v>1</v>
      </c>
      <c r="K77" s="41">
        <f t="shared" si="1"/>
        <v>0</v>
      </c>
      <c r="L77" s="85">
        <f t="shared" si="2"/>
        <v>95.65</v>
      </c>
      <c r="N77" s="86">
        <f t="shared" si="3"/>
        <v>1.1497999999999999</v>
      </c>
      <c r="P77" s="84">
        <f t="shared" si="4"/>
        <v>342330.1278706654</v>
      </c>
      <c r="Q77" s="87">
        <f t="shared" si="5"/>
        <v>3578.9872229029311</v>
      </c>
      <c r="S77" s="84">
        <v>325915.64515986538</v>
      </c>
      <c r="T77" s="87">
        <v>3407.3773670660257</v>
      </c>
      <c r="V77" s="88">
        <f t="shared" si="6"/>
        <v>5.0364206059357874E-2</v>
      </c>
      <c r="X77" s="84"/>
      <c r="Y77" s="87">
        <f t="shared" si="8"/>
        <v>342330.1278706654</v>
      </c>
      <c r="Z77" s="4"/>
    </row>
    <row r="78" spans="2:26" x14ac:dyDescent="0.25">
      <c r="B78" s="105" t="s">
        <v>103</v>
      </c>
      <c r="C78" s="106" t="s">
        <v>104</v>
      </c>
      <c r="D78" s="98"/>
      <c r="E78" s="103">
        <v>60.65</v>
      </c>
      <c r="F78" s="100">
        <v>1</v>
      </c>
      <c r="G78" s="39">
        <v>1</v>
      </c>
      <c r="H78" s="40">
        <f t="shared" si="0"/>
        <v>60.65</v>
      </c>
      <c r="I78" s="41">
        <v>0</v>
      </c>
      <c r="J78" s="41">
        <v>1</v>
      </c>
      <c r="K78" s="41">
        <f t="shared" si="1"/>
        <v>0</v>
      </c>
      <c r="L78" s="85">
        <f t="shared" si="2"/>
        <v>60.65</v>
      </c>
      <c r="N78" s="86">
        <f t="shared" ref="N78:N89" si="9">ROUND((L78/$L$115)*100,4)</f>
        <v>0.72909999999999997</v>
      </c>
      <c r="P78" s="84">
        <f t="shared" si="4"/>
        <v>217075.05325317633</v>
      </c>
      <c r="Q78" s="87">
        <f t="shared" si="5"/>
        <v>3579.1434996401704</v>
      </c>
      <c r="S78" s="84">
        <v>206666.4610245763</v>
      </c>
      <c r="T78" s="87">
        <v>3407.5261504464356</v>
      </c>
      <c r="V78" s="88">
        <f t="shared" si="6"/>
        <v>5.0364206059357874E-2</v>
      </c>
      <c r="X78" s="84">
        <v>11521.26</v>
      </c>
      <c r="Y78" s="87">
        <f t="shared" si="8"/>
        <v>205553.79325317632</v>
      </c>
      <c r="Z78" s="4"/>
    </row>
    <row r="79" spans="2:26" x14ac:dyDescent="0.25">
      <c r="B79" s="105" t="s">
        <v>204</v>
      </c>
      <c r="C79" s="106" t="s">
        <v>205</v>
      </c>
      <c r="D79" s="98"/>
      <c r="E79" s="103">
        <v>97.55</v>
      </c>
      <c r="F79" s="100">
        <v>0.8</v>
      </c>
      <c r="G79" s="172">
        <v>1</v>
      </c>
      <c r="H79" s="173">
        <f t="shared" si="0"/>
        <v>78.040000000000006</v>
      </c>
      <c r="I79" s="174">
        <v>0</v>
      </c>
      <c r="J79" s="174">
        <v>1</v>
      </c>
      <c r="K79" s="174">
        <f t="shared" si="1"/>
        <v>0</v>
      </c>
      <c r="L79" s="175">
        <f t="shared" si="2"/>
        <v>78.040000000000006</v>
      </c>
      <c r="M79" s="80"/>
      <c r="N79" s="86">
        <f t="shared" si="9"/>
        <v>0.93810000000000004</v>
      </c>
      <c r="O79" s="80"/>
      <c r="P79" s="84">
        <f t="shared" si="4"/>
        <v>279300.65485777636</v>
      </c>
      <c r="Q79" s="87">
        <f t="shared" si="5"/>
        <v>2863.153817096631</v>
      </c>
      <c r="S79" s="84">
        <v>265908.38991517632</v>
      </c>
      <c r="T79" s="87">
        <v>2725.8676567419407</v>
      </c>
      <c r="V79" s="88">
        <f t="shared" ref="V79:V86" si="10">(P79/S79)-1</f>
        <v>5.0364206059357874E-2</v>
      </c>
      <c r="X79" s="84">
        <v>18700.47</v>
      </c>
      <c r="Y79" s="87">
        <f t="shared" si="8"/>
        <v>260600.18485777636</v>
      </c>
      <c r="Z79" s="4"/>
    </row>
    <row r="80" spans="2:26" x14ac:dyDescent="0.25">
      <c r="B80" s="105" t="s">
        <v>207</v>
      </c>
      <c r="C80" s="106" t="s">
        <v>206</v>
      </c>
      <c r="D80" s="98"/>
      <c r="E80" s="103">
        <v>33.700000000000003</v>
      </c>
      <c r="F80" s="100">
        <v>0.8</v>
      </c>
      <c r="G80" s="172">
        <v>1</v>
      </c>
      <c r="H80" s="173">
        <f t="shared" si="0"/>
        <v>26.96</v>
      </c>
      <c r="I80" s="174">
        <v>0</v>
      </c>
      <c r="J80" s="174">
        <v>1</v>
      </c>
      <c r="K80" s="174">
        <f t="shared" si="1"/>
        <v>0</v>
      </c>
      <c r="L80" s="175">
        <f t="shared" si="2"/>
        <v>26.96</v>
      </c>
      <c r="M80" s="80"/>
      <c r="N80" s="86">
        <f t="shared" si="9"/>
        <v>0.3241</v>
      </c>
      <c r="O80" s="80"/>
      <c r="P80" s="84">
        <f t="shared" si="4"/>
        <v>96494.34200981271</v>
      </c>
      <c r="Q80" s="87">
        <f t="shared" si="5"/>
        <v>2863.3335907956293</v>
      </c>
      <c r="S80" s="84">
        <v>91867.507911212699</v>
      </c>
      <c r="T80" s="87">
        <v>2726.0388104217413</v>
      </c>
      <c r="V80" s="88">
        <f t="shared" si="10"/>
        <v>5.0364206059357874E-2</v>
      </c>
      <c r="X80" s="84">
        <v>18700.47</v>
      </c>
      <c r="Y80" s="87">
        <f t="shared" si="8"/>
        <v>77793.872009812709</v>
      </c>
      <c r="Z80" s="4"/>
    </row>
    <row r="81" spans="2:26" x14ac:dyDescent="0.25">
      <c r="B81" s="105" t="s">
        <v>105</v>
      </c>
      <c r="C81" s="106" t="s">
        <v>227</v>
      </c>
      <c r="D81" s="98"/>
      <c r="E81" s="103">
        <v>96.05</v>
      </c>
      <c r="F81" s="100">
        <v>1</v>
      </c>
      <c r="G81" s="172">
        <v>1</v>
      </c>
      <c r="H81" s="173">
        <f t="shared" si="0"/>
        <v>96.05</v>
      </c>
      <c r="I81" s="174">
        <v>0</v>
      </c>
      <c r="J81" s="174">
        <v>1</v>
      </c>
      <c r="K81" s="174">
        <f t="shared" si="1"/>
        <v>0</v>
      </c>
      <c r="L81" s="175">
        <f t="shared" si="2"/>
        <v>96.05</v>
      </c>
      <c r="N81" s="86">
        <f t="shared" si="9"/>
        <v>1.1546000000000001</v>
      </c>
      <c r="P81" s="84">
        <f t="shared" si="4"/>
        <v>343759.23259651265</v>
      </c>
      <c r="Q81" s="87">
        <f t="shared" si="5"/>
        <v>3578.961297204713</v>
      </c>
      <c r="S81" s="84">
        <v>327276.22534491267</v>
      </c>
      <c r="T81" s="87">
        <v>3407.3526844863372</v>
      </c>
      <c r="V81" s="88">
        <f t="shared" si="10"/>
        <v>5.0364206059357652E-2</v>
      </c>
      <c r="X81" s="84">
        <v>18246.03</v>
      </c>
      <c r="Y81" s="87">
        <f t="shared" si="8"/>
        <v>325513.20259651262</v>
      </c>
      <c r="Z81" s="4"/>
    </row>
    <row r="82" spans="2:26" x14ac:dyDescent="0.25">
      <c r="B82" s="105" t="s">
        <v>106</v>
      </c>
      <c r="C82" s="106" t="s">
        <v>184</v>
      </c>
      <c r="D82" s="98"/>
      <c r="E82" s="103">
        <v>66.8</v>
      </c>
      <c r="F82" s="100">
        <v>1</v>
      </c>
      <c r="G82" s="172">
        <v>1</v>
      </c>
      <c r="H82" s="173">
        <f t="shared" si="0"/>
        <v>66.8</v>
      </c>
      <c r="I82" s="174">
        <v>0</v>
      </c>
      <c r="J82" s="174">
        <v>1</v>
      </c>
      <c r="K82" s="174">
        <f t="shared" si="1"/>
        <v>0</v>
      </c>
      <c r="L82" s="175">
        <f t="shared" si="2"/>
        <v>66.8</v>
      </c>
      <c r="N82" s="86">
        <f t="shared" si="9"/>
        <v>0.80300000000000005</v>
      </c>
      <c r="P82" s="84">
        <f t="shared" si="4"/>
        <v>239077.31142819996</v>
      </c>
      <c r="Q82" s="87">
        <f t="shared" si="5"/>
        <v>3579.0016680868257</v>
      </c>
      <c r="S82" s="84">
        <v>227613.72679019996</v>
      </c>
      <c r="T82" s="87">
        <v>3407.3911196137719</v>
      </c>
      <c r="V82" s="88">
        <f t="shared" si="10"/>
        <v>5.0364206059357874E-2</v>
      </c>
      <c r="X82" s="84"/>
      <c r="Y82" s="87">
        <f t="shared" si="8"/>
        <v>239077.31142819996</v>
      </c>
      <c r="Z82" s="4"/>
    </row>
    <row r="83" spans="2:26" x14ac:dyDescent="0.25">
      <c r="B83" s="105" t="s">
        <v>185</v>
      </c>
      <c r="C83" s="106" t="s">
        <v>197</v>
      </c>
      <c r="D83" s="98"/>
      <c r="E83" s="103">
        <v>42.8</v>
      </c>
      <c r="F83" s="100">
        <v>1</v>
      </c>
      <c r="G83" s="172">
        <v>1</v>
      </c>
      <c r="H83" s="173">
        <f t="shared" si="0"/>
        <v>42.8</v>
      </c>
      <c r="I83" s="174">
        <v>0</v>
      </c>
      <c r="J83" s="174">
        <v>1</v>
      </c>
      <c r="K83" s="174">
        <f t="shared" si="1"/>
        <v>0</v>
      </c>
      <c r="L83" s="175">
        <f t="shared" si="2"/>
        <v>42.8</v>
      </c>
      <c r="N83" s="86">
        <f t="shared" si="9"/>
        <v>0.51449999999999996</v>
      </c>
      <c r="P83" s="84">
        <f t="shared" si="4"/>
        <v>153182.16280175452</v>
      </c>
      <c r="Q83" s="87">
        <f t="shared" si="5"/>
        <v>3579.0224953680963</v>
      </c>
      <c r="S83" s="84">
        <v>145837.18858475451</v>
      </c>
      <c r="T83" s="87">
        <v>3407.4109482419281</v>
      </c>
      <c r="V83" s="88">
        <f t="shared" si="10"/>
        <v>5.0364206059357874E-2</v>
      </c>
      <c r="X83" s="84"/>
      <c r="Y83" s="87"/>
      <c r="Z83" s="4"/>
    </row>
    <row r="84" spans="2:26" x14ac:dyDescent="0.25">
      <c r="B84" s="105" t="s">
        <v>177</v>
      </c>
      <c r="C84" s="106" t="s">
        <v>107</v>
      </c>
      <c r="D84" s="98"/>
      <c r="E84" s="103">
        <f>95.65+95.65+95.2+200.8</f>
        <v>487.3</v>
      </c>
      <c r="F84" s="100">
        <v>1</v>
      </c>
      <c r="G84" s="172">
        <v>1</v>
      </c>
      <c r="H84" s="173">
        <f t="shared" si="0"/>
        <v>487.3</v>
      </c>
      <c r="I84" s="174">
        <v>0</v>
      </c>
      <c r="J84" s="174">
        <v>1</v>
      </c>
      <c r="K84" s="174">
        <f t="shared" si="1"/>
        <v>0</v>
      </c>
      <c r="L84" s="175">
        <f t="shared" si="2"/>
        <v>487.3</v>
      </c>
      <c r="N84" s="86">
        <f t="shared" si="9"/>
        <v>5.8578999999999999</v>
      </c>
      <c r="P84" s="84">
        <f t="shared" si="4"/>
        <v>1744073.4528209872</v>
      </c>
      <c r="Q84" s="87">
        <f t="shared" si="5"/>
        <v>3579.054900104632</v>
      </c>
      <c r="S84" s="84">
        <v>1660446.3887475869</v>
      </c>
      <c r="T84" s="87">
        <v>3407.4417991947194</v>
      </c>
      <c r="V84" s="88">
        <f t="shared" si="10"/>
        <v>5.0364206059358096E-2</v>
      </c>
      <c r="X84" s="84">
        <v>54426.44</v>
      </c>
      <c r="Y84" s="87">
        <f t="shared" si="8"/>
        <v>1689647.0128209873</v>
      </c>
      <c r="Z84" s="4"/>
    </row>
    <row r="85" spans="2:26" x14ac:dyDescent="0.25">
      <c r="B85" s="116" t="s">
        <v>109</v>
      </c>
      <c r="C85" s="109" t="s">
        <v>172</v>
      </c>
      <c r="D85" s="94"/>
      <c r="E85" s="115">
        <f>89</f>
        <v>89</v>
      </c>
      <c r="F85" s="111">
        <v>1</v>
      </c>
      <c r="G85" s="172">
        <v>1</v>
      </c>
      <c r="H85" s="173">
        <f t="shared" si="0"/>
        <v>89</v>
      </c>
      <c r="I85" s="174">
        <v>0</v>
      </c>
      <c r="J85" s="174">
        <v>1</v>
      </c>
      <c r="K85" s="174">
        <f>ROUND(I85*J85,2)</f>
        <v>0</v>
      </c>
      <c r="L85" s="175">
        <f>H85+K85</f>
        <v>89</v>
      </c>
      <c r="N85" s="86">
        <f t="shared" si="9"/>
        <v>1.0699000000000001</v>
      </c>
      <c r="P85" s="84">
        <f t="shared" si="4"/>
        <v>318541.48878833273</v>
      </c>
      <c r="Q85" s="87">
        <f t="shared" si="5"/>
        <v>3579.1178515543002</v>
      </c>
      <c r="S85" s="84">
        <v>303267.65416293265</v>
      </c>
      <c r="T85" s="87">
        <v>3407.5017321677824</v>
      </c>
      <c r="V85" s="88">
        <f t="shared" si="10"/>
        <v>5.0364206059358096E-2</v>
      </c>
      <c r="X85" s="84">
        <v>16242.01</v>
      </c>
      <c r="Y85" s="87">
        <f t="shared" si="8"/>
        <v>302299.47878833272</v>
      </c>
      <c r="Z85" s="4"/>
    </row>
    <row r="86" spans="2:26" x14ac:dyDescent="0.25">
      <c r="B86" s="116" t="s">
        <v>189</v>
      </c>
      <c r="C86" s="109" t="s">
        <v>191</v>
      </c>
      <c r="D86" s="94"/>
      <c r="E86" s="115">
        <v>19.600000000000001</v>
      </c>
      <c r="F86" s="111">
        <v>0</v>
      </c>
      <c r="G86" s="172">
        <v>0</v>
      </c>
      <c r="H86" s="173">
        <f>ROUND(E86*G86*F86,2)</f>
        <v>0</v>
      </c>
      <c r="I86" s="174">
        <v>0</v>
      </c>
      <c r="J86" s="174">
        <v>1</v>
      </c>
      <c r="K86" s="174">
        <f>ROUND(I86*J86,2)</f>
        <v>0</v>
      </c>
      <c r="L86" s="175">
        <f>H86+K86</f>
        <v>0</v>
      </c>
      <c r="N86" s="86">
        <f t="shared" si="9"/>
        <v>0</v>
      </c>
      <c r="P86" s="84">
        <f>($P$12*N86)/100</f>
        <v>0</v>
      </c>
      <c r="Q86" s="87">
        <f>P86/E86</f>
        <v>0</v>
      </c>
      <c r="S86" s="84">
        <v>0</v>
      </c>
      <c r="T86" s="87">
        <v>0</v>
      </c>
      <c r="V86" s="88" t="e">
        <f t="shared" si="10"/>
        <v>#DIV/0!</v>
      </c>
      <c r="X86" s="84">
        <v>0</v>
      </c>
      <c r="Y86" s="87">
        <f t="shared" si="8"/>
        <v>0</v>
      </c>
      <c r="Z86" s="4"/>
    </row>
    <row r="87" spans="2:26" x14ac:dyDescent="0.25">
      <c r="B87" s="105" t="s">
        <v>110</v>
      </c>
      <c r="C87" s="106" t="s">
        <v>173</v>
      </c>
      <c r="D87" s="98"/>
      <c r="E87" s="103">
        <v>89.6</v>
      </c>
      <c r="F87" s="100">
        <v>1</v>
      </c>
      <c r="G87" s="172">
        <v>1</v>
      </c>
      <c r="H87" s="173">
        <f>ROUND(E87*G87*F87,2)</f>
        <v>89.6</v>
      </c>
      <c r="I87" s="174">
        <v>0</v>
      </c>
      <c r="J87" s="174">
        <v>1</v>
      </c>
      <c r="K87" s="174">
        <f>ROUND(I87*J87,2)</f>
        <v>0</v>
      </c>
      <c r="L87" s="175">
        <f>H87+K87</f>
        <v>89.6</v>
      </c>
      <c r="N87" s="86">
        <f t="shared" si="9"/>
        <v>1.0770999999999999</v>
      </c>
      <c r="P87" s="84">
        <f>($P$12*N87)/100</f>
        <v>320685.14587710355</v>
      </c>
      <c r="Q87" s="87">
        <f>P87/E87</f>
        <v>3579.0752888069596</v>
      </c>
      <c r="S87" s="84">
        <v>305308.52444050356</v>
      </c>
      <c r="T87" s="87">
        <v>3407.4612102734773</v>
      </c>
      <c r="V87" s="88">
        <f>(P87/S87)-1</f>
        <v>5.0364206059357874E-2</v>
      </c>
      <c r="X87" s="84">
        <v>17021.759999999998</v>
      </c>
      <c r="Y87" s="87">
        <f t="shared" si="8"/>
        <v>303663.38587710354</v>
      </c>
      <c r="Z87" s="4"/>
    </row>
    <row r="88" spans="2:26" x14ac:dyDescent="0.25">
      <c r="B88" s="184"/>
      <c r="C88" s="185" t="s">
        <v>234</v>
      </c>
      <c r="D88" s="98"/>
      <c r="E88" s="186">
        <v>68</v>
      </c>
      <c r="F88" s="100">
        <v>1</v>
      </c>
      <c r="G88" s="172">
        <v>1</v>
      </c>
      <c r="H88" s="173">
        <f>ROUND(E88*G88*F88,2)</f>
        <v>68</v>
      </c>
      <c r="I88" s="174">
        <v>0</v>
      </c>
      <c r="J88" s="174">
        <v>1</v>
      </c>
      <c r="K88" s="174">
        <f>ROUND(I88*J88,2)</f>
        <v>0</v>
      </c>
      <c r="L88" s="175">
        <f>H88+K88</f>
        <v>68</v>
      </c>
      <c r="N88" s="86">
        <f t="shared" si="9"/>
        <v>0.81740000000000002</v>
      </c>
      <c r="P88" s="84">
        <f>($P$12*N88)/100</f>
        <v>243364.62560574178</v>
      </c>
      <c r="Q88" s="87">
        <f>P88/E88</f>
        <v>3578.8915530256145</v>
      </c>
      <c r="S88" s="84">
        <v>231695.46734534178</v>
      </c>
      <c r="T88" s="87">
        <v>3407.2862844903202</v>
      </c>
      <c r="V88" s="88">
        <f>(P88/S88)-1</f>
        <v>5.0364206059357874E-2</v>
      </c>
      <c r="X88" s="187"/>
      <c r="Y88" s="188"/>
      <c r="Z88" s="4"/>
    </row>
    <row r="89" spans="2:26" ht="13.5" thickBot="1" x14ac:dyDescent="0.3">
      <c r="B89" s="144" t="s">
        <v>178</v>
      </c>
      <c r="C89" s="145" t="s">
        <v>221</v>
      </c>
      <c r="D89" s="98"/>
      <c r="E89" s="164">
        <v>76</v>
      </c>
      <c r="F89" s="148">
        <v>1</v>
      </c>
      <c r="G89" s="176">
        <v>1</v>
      </c>
      <c r="H89" s="177">
        <f>ROUND(E89*G89*F89,2)</f>
        <v>76</v>
      </c>
      <c r="I89" s="178">
        <v>0</v>
      </c>
      <c r="J89" s="178">
        <v>1</v>
      </c>
      <c r="K89" s="178">
        <f>ROUND(I89*J89,2)</f>
        <v>0</v>
      </c>
      <c r="L89" s="179">
        <f>H89+K89</f>
        <v>76</v>
      </c>
      <c r="M89" s="80"/>
      <c r="N89" s="182">
        <f t="shared" si="9"/>
        <v>0.91359999999999997</v>
      </c>
      <c r="O89" s="80"/>
      <c r="P89" s="146">
        <f>($P$12*N89)/100</f>
        <v>272006.26615293085</v>
      </c>
      <c r="Q89" s="89">
        <f>P89/E89</f>
        <v>3579.0298178017219</v>
      </c>
      <c r="S89" s="146">
        <v>258963.76188733085</v>
      </c>
      <c r="T89" s="89">
        <v>3407.4179195701427</v>
      </c>
      <c r="V89" s="90">
        <f>(P89/S89)-1</f>
        <v>5.0364206059357874E-2</v>
      </c>
      <c r="X89" s="146">
        <v>15437.42</v>
      </c>
      <c r="Y89" s="89">
        <f t="shared" si="8"/>
        <v>256568.84615293084</v>
      </c>
      <c r="Z89" s="4"/>
    </row>
    <row r="90" spans="2:26" ht="13.5" thickBot="1" x14ac:dyDescent="0.3">
      <c r="B90" s="42"/>
      <c r="C90" s="43"/>
      <c r="E90" s="44"/>
      <c r="F90" s="44"/>
      <c r="G90" s="45"/>
      <c r="H90" s="46"/>
      <c r="I90" s="44"/>
      <c r="J90" s="44"/>
      <c r="K90" s="44"/>
      <c r="L90" s="44"/>
      <c r="N90" s="47"/>
      <c r="P90" s="48"/>
      <c r="Q90" s="48"/>
      <c r="S90" s="48"/>
      <c r="T90" s="48"/>
      <c r="V90" s="49"/>
      <c r="X90" s="48"/>
      <c r="Y90" s="48"/>
      <c r="Z90" s="66"/>
    </row>
    <row r="91" spans="2:26" ht="13.5" thickBot="1" x14ac:dyDescent="0.3">
      <c r="B91" s="139">
        <v>148</v>
      </c>
      <c r="C91" s="140" t="s">
        <v>111</v>
      </c>
      <c r="D91" s="98"/>
      <c r="E91" s="141">
        <v>20</v>
      </c>
      <c r="F91" s="142">
        <v>1</v>
      </c>
      <c r="G91" s="37">
        <v>1</v>
      </c>
      <c r="H91" s="38">
        <f t="shared" ref="H91:H113" si="11">ROUND(E91*G91*F91,2)</f>
        <v>20</v>
      </c>
      <c r="I91" s="36">
        <v>0</v>
      </c>
      <c r="J91" s="36">
        <v>1</v>
      </c>
      <c r="K91" s="36">
        <v>0</v>
      </c>
      <c r="L91" s="153">
        <f>H91+K91</f>
        <v>20</v>
      </c>
      <c r="N91" s="181">
        <f t="shared" ref="N91:N113" si="12">ROUND((L91/$L$115)*100,4)</f>
        <v>0.2404</v>
      </c>
      <c r="P91" s="152">
        <f t="shared" ref="P91:P113" si="13">($P$12*N91)/100</f>
        <v>71574.328352850906</v>
      </c>
      <c r="Q91" s="154">
        <f t="shared" ref="Q91:Q113" si="14">P91/E91</f>
        <v>3578.7164176425454</v>
      </c>
      <c r="S91" s="152">
        <v>68142.390934450901</v>
      </c>
      <c r="T91" s="154">
        <v>3407.1195467225452</v>
      </c>
      <c r="V91" s="90">
        <f t="shared" ref="V91:V113" si="15">(P91/S91)-1</f>
        <v>5.0364206059357874E-2</v>
      </c>
      <c r="X91" s="48"/>
      <c r="Y91" s="48"/>
      <c r="Z91" s="66"/>
    </row>
    <row r="92" spans="2:26" ht="13.5" thickBot="1" x14ac:dyDescent="0.3">
      <c r="B92" s="105">
        <v>149</v>
      </c>
      <c r="C92" s="106" t="s">
        <v>112</v>
      </c>
      <c r="D92" s="98"/>
      <c r="E92" s="107">
        <v>28</v>
      </c>
      <c r="F92" s="100">
        <v>1</v>
      </c>
      <c r="G92" s="39">
        <v>1</v>
      </c>
      <c r="H92" s="40">
        <f t="shared" si="11"/>
        <v>28</v>
      </c>
      <c r="I92" s="41">
        <v>0</v>
      </c>
      <c r="J92" s="41">
        <v>1</v>
      </c>
      <c r="K92" s="41">
        <v>0</v>
      </c>
      <c r="L92" s="85">
        <f t="shared" ref="L92:L113" si="16">H92+K92</f>
        <v>28</v>
      </c>
      <c r="N92" s="86">
        <f t="shared" si="12"/>
        <v>0.33660000000000001</v>
      </c>
      <c r="P92" s="84">
        <f t="shared" si="13"/>
        <v>100215.96890004</v>
      </c>
      <c r="Q92" s="87">
        <f t="shared" si="14"/>
        <v>3579.1417464299998</v>
      </c>
      <c r="S92" s="84">
        <v>95410.68547643999</v>
      </c>
      <c r="T92" s="87">
        <v>3407.5244813014283</v>
      </c>
      <c r="V92" s="90">
        <f t="shared" si="15"/>
        <v>5.0364206059357874E-2</v>
      </c>
      <c r="X92" s="48"/>
      <c r="Y92" s="48"/>
      <c r="Z92" s="66"/>
    </row>
    <row r="93" spans="2:26" ht="13.5" thickBot="1" x14ac:dyDescent="0.3">
      <c r="B93" s="105">
        <v>150</v>
      </c>
      <c r="C93" s="106" t="s">
        <v>203</v>
      </c>
      <c r="D93" s="98"/>
      <c r="E93" s="107">
        <v>65</v>
      </c>
      <c r="F93" s="100">
        <v>1</v>
      </c>
      <c r="G93" s="39">
        <v>1</v>
      </c>
      <c r="H93" s="40">
        <f t="shared" si="11"/>
        <v>65</v>
      </c>
      <c r="I93" s="41">
        <v>0</v>
      </c>
      <c r="J93" s="41">
        <v>1</v>
      </c>
      <c r="K93" s="41">
        <v>0</v>
      </c>
      <c r="L93" s="85">
        <f t="shared" si="16"/>
        <v>65</v>
      </c>
      <c r="N93" s="86">
        <f t="shared" si="12"/>
        <v>0.78139999999999998</v>
      </c>
      <c r="P93" s="84">
        <f t="shared" si="13"/>
        <v>232646.34016188723</v>
      </c>
      <c r="Q93" s="87">
        <f t="shared" si="14"/>
        <v>3579.1744640290344</v>
      </c>
      <c r="S93" s="84">
        <v>221491.11595748723</v>
      </c>
      <c r="T93" s="87">
        <v>3407.5556301151883</v>
      </c>
      <c r="V93" s="90">
        <f t="shared" si="15"/>
        <v>5.0364206059357874E-2</v>
      </c>
      <c r="X93" s="48"/>
      <c r="Y93" s="48"/>
      <c r="Z93" s="66"/>
    </row>
    <row r="94" spans="2:26" ht="13.5" thickBot="1" x14ac:dyDescent="0.3">
      <c r="B94" s="105">
        <v>151</v>
      </c>
      <c r="C94" s="106" t="s">
        <v>174</v>
      </c>
      <c r="D94" s="98"/>
      <c r="E94" s="107">
        <v>67</v>
      </c>
      <c r="F94" s="100">
        <v>1</v>
      </c>
      <c r="G94" s="39">
        <v>1</v>
      </c>
      <c r="H94" s="40">
        <f t="shared" si="11"/>
        <v>67</v>
      </c>
      <c r="I94" s="41">
        <v>0</v>
      </c>
      <c r="J94" s="41">
        <v>1</v>
      </c>
      <c r="K94" s="41">
        <v>0</v>
      </c>
      <c r="L94" s="85">
        <f t="shared" si="16"/>
        <v>67</v>
      </c>
      <c r="N94" s="86">
        <f t="shared" si="12"/>
        <v>0.8054</v>
      </c>
      <c r="P94" s="84">
        <f t="shared" si="13"/>
        <v>239791.86379112359</v>
      </c>
      <c r="Q94" s="87">
        <f t="shared" si="14"/>
        <v>3578.983041658561</v>
      </c>
      <c r="S94" s="84">
        <v>228294.0168827236</v>
      </c>
      <c r="T94" s="87">
        <v>3407.3733863093075</v>
      </c>
      <c r="V94" s="90">
        <f t="shared" si="15"/>
        <v>5.0364206059357652E-2</v>
      </c>
      <c r="X94" s="48"/>
      <c r="Y94" s="48"/>
      <c r="Z94" s="66"/>
    </row>
    <row r="95" spans="2:26" ht="13.5" thickBot="1" x14ac:dyDescent="0.3">
      <c r="B95" s="105">
        <v>152</v>
      </c>
      <c r="C95" s="106" t="s">
        <v>113</v>
      </c>
      <c r="D95" s="98"/>
      <c r="E95" s="107">
        <v>89</v>
      </c>
      <c r="F95" s="100">
        <v>1</v>
      </c>
      <c r="G95" s="39">
        <v>1</v>
      </c>
      <c r="H95" s="40">
        <f t="shared" si="11"/>
        <v>89</v>
      </c>
      <c r="I95" s="41">
        <v>0</v>
      </c>
      <c r="J95" s="41">
        <v>1</v>
      </c>
      <c r="K95" s="41">
        <v>0</v>
      </c>
      <c r="L95" s="85">
        <f t="shared" si="16"/>
        <v>89</v>
      </c>
      <c r="N95" s="86">
        <f t="shared" si="12"/>
        <v>1.0699000000000001</v>
      </c>
      <c r="P95" s="84">
        <f t="shared" si="13"/>
        <v>318541.48878833273</v>
      </c>
      <c r="Q95" s="87">
        <f t="shared" si="14"/>
        <v>3579.1178515543002</v>
      </c>
      <c r="S95" s="84">
        <v>303267.65416293265</v>
      </c>
      <c r="T95" s="87">
        <v>3407.5017321677824</v>
      </c>
      <c r="V95" s="90">
        <f t="shared" si="15"/>
        <v>5.0364206059358096E-2</v>
      </c>
      <c r="X95" s="48"/>
      <c r="Y95" s="48"/>
      <c r="Z95" s="66"/>
    </row>
    <row r="96" spans="2:26" ht="13.5" thickBot="1" x14ac:dyDescent="0.3">
      <c r="B96" s="105">
        <v>153</v>
      </c>
      <c r="C96" s="106" t="s">
        <v>166</v>
      </c>
      <c r="D96" s="98"/>
      <c r="E96" s="107">
        <v>26</v>
      </c>
      <c r="F96" s="100">
        <v>1</v>
      </c>
      <c r="G96" s="39">
        <v>1</v>
      </c>
      <c r="H96" s="40">
        <f t="shared" si="11"/>
        <v>26</v>
      </c>
      <c r="I96" s="41">
        <v>0</v>
      </c>
      <c r="J96" s="41">
        <v>1</v>
      </c>
      <c r="K96" s="41">
        <v>0</v>
      </c>
      <c r="L96" s="85">
        <f t="shared" si="16"/>
        <v>26</v>
      </c>
      <c r="N96" s="86">
        <f t="shared" si="12"/>
        <v>0.3125</v>
      </c>
      <c r="P96" s="84">
        <f t="shared" si="13"/>
        <v>93040.672255681813</v>
      </c>
      <c r="Q96" s="87">
        <f t="shared" si="14"/>
        <v>3578.4873944493006</v>
      </c>
      <c r="S96" s="84">
        <v>88579.439130681785</v>
      </c>
      <c r="T96" s="87">
        <v>3406.9015050262224</v>
      </c>
      <c r="V96" s="90">
        <f t="shared" si="15"/>
        <v>5.0364206059358096E-2</v>
      </c>
      <c r="X96" s="48"/>
      <c r="Y96" s="48"/>
      <c r="Z96" s="66"/>
    </row>
    <row r="97" spans="2:26" ht="13.5" thickBot="1" x14ac:dyDescent="0.3">
      <c r="B97" s="105">
        <v>154</v>
      </c>
      <c r="C97" s="106" t="s">
        <v>167</v>
      </c>
      <c r="D97" s="98"/>
      <c r="E97" s="107">
        <v>14.19</v>
      </c>
      <c r="F97" s="100">
        <v>1</v>
      </c>
      <c r="G97" s="39">
        <v>1</v>
      </c>
      <c r="H97" s="40">
        <f t="shared" si="11"/>
        <v>14.19</v>
      </c>
      <c r="I97" s="41">
        <v>0</v>
      </c>
      <c r="J97" s="41">
        <v>1</v>
      </c>
      <c r="K97" s="41">
        <v>0</v>
      </c>
      <c r="L97" s="85">
        <f t="shared" si="16"/>
        <v>14.19</v>
      </c>
      <c r="N97" s="86">
        <f t="shared" si="12"/>
        <v>0.1706</v>
      </c>
      <c r="P97" s="84">
        <f t="shared" si="13"/>
        <v>50792.763797821812</v>
      </c>
      <c r="Q97" s="87">
        <f t="shared" si="14"/>
        <v>3579.4759547443136</v>
      </c>
      <c r="S97" s="84">
        <v>48357.287410221805</v>
      </c>
      <c r="T97" s="87">
        <v>3407.8426645681329</v>
      </c>
      <c r="V97" s="90">
        <f t="shared" si="15"/>
        <v>5.0364206059357874E-2</v>
      </c>
      <c r="X97" s="48"/>
      <c r="Y97" s="48"/>
      <c r="Z97" s="66"/>
    </row>
    <row r="98" spans="2:26" ht="13.5" thickBot="1" x14ac:dyDescent="0.3">
      <c r="B98" s="105">
        <v>155</v>
      </c>
      <c r="C98" s="106" t="s">
        <v>114</v>
      </c>
      <c r="D98" s="98"/>
      <c r="E98" s="107">
        <v>134</v>
      </c>
      <c r="F98" s="100">
        <v>1</v>
      </c>
      <c r="G98" s="39">
        <v>1</v>
      </c>
      <c r="H98" s="40">
        <f t="shared" si="11"/>
        <v>134</v>
      </c>
      <c r="I98" s="41">
        <v>0</v>
      </c>
      <c r="J98" s="41">
        <v>1</v>
      </c>
      <c r="K98" s="41">
        <v>0</v>
      </c>
      <c r="L98" s="85">
        <f t="shared" si="16"/>
        <v>134</v>
      </c>
      <c r="N98" s="86">
        <f t="shared" si="12"/>
        <v>1.6108</v>
      </c>
      <c r="P98" s="84">
        <f t="shared" si="13"/>
        <v>479583.72758224717</v>
      </c>
      <c r="Q98" s="87">
        <f t="shared" si="14"/>
        <v>3578.983041658561</v>
      </c>
      <c r="S98" s="84">
        <v>456588.03376544721</v>
      </c>
      <c r="T98" s="87">
        <v>3407.3733863093075</v>
      </c>
      <c r="V98" s="90">
        <f t="shared" si="15"/>
        <v>5.0364206059357652E-2</v>
      </c>
      <c r="X98" s="48"/>
      <c r="Y98" s="48"/>
      <c r="Z98" s="66"/>
    </row>
    <row r="99" spans="2:26" ht="13.5" thickBot="1" x14ac:dyDescent="0.3">
      <c r="B99" s="105">
        <v>156</v>
      </c>
      <c r="C99" s="106" t="s">
        <v>115</v>
      </c>
      <c r="D99" s="98"/>
      <c r="E99" s="107">
        <v>72</v>
      </c>
      <c r="F99" s="100">
        <v>1</v>
      </c>
      <c r="G99" s="39">
        <v>1</v>
      </c>
      <c r="H99" s="40">
        <f t="shared" si="11"/>
        <v>72</v>
      </c>
      <c r="I99" s="41">
        <v>0</v>
      </c>
      <c r="J99" s="41">
        <v>1</v>
      </c>
      <c r="K99" s="41">
        <v>0</v>
      </c>
      <c r="L99" s="85">
        <f t="shared" si="16"/>
        <v>72</v>
      </c>
      <c r="N99" s="86">
        <f t="shared" si="12"/>
        <v>0.86550000000000005</v>
      </c>
      <c r="P99" s="84">
        <f t="shared" si="13"/>
        <v>257685.44587933633</v>
      </c>
      <c r="Q99" s="87">
        <f t="shared" si="14"/>
        <v>3578.9645261018936</v>
      </c>
      <c r="S99" s="84">
        <v>245329.61461633633</v>
      </c>
      <c r="T99" s="87">
        <v>3407.3557585602266</v>
      </c>
      <c r="V99" s="90">
        <f t="shared" si="15"/>
        <v>5.0364206059357874E-2</v>
      </c>
      <c r="X99" s="48"/>
      <c r="Y99" s="48"/>
      <c r="Z99" s="66"/>
    </row>
    <row r="100" spans="2:26" ht="13.5" thickBot="1" x14ac:dyDescent="0.3">
      <c r="B100" s="105">
        <v>157</v>
      </c>
      <c r="C100" s="106" t="s">
        <v>182</v>
      </c>
      <c r="D100" s="98"/>
      <c r="E100" s="107">
        <v>103</v>
      </c>
      <c r="F100" s="100">
        <v>1</v>
      </c>
      <c r="G100" s="39">
        <v>1</v>
      </c>
      <c r="H100" s="40">
        <f t="shared" si="11"/>
        <v>103</v>
      </c>
      <c r="I100" s="41">
        <v>0</v>
      </c>
      <c r="J100" s="41">
        <v>1</v>
      </c>
      <c r="K100" s="41">
        <v>0</v>
      </c>
      <c r="L100" s="85">
        <f t="shared" si="16"/>
        <v>103</v>
      </c>
      <c r="N100" s="86">
        <f t="shared" si="12"/>
        <v>1.2382</v>
      </c>
      <c r="P100" s="84">
        <f t="shared" si="13"/>
        <v>368649.47323835269</v>
      </c>
      <c r="Q100" s="87">
        <f t="shared" si="14"/>
        <v>3579.1210994014823</v>
      </c>
      <c r="S100" s="84">
        <v>350972.99690115266</v>
      </c>
      <c r="T100" s="87">
        <v>3407.5048242830353</v>
      </c>
      <c r="V100" s="90">
        <f t="shared" si="15"/>
        <v>5.0364206059357874E-2</v>
      </c>
      <c r="X100" s="48"/>
      <c r="Y100" s="48"/>
      <c r="Z100" s="66"/>
    </row>
    <row r="101" spans="2:26" ht="13.5" thickBot="1" x14ac:dyDescent="0.3">
      <c r="B101" s="105">
        <v>158</v>
      </c>
      <c r="C101" s="106" t="s">
        <v>201</v>
      </c>
      <c r="D101" s="98"/>
      <c r="E101" s="107">
        <v>45</v>
      </c>
      <c r="F101" s="100">
        <v>1</v>
      </c>
      <c r="G101" s="39">
        <v>1</v>
      </c>
      <c r="H101" s="40">
        <f t="shared" si="11"/>
        <v>45</v>
      </c>
      <c r="I101" s="41">
        <v>0</v>
      </c>
      <c r="J101" s="41">
        <v>1</v>
      </c>
      <c r="K101" s="41">
        <v>0</v>
      </c>
      <c r="L101" s="85">
        <f t="shared" si="16"/>
        <v>45</v>
      </c>
      <c r="N101" s="86">
        <f t="shared" si="12"/>
        <v>0.54090000000000005</v>
      </c>
      <c r="P101" s="84">
        <f t="shared" si="13"/>
        <v>161042.23879391456</v>
      </c>
      <c r="Q101" s="87">
        <f t="shared" si="14"/>
        <v>3578.7164176425458</v>
      </c>
      <c r="S101" s="84">
        <v>153320.37960251453</v>
      </c>
      <c r="T101" s="87">
        <v>3407.1195467225452</v>
      </c>
      <c r="V101" s="90">
        <f t="shared" si="15"/>
        <v>5.0364206059357874E-2</v>
      </c>
      <c r="X101" s="48"/>
      <c r="Y101" s="48"/>
      <c r="Z101" s="66"/>
    </row>
    <row r="102" spans="2:26" ht="13.5" thickBot="1" x14ac:dyDescent="0.3">
      <c r="B102" s="105">
        <v>159</v>
      </c>
      <c r="C102" s="106" t="s">
        <v>201</v>
      </c>
      <c r="D102" s="98"/>
      <c r="E102" s="107">
        <v>48</v>
      </c>
      <c r="F102" s="100">
        <v>1</v>
      </c>
      <c r="G102" s="39">
        <v>1</v>
      </c>
      <c r="H102" s="40">
        <f t="shared" si="11"/>
        <v>48</v>
      </c>
      <c r="I102" s="41">
        <v>0</v>
      </c>
      <c r="J102" s="41">
        <v>1</v>
      </c>
      <c r="K102" s="41">
        <v>0</v>
      </c>
      <c r="L102" s="85">
        <f t="shared" si="16"/>
        <v>48</v>
      </c>
      <c r="N102" s="86">
        <f t="shared" si="12"/>
        <v>0.57699999999999996</v>
      </c>
      <c r="P102" s="84">
        <f t="shared" si="13"/>
        <v>171790.29725289089</v>
      </c>
      <c r="Q102" s="87">
        <f t="shared" si="14"/>
        <v>3578.9645261018936</v>
      </c>
      <c r="S102" s="84">
        <v>163553.07641089085</v>
      </c>
      <c r="T102" s="87">
        <v>3407.3557585602261</v>
      </c>
      <c r="V102" s="90">
        <f t="shared" si="15"/>
        <v>5.0364206059358096E-2</v>
      </c>
      <c r="X102" s="48"/>
      <c r="Y102" s="48"/>
      <c r="Z102" s="66"/>
    </row>
    <row r="103" spans="2:26" ht="13.5" thickBot="1" x14ac:dyDescent="0.3">
      <c r="B103" s="105">
        <v>160</v>
      </c>
      <c r="C103" s="106" t="s">
        <v>196</v>
      </c>
      <c r="D103" s="98"/>
      <c r="E103" s="107">
        <v>79</v>
      </c>
      <c r="F103" s="100">
        <v>1</v>
      </c>
      <c r="G103" s="39">
        <v>1</v>
      </c>
      <c r="H103" s="40">
        <f t="shared" si="11"/>
        <v>79</v>
      </c>
      <c r="I103" s="41">
        <v>0</v>
      </c>
      <c r="J103" s="41">
        <v>1</v>
      </c>
      <c r="K103" s="41">
        <v>0</v>
      </c>
      <c r="L103" s="85">
        <f t="shared" si="16"/>
        <v>79</v>
      </c>
      <c r="N103" s="86">
        <f t="shared" si="12"/>
        <v>0.94969999999999999</v>
      </c>
      <c r="P103" s="84">
        <f t="shared" si="13"/>
        <v>282754.32461190724</v>
      </c>
      <c r="Q103" s="87">
        <f t="shared" si="14"/>
        <v>3579.1686659735092</v>
      </c>
      <c r="S103" s="84">
        <v>269196.4586957072</v>
      </c>
      <c r="T103" s="87">
        <v>3407.5501100722431</v>
      </c>
      <c r="V103" s="90">
        <f t="shared" si="15"/>
        <v>5.0364206059357874E-2</v>
      </c>
      <c r="X103" s="48"/>
      <c r="Y103" s="48"/>
      <c r="Z103" s="66"/>
    </row>
    <row r="104" spans="2:26" ht="13.5" thickBot="1" x14ac:dyDescent="0.3">
      <c r="B104" s="105">
        <v>161</v>
      </c>
      <c r="C104" s="106" t="s">
        <v>116</v>
      </c>
      <c r="D104" s="98"/>
      <c r="E104" s="107">
        <v>95</v>
      </c>
      <c r="F104" s="100">
        <v>1</v>
      </c>
      <c r="G104" s="39">
        <v>1</v>
      </c>
      <c r="H104" s="40">
        <f t="shared" si="11"/>
        <v>95</v>
      </c>
      <c r="I104" s="41">
        <v>0</v>
      </c>
      <c r="J104" s="41">
        <v>1</v>
      </c>
      <c r="K104" s="41">
        <v>0</v>
      </c>
      <c r="L104" s="85">
        <f t="shared" si="16"/>
        <v>95</v>
      </c>
      <c r="N104" s="86">
        <f t="shared" si="12"/>
        <v>1.1419999999999999</v>
      </c>
      <c r="P104" s="84">
        <f t="shared" si="13"/>
        <v>340007.83269116358</v>
      </c>
      <c r="Q104" s="87">
        <f t="shared" si="14"/>
        <v>3579.0298178017219</v>
      </c>
      <c r="S104" s="84">
        <v>323704.70235916355</v>
      </c>
      <c r="T104" s="87">
        <v>3407.4179195701427</v>
      </c>
      <c r="V104" s="90">
        <f t="shared" si="15"/>
        <v>5.0364206059357874E-2</v>
      </c>
      <c r="X104" s="48"/>
      <c r="Y104" s="48"/>
      <c r="Z104" s="66"/>
    </row>
    <row r="105" spans="2:26" ht="13.5" thickBot="1" x14ac:dyDescent="0.3">
      <c r="B105" s="105">
        <v>162</v>
      </c>
      <c r="C105" s="106" t="s">
        <v>217</v>
      </c>
      <c r="D105" s="98"/>
      <c r="E105" s="107">
        <v>95</v>
      </c>
      <c r="F105" s="100">
        <v>1</v>
      </c>
      <c r="G105" s="39">
        <v>1</v>
      </c>
      <c r="H105" s="40">
        <f t="shared" si="11"/>
        <v>95</v>
      </c>
      <c r="I105" s="41">
        <v>0</v>
      </c>
      <c r="J105" s="41">
        <v>1</v>
      </c>
      <c r="K105" s="41">
        <v>0</v>
      </c>
      <c r="L105" s="85">
        <f t="shared" si="16"/>
        <v>95</v>
      </c>
      <c r="N105" s="86">
        <f t="shared" si="12"/>
        <v>1.1419999999999999</v>
      </c>
      <c r="P105" s="84">
        <f t="shared" si="13"/>
        <v>340007.83269116358</v>
      </c>
      <c r="Q105" s="87">
        <f t="shared" si="14"/>
        <v>3579.0298178017219</v>
      </c>
      <c r="S105" s="84">
        <v>323704.70235916355</v>
      </c>
      <c r="T105" s="87">
        <v>3407.4179195701427</v>
      </c>
      <c r="V105" s="90">
        <f t="shared" si="15"/>
        <v>5.0364206059357874E-2</v>
      </c>
      <c r="X105" s="48"/>
      <c r="Y105" s="48"/>
      <c r="Z105" s="66"/>
    </row>
    <row r="106" spans="2:26" ht="13.5" thickBot="1" x14ac:dyDescent="0.3">
      <c r="B106" s="105">
        <v>163</v>
      </c>
      <c r="C106" s="106" t="s">
        <v>175</v>
      </c>
      <c r="D106" s="98"/>
      <c r="E106" s="107">
        <v>67</v>
      </c>
      <c r="F106" s="100">
        <v>1</v>
      </c>
      <c r="G106" s="39">
        <v>1</v>
      </c>
      <c r="H106" s="40">
        <f t="shared" si="11"/>
        <v>67</v>
      </c>
      <c r="I106" s="41">
        <v>0</v>
      </c>
      <c r="J106" s="41">
        <v>1</v>
      </c>
      <c r="K106" s="41">
        <v>0</v>
      </c>
      <c r="L106" s="85">
        <f t="shared" si="16"/>
        <v>67</v>
      </c>
      <c r="N106" s="86">
        <f t="shared" si="12"/>
        <v>0.8054</v>
      </c>
      <c r="P106" s="84">
        <f t="shared" si="13"/>
        <v>239791.86379112359</v>
      </c>
      <c r="Q106" s="87">
        <f t="shared" si="14"/>
        <v>3578.983041658561</v>
      </c>
      <c r="S106" s="84">
        <v>228294.0168827236</v>
      </c>
      <c r="T106" s="87">
        <v>3407.3733863093075</v>
      </c>
      <c r="V106" s="90">
        <f t="shared" si="15"/>
        <v>5.0364206059357652E-2</v>
      </c>
      <c r="X106" s="48"/>
      <c r="Y106" s="48"/>
      <c r="Z106" s="66"/>
    </row>
    <row r="107" spans="2:26" ht="13.5" thickBot="1" x14ac:dyDescent="0.3">
      <c r="B107" s="105">
        <v>164</v>
      </c>
      <c r="C107" s="106" t="s">
        <v>228</v>
      </c>
      <c r="D107" s="98"/>
      <c r="E107" s="107">
        <v>70</v>
      </c>
      <c r="F107" s="100">
        <v>1</v>
      </c>
      <c r="G107" s="39">
        <v>1</v>
      </c>
      <c r="H107" s="40">
        <f t="shared" si="11"/>
        <v>70</v>
      </c>
      <c r="I107" s="41">
        <v>0</v>
      </c>
      <c r="J107" s="41">
        <v>1</v>
      </c>
      <c r="K107" s="41">
        <v>0</v>
      </c>
      <c r="L107" s="85">
        <f t="shared" si="16"/>
        <v>70</v>
      </c>
      <c r="N107" s="86">
        <f t="shared" si="12"/>
        <v>0.84150000000000003</v>
      </c>
      <c r="P107" s="84">
        <f t="shared" si="13"/>
        <v>250539.92225009997</v>
      </c>
      <c r="Q107" s="87">
        <f t="shared" si="14"/>
        <v>3579.1417464299998</v>
      </c>
      <c r="S107" s="84">
        <v>238526.71369109995</v>
      </c>
      <c r="T107" s="87">
        <v>3407.5244813014278</v>
      </c>
      <c r="V107" s="90">
        <f t="shared" si="15"/>
        <v>5.0364206059357874E-2</v>
      </c>
      <c r="X107" s="48"/>
      <c r="Y107" s="48"/>
      <c r="Z107" s="66"/>
    </row>
    <row r="108" spans="2:26" ht="13.5" thickBot="1" x14ac:dyDescent="0.3">
      <c r="B108" s="105">
        <v>165</v>
      </c>
      <c r="C108" s="106" t="s">
        <v>67</v>
      </c>
      <c r="D108" s="98"/>
      <c r="E108" s="107">
        <v>80</v>
      </c>
      <c r="F108" s="100">
        <v>1</v>
      </c>
      <c r="G108" s="39">
        <v>1</v>
      </c>
      <c r="H108" s="40">
        <f t="shared" si="11"/>
        <v>80</v>
      </c>
      <c r="I108" s="41">
        <v>0</v>
      </c>
      <c r="J108" s="41">
        <v>1</v>
      </c>
      <c r="K108" s="41">
        <v>0</v>
      </c>
      <c r="L108" s="85">
        <f t="shared" si="16"/>
        <v>80</v>
      </c>
      <c r="N108" s="86">
        <f t="shared" si="12"/>
        <v>0.9617</v>
      </c>
      <c r="P108" s="84">
        <f t="shared" si="13"/>
        <v>286327.08642652543</v>
      </c>
      <c r="Q108" s="87">
        <f t="shared" si="14"/>
        <v>3579.0885803315678</v>
      </c>
      <c r="S108" s="84">
        <v>272597.9091583254</v>
      </c>
      <c r="T108" s="87">
        <v>3407.4738644790677</v>
      </c>
      <c r="V108" s="90">
        <f t="shared" si="15"/>
        <v>5.0364206059357874E-2</v>
      </c>
      <c r="X108" s="48"/>
      <c r="Y108" s="48"/>
      <c r="Z108" s="66"/>
    </row>
    <row r="109" spans="2:26" ht="13.5" thickBot="1" x14ac:dyDescent="0.3">
      <c r="B109" s="108">
        <v>166</v>
      </c>
      <c r="C109" s="109" t="s">
        <v>117</v>
      </c>
      <c r="D109" s="94"/>
      <c r="E109" s="110">
        <v>300</v>
      </c>
      <c r="F109" s="111">
        <v>0.75</v>
      </c>
      <c r="G109" s="39">
        <v>1</v>
      </c>
      <c r="H109" s="40">
        <f t="shared" si="11"/>
        <v>225</v>
      </c>
      <c r="I109" s="41">
        <v>0</v>
      </c>
      <c r="J109" s="41">
        <v>1</v>
      </c>
      <c r="K109" s="41">
        <v>0</v>
      </c>
      <c r="L109" s="85">
        <f t="shared" si="16"/>
        <v>225</v>
      </c>
      <c r="N109" s="86">
        <f t="shared" si="12"/>
        <v>2.7046999999999999</v>
      </c>
      <c r="P109" s="84">
        <f t="shared" si="13"/>
        <v>805270.73999981629</v>
      </c>
      <c r="Q109" s="87">
        <f t="shared" si="14"/>
        <v>2684.2357999993878</v>
      </c>
      <c r="S109" s="84">
        <v>766658.58885361615</v>
      </c>
      <c r="T109" s="87">
        <v>2555.5286295120536</v>
      </c>
      <c r="V109" s="90">
        <f t="shared" si="15"/>
        <v>5.0364206059357874E-2</v>
      </c>
      <c r="X109" s="48"/>
      <c r="Y109" s="48"/>
      <c r="Z109" s="66"/>
    </row>
    <row r="110" spans="2:26" ht="13.5" thickBot="1" x14ac:dyDescent="0.3">
      <c r="B110" s="105">
        <v>166</v>
      </c>
      <c r="C110" s="106" t="s">
        <v>118</v>
      </c>
      <c r="D110" s="98"/>
      <c r="E110" s="107">
        <v>92</v>
      </c>
      <c r="F110" s="100">
        <v>1</v>
      </c>
      <c r="G110" s="39">
        <v>1</v>
      </c>
      <c r="H110" s="40">
        <f t="shared" si="11"/>
        <v>92</v>
      </c>
      <c r="I110" s="41">
        <v>0</v>
      </c>
      <c r="J110" s="41">
        <v>1</v>
      </c>
      <c r="K110" s="41">
        <v>0</v>
      </c>
      <c r="L110" s="85">
        <f t="shared" si="16"/>
        <v>92</v>
      </c>
      <c r="N110" s="86">
        <f t="shared" si="12"/>
        <v>1.1059000000000001</v>
      </c>
      <c r="P110" s="84">
        <f t="shared" si="13"/>
        <v>329259.77423218725</v>
      </c>
      <c r="Q110" s="87">
        <f t="shared" si="14"/>
        <v>3578.910589480296</v>
      </c>
      <c r="S110" s="84">
        <v>313472.0055507872</v>
      </c>
      <c r="T110" s="87">
        <v>3407.3044081607304</v>
      </c>
      <c r="V110" s="90">
        <f t="shared" si="15"/>
        <v>5.0364206059357874E-2</v>
      </c>
      <c r="X110" s="48"/>
      <c r="Y110" s="48"/>
    </row>
    <row r="111" spans="2:26" ht="13.5" thickBot="1" x14ac:dyDescent="0.3">
      <c r="B111" s="144">
        <v>307</v>
      </c>
      <c r="C111" s="145" t="s">
        <v>176</v>
      </c>
      <c r="D111" s="98"/>
      <c r="E111" s="147">
        <v>128.19999999999999</v>
      </c>
      <c r="F111" s="148">
        <v>1</v>
      </c>
      <c r="G111" s="156">
        <v>1</v>
      </c>
      <c r="H111" s="157">
        <f t="shared" si="11"/>
        <v>128.19999999999999</v>
      </c>
      <c r="I111" s="158">
        <v>0</v>
      </c>
      <c r="J111" s="158">
        <v>1</v>
      </c>
      <c r="K111" s="158">
        <v>0</v>
      </c>
      <c r="L111" s="159">
        <f t="shared" si="16"/>
        <v>128.19999999999999</v>
      </c>
      <c r="N111" s="182">
        <f t="shared" si="12"/>
        <v>1.5410999999999999</v>
      </c>
      <c r="P111" s="146">
        <f t="shared" si="13"/>
        <v>458831.93604233989</v>
      </c>
      <c r="Q111" s="89">
        <f t="shared" si="14"/>
        <v>3579.0322624207483</v>
      </c>
      <c r="S111" s="146">
        <v>436831.27566173987</v>
      </c>
      <c r="T111" s="89">
        <v>3407.4202469714501</v>
      </c>
      <c r="V111" s="90">
        <f t="shared" si="15"/>
        <v>5.0364206059357874E-2</v>
      </c>
      <c r="X111" s="48"/>
      <c r="Y111" s="48"/>
    </row>
    <row r="112" spans="2:26" ht="13.5" thickBot="1" x14ac:dyDescent="0.3">
      <c r="B112" s="144">
        <v>26</v>
      </c>
      <c r="C112" s="145" t="s">
        <v>233</v>
      </c>
      <c r="D112" s="98"/>
      <c r="E112" s="147">
        <v>51</v>
      </c>
      <c r="F112" s="148">
        <v>1</v>
      </c>
      <c r="G112" s="156">
        <v>1</v>
      </c>
      <c r="H112" s="157">
        <f t="shared" si="11"/>
        <v>51</v>
      </c>
      <c r="I112" s="158">
        <v>0</v>
      </c>
      <c r="J112" s="158">
        <v>1</v>
      </c>
      <c r="K112" s="158">
        <v>0</v>
      </c>
      <c r="L112" s="159">
        <f t="shared" si="16"/>
        <v>51</v>
      </c>
      <c r="N112" s="182">
        <f t="shared" si="12"/>
        <v>0.61309999999999998</v>
      </c>
      <c r="P112" s="146">
        <f t="shared" si="13"/>
        <v>182538.35571186725</v>
      </c>
      <c r="Q112" s="89">
        <f t="shared" si="14"/>
        <v>3579.1834453307301</v>
      </c>
      <c r="R112" s="146">
        <f>($P$12*P112)/100</f>
        <v>54347172249.212494</v>
      </c>
      <c r="S112" s="146">
        <v>173785.77321926726</v>
      </c>
      <c r="T112" s="89">
        <v>3407.5641807699462</v>
      </c>
      <c r="U112" s="146">
        <f>($P$12*S112)/100</f>
        <v>51741264540.141083</v>
      </c>
      <c r="V112" s="90">
        <f t="shared" si="15"/>
        <v>5.0364206059357652E-2</v>
      </c>
      <c r="X112" s="48"/>
      <c r="Y112" s="48"/>
    </row>
    <row r="113" spans="2:26" ht="13.5" thickBot="1" x14ac:dyDescent="0.3">
      <c r="B113" s="112">
        <v>402</v>
      </c>
      <c r="C113" s="113" t="s">
        <v>226</v>
      </c>
      <c r="D113" s="94"/>
      <c r="E113" s="136">
        <v>292</v>
      </c>
      <c r="F113" s="114">
        <v>0.51400000000000001</v>
      </c>
      <c r="G113" s="156">
        <v>1</v>
      </c>
      <c r="H113" s="157">
        <f t="shared" si="11"/>
        <v>150.09</v>
      </c>
      <c r="I113" s="158">
        <v>0</v>
      </c>
      <c r="J113" s="158">
        <v>1</v>
      </c>
      <c r="K113" s="158">
        <v>0</v>
      </c>
      <c r="L113" s="159">
        <f t="shared" si="16"/>
        <v>150.09</v>
      </c>
      <c r="N113" s="182">
        <f t="shared" si="12"/>
        <v>1.8042</v>
      </c>
      <c r="P113" s="146">
        <f t="shared" si="13"/>
        <v>537164.73882784357</v>
      </c>
      <c r="Q113" s="89">
        <f t="shared" si="14"/>
        <v>1839.6052699583684</v>
      </c>
      <c r="S113" s="146">
        <v>511408.07705464354</v>
      </c>
      <c r="T113" s="89">
        <v>1751.3975241597382</v>
      </c>
      <c r="V113" s="90">
        <f t="shared" si="15"/>
        <v>5.0364206059357874E-2</v>
      </c>
      <c r="X113" s="48"/>
      <c r="Y113" s="48"/>
    </row>
    <row r="114" spans="2:26" ht="13.5" thickBot="1" x14ac:dyDescent="0.3">
      <c r="I114" s="3"/>
      <c r="S114" s="137"/>
      <c r="T114" s="137"/>
    </row>
    <row r="115" spans="2:26" ht="13.5" thickBot="1" x14ac:dyDescent="0.3">
      <c r="B115" s="50" t="s">
        <v>119</v>
      </c>
      <c r="C115" s="51"/>
      <c r="E115" s="52">
        <f>SUM(E14:E89)+SUM(E91:E113)</f>
        <v>11856.204999999998</v>
      </c>
      <c r="F115" s="35"/>
      <c r="G115" s="53"/>
      <c r="H115" s="35"/>
      <c r="I115" s="35"/>
      <c r="J115" s="35"/>
      <c r="K115" s="35"/>
      <c r="L115" s="54">
        <f>SUM(L14:L89)+SUM(L91:L113)</f>
        <v>8318.7000000000007</v>
      </c>
      <c r="N115" s="183">
        <f>SUM(N14:N89)+SUM(N91:N113)</f>
        <v>99.999800000000036</v>
      </c>
      <c r="P115" s="55">
        <f>SUM(P14:P89)+SUM(P91:P113)</f>
        <v>29772955.575787935</v>
      </c>
      <c r="Q115" s="56"/>
      <c r="S115" s="55">
        <v>22011445.05849319</v>
      </c>
      <c r="T115" s="56"/>
      <c r="X115" s="57">
        <f>SUM(X14:X89)</f>
        <v>1166659.7300000002</v>
      </c>
      <c r="Y115" s="58">
        <f>SUM(Y14:Y89)</f>
        <v>21611900.041309912</v>
      </c>
    </row>
    <row r="116" spans="2:26" x14ac:dyDescent="0.25">
      <c r="E116" s="204"/>
      <c r="F116" s="204"/>
      <c r="G116" s="59"/>
      <c r="H116" s="17"/>
      <c r="I116" s="60"/>
      <c r="J116" s="61"/>
      <c r="S116" s="4"/>
      <c r="T116" s="4"/>
    </row>
    <row r="117" spans="2:26" x14ac:dyDescent="0.25">
      <c r="E117" s="143"/>
      <c r="I117" s="3"/>
      <c r="Q117" s="62"/>
      <c r="R117" s="62"/>
      <c r="S117" s="138"/>
      <c r="T117" s="48"/>
      <c r="U117" s="62"/>
      <c r="V117" s="62"/>
      <c r="W117" s="62"/>
      <c r="Y117" s="17"/>
    </row>
    <row r="118" spans="2:26" x14ac:dyDescent="0.25">
      <c r="E118" s="165"/>
      <c r="H118" s="17"/>
      <c r="I118" s="17"/>
      <c r="P118" s="4" t="s">
        <v>120</v>
      </c>
      <c r="Q118" s="4">
        <f>SUM(L14:L89)</f>
        <v>6475.2200000000012</v>
      </c>
      <c r="Y118" s="17"/>
      <c r="Z118" s="17"/>
    </row>
    <row r="119" spans="2:26" x14ac:dyDescent="0.25">
      <c r="E119" s="165"/>
      <c r="P119" s="4" t="s">
        <v>121</v>
      </c>
      <c r="Q119" s="4">
        <f>SUM(L91:L113)</f>
        <v>1843.48</v>
      </c>
    </row>
    <row r="120" spans="2:26" x14ac:dyDescent="0.25">
      <c r="E120" s="165"/>
      <c r="P120" s="63" t="s">
        <v>122</v>
      </c>
      <c r="Q120" s="63">
        <f>Q118+Q119</f>
        <v>8318.7000000000007</v>
      </c>
      <c r="S120" s="64">
        <f>(Q120/Q118)-1</f>
        <v>0.28469766278211384</v>
      </c>
    </row>
    <row r="121" spans="2:26" x14ac:dyDescent="0.25">
      <c r="C121" s="205"/>
      <c r="D121" s="205"/>
      <c r="E121" s="205"/>
      <c r="F121" s="17"/>
    </row>
    <row r="122" spans="2:26" x14ac:dyDescent="0.25">
      <c r="E122" s="165"/>
    </row>
    <row r="123" spans="2:26" x14ac:dyDescent="0.25">
      <c r="C123" s="192"/>
      <c r="D123" s="192"/>
      <c r="E123" s="192"/>
    </row>
    <row r="124" spans="2:26" x14ac:dyDescent="0.25">
      <c r="E124" s="165"/>
      <c r="I124" s="65"/>
    </row>
    <row r="125" spans="2:26" x14ac:dyDescent="0.25">
      <c r="C125" s="192"/>
      <c r="D125" s="192"/>
      <c r="E125" s="192"/>
      <c r="F125" s="17"/>
      <c r="T125" s="23"/>
    </row>
    <row r="126" spans="2:26" x14ac:dyDescent="0.25">
      <c r="B126" s="1" t="s">
        <v>202</v>
      </c>
      <c r="E126" s="165"/>
      <c r="I126" s="65"/>
    </row>
    <row r="127" spans="2:26" x14ac:dyDescent="0.25">
      <c r="C127" s="192"/>
      <c r="D127" s="192"/>
      <c r="E127" s="192"/>
      <c r="F127" s="3"/>
    </row>
    <row r="129" spans="2:28" x14ac:dyDescent="0.25">
      <c r="F129" s="17"/>
    </row>
    <row r="132" spans="2:28" s="2" customFormat="1" x14ac:dyDescent="0.25">
      <c r="B132" s="1"/>
      <c r="C132" s="3"/>
      <c r="D132" s="1"/>
      <c r="E132" s="61"/>
      <c r="F132" s="1"/>
      <c r="H132" s="1"/>
      <c r="I132" s="1"/>
      <c r="J132" s="1"/>
      <c r="K132" s="1"/>
      <c r="L132" s="1"/>
      <c r="M132" s="1"/>
      <c r="N132" s="1"/>
      <c r="O132" s="1"/>
      <c r="P132" s="4"/>
      <c r="Q132" s="4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s="2" customFormat="1" x14ac:dyDescent="0.25">
      <c r="B133" s="1"/>
      <c r="C133" s="1"/>
      <c r="D133" s="1"/>
      <c r="E133" s="1"/>
      <c r="F133" s="20"/>
      <c r="H133" s="1"/>
      <c r="I133" s="1"/>
      <c r="J133" s="1"/>
      <c r="K133" s="1"/>
      <c r="L133" s="1"/>
      <c r="M133" s="1"/>
      <c r="N133" s="1"/>
      <c r="O133" s="1"/>
      <c r="P133" s="4"/>
      <c r="Q133" s="4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s="2" customFormat="1" x14ac:dyDescent="0.25">
      <c r="B134" s="1"/>
      <c r="C134" s="20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4"/>
      <c r="Q134" s="4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s="2" customFormat="1" x14ac:dyDescent="0.25">
      <c r="B135" s="1"/>
      <c r="C135" s="66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4"/>
      <c r="Q135" s="4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</row>
  </sheetData>
  <mergeCells count="8">
    <mergeCell ref="C125:E125"/>
    <mergeCell ref="C127:E127"/>
    <mergeCell ref="B2:M6"/>
    <mergeCell ref="S12:T12"/>
    <mergeCell ref="X12:Y12"/>
    <mergeCell ref="E116:F116"/>
    <mergeCell ref="C121:E121"/>
    <mergeCell ref="C123:E123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60C9-9115-4AF3-8813-C80157F4B765}">
  <sheetPr>
    <tabColor theme="4" tint="0.39997558519241921"/>
  </sheetPr>
  <dimension ref="A1:AB135"/>
  <sheetViews>
    <sheetView topLeftCell="H1" zoomScale="75" zoomScaleNormal="75" workbookViewId="0">
      <selection activeCell="T9" sqref="T9"/>
    </sheetView>
  </sheetViews>
  <sheetFormatPr baseColWidth="10" defaultColWidth="10.81640625" defaultRowHeight="13" x14ac:dyDescent="0.25"/>
  <cols>
    <col min="1" max="1" width="4.453125" style="1" customWidth="1"/>
    <col min="2" max="2" width="19.54296875" style="1" customWidth="1"/>
    <col min="3" max="3" width="29.453125" style="1" customWidth="1"/>
    <col min="4" max="4" width="1.453125" style="1" customWidth="1"/>
    <col min="5" max="5" width="11.453125" style="1" customWidth="1"/>
    <col min="6" max="6" width="14.453125" style="1" customWidth="1"/>
    <col min="7" max="7" width="13.81640625" style="2" customWidth="1"/>
    <col min="8" max="8" width="13.453125" style="1" customWidth="1"/>
    <col min="9" max="9" width="12.453125" style="1" customWidth="1"/>
    <col min="10" max="11" width="11.453125" style="1" customWidth="1"/>
    <col min="12" max="12" width="8.26953125" style="1" customWidth="1"/>
    <col min="13" max="13" width="0.1796875" style="1" customWidth="1"/>
    <col min="14" max="14" width="19.453125" style="1" customWidth="1"/>
    <col min="15" max="15" width="0.1796875" style="1" customWidth="1"/>
    <col min="16" max="16" width="22.7265625" style="4" customWidth="1"/>
    <col min="17" max="17" width="15" style="4" customWidth="1"/>
    <col min="18" max="18" width="1.7265625" style="1" customWidth="1"/>
    <col min="19" max="19" width="17.26953125" style="5" bestFit="1" customWidth="1"/>
    <col min="20" max="20" width="17.54296875" style="1" customWidth="1"/>
    <col min="21" max="21" width="1.7265625" style="1" customWidth="1"/>
    <col min="22" max="22" width="13.1796875" style="1" customWidth="1"/>
    <col min="23" max="23" width="1.7265625" style="1" customWidth="1"/>
    <col min="24" max="24" width="14.453125" style="1" bestFit="1" customWidth="1"/>
    <col min="25" max="25" width="15.81640625" style="1" customWidth="1"/>
    <col min="26" max="26" width="14.26953125" style="1" customWidth="1"/>
    <col min="27" max="27" width="11.81640625" style="1" bestFit="1" customWidth="1"/>
    <col min="28" max="28" width="15.7265625" style="1" customWidth="1"/>
    <col min="29" max="16384" width="10.81640625" style="1"/>
  </cols>
  <sheetData>
    <row r="1" spans="2:28" ht="13.5" thickBot="1" x14ac:dyDescent="0.3">
      <c r="I1" s="3"/>
    </row>
    <row r="2" spans="2:28" ht="13.5" thickBot="1" x14ac:dyDescent="0.3">
      <c r="B2" s="193" t="s">
        <v>232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P2" s="6" t="s">
        <v>0</v>
      </c>
      <c r="Q2" s="7">
        <f>T10</f>
        <v>37813389.831818178</v>
      </c>
      <c r="R2" s="8"/>
      <c r="S2" s="9" t="s">
        <v>1</v>
      </c>
      <c r="T2" s="10">
        <f>519334.36+137332.91+33332.73</f>
        <v>690000</v>
      </c>
      <c r="U2" s="8"/>
      <c r="W2" s="8"/>
    </row>
    <row r="3" spans="2:28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8"/>
      <c r="O3" s="11" t="s">
        <v>2</v>
      </c>
      <c r="P3" s="12"/>
      <c r="Q3" s="13"/>
      <c r="S3" s="9" t="s">
        <v>3</v>
      </c>
      <c r="T3" s="10"/>
    </row>
    <row r="4" spans="2:28" x14ac:dyDescent="0.25"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8"/>
      <c r="O4" s="14" t="s">
        <v>4</v>
      </c>
      <c r="P4" s="15"/>
      <c r="Q4" s="16"/>
      <c r="S4" s="9" t="s">
        <v>5</v>
      </c>
      <c r="T4" s="17">
        <v>119150</v>
      </c>
    </row>
    <row r="5" spans="2:28" ht="14.5" x14ac:dyDescent="0.35">
      <c r="B5" s="196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8"/>
      <c r="O5" s="14" t="s">
        <v>6</v>
      </c>
      <c r="P5" s="18" t="s">
        <v>7</v>
      </c>
      <c r="Q5" s="19">
        <f>819346.66+274073.23</f>
        <v>1093419.8900000001</v>
      </c>
      <c r="S5" s="9" t="s">
        <v>8</v>
      </c>
      <c r="T5" s="17">
        <v>27642</v>
      </c>
      <c r="V5" s="20"/>
      <c r="Y5" s="21"/>
    </row>
    <row r="6" spans="2:28" ht="15" thickBot="1" x14ac:dyDescent="0.4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O6" s="14" t="s">
        <v>9</v>
      </c>
      <c r="P6" s="18" t="s">
        <v>220</v>
      </c>
      <c r="Q6" s="16">
        <v>4005806.21</v>
      </c>
      <c r="S6" s="9" t="s">
        <v>10</v>
      </c>
      <c r="T6" s="77">
        <v>3603000.02</v>
      </c>
      <c r="V6" s="22"/>
      <c r="Y6" s="149"/>
      <c r="AB6" s="22"/>
    </row>
    <row r="7" spans="2:28" ht="13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0"/>
      <c r="O7" s="14" t="s">
        <v>11</v>
      </c>
      <c r="P7" s="25" t="s">
        <v>12</v>
      </c>
      <c r="Q7" s="19">
        <v>208849.15</v>
      </c>
      <c r="S7" s="9" t="s">
        <v>13</v>
      </c>
      <c r="T7" s="17">
        <f>Premisas!D11</f>
        <v>1043597.8118181818</v>
      </c>
      <c r="V7" s="20"/>
      <c r="Y7" s="149"/>
    </row>
    <row r="8" spans="2:28" ht="13" customHeight="1" x14ac:dyDescent="0.25">
      <c r="B8" s="26" t="s">
        <v>14</v>
      </c>
      <c r="C8" s="102"/>
      <c r="D8" s="24"/>
      <c r="E8" s="24"/>
      <c r="F8" s="24"/>
      <c r="G8" s="24"/>
      <c r="H8" s="24"/>
      <c r="I8" s="24"/>
      <c r="J8" s="24"/>
      <c r="K8" s="24"/>
      <c r="L8" s="24"/>
      <c r="M8" s="24"/>
      <c r="O8" s="14" t="s">
        <v>15</v>
      </c>
      <c r="P8" s="18" t="s">
        <v>181</v>
      </c>
      <c r="Q8" s="16">
        <v>382299.46</v>
      </c>
      <c r="S8" s="9" t="s">
        <v>16</v>
      </c>
      <c r="T8" s="17">
        <v>600000</v>
      </c>
    </row>
    <row r="9" spans="2:28" ht="13" customHeight="1" thickBot="1" x14ac:dyDescent="0.3">
      <c r="B9" s="26" t="s">
        <v>17</v>
      </c>
      <c r="C9" s="95"/>
      <c r="D9" s="24"/>
      <c r="E9" s="24"/>
      <c r="F9" s="24"/>
      <c r="G9" s="24"/>
      <c r="H9" s="24"/>
      <c r="I9" s="24"/>
      <c r="J9" s="24"/>
      <c r="K9" s="24"/>
      <c r="L9" s="24"/>
      <c r="M9" s="24"/>
      <c r="O9" s="27" t="s">
        <v>18</v>
      </c>
      <c r="P9" s="28"/>
      <c r="Q9" s="29">
        <v>0</v>
      </c>
      <c r="S9" s="9"/>
      <c r="T9" s="30">
        <f>29380000+2350000</f>
        <v>31730000</v>
      </c>
      <c r="V9" s="31"/>
      <c r="W9" s="32"/>
      <c r="X9" s="150"/>
    </row>
    <row r="10" spans="2:28" ht="13.5" thickBot="1" x14ac:dyDescent="0.3">
      <c r="B10" s="26" t="s">
        <v>19</v>
      </c>
      <c r="C10" s="80"/>
      <c r="I10" s="3"/>
      <c r="P10" s="6" t="s">
        <v>20</v>
      </c>
      <c r="Q10" s="34">
        <f>Q2-Q3-Q4-Q5-Q6-Q7-Q8-Q9</f>
        <v>32123015.121818177</v>
      </c>
      <c r="S10" s="5" t="s">
        <v>21</v>
      </c>
      <c r="T10" s="17">
        <f>SUM(T2:T9)</f>
        <v>37813389.831818178</v>
      </c>
      <c r="V10" s="138"/>
      <c r="W10" s="32"/>
      <c r="X10" s="33"/>
      <c r="Z10" s="138"/>
    </row>
    <row r="11" spans="2:28" ht="13.5" thickBot="1" x14ac:dyDescent="0.3">
      <c r="I11" s="3"/>
    </row>
    <row r="12" spans="2:28" ht="26.5" thickBot="1" x14ac:dyDescent="0.3">
      <c r="B12" s="119" t="s">
        <v>22</v>
      </c>
      <c r="C12" s="120" t="s">
        <v>23</v>
      </c>
      <c r="E12" s="119" t="s">
        <v>24</v>
      </c>
      <c r="F12" s="121" t="s">
        <v>25</v>
      </c>
      <c r="G12" s="122" t="s">
        <v>26</v>
      </c>
      <c r="H12" s="123" t="s">
        <v>27</v>
      </c>
      <c r="I12" s="124" t="s">
        <v>28</v>
      </c>
      <c r="J12" s="121" t="s">
        <v>29</v>
      </c>
      <c r="K12" s="121" t="s">
        <v>30</v>
      </c>
      <c r="L12" s="120" t="s">
        <v>31</v>
      </c>
      <c r="M12" s="125"/>
      <c r="N12" s="180" t="s">
        <v>32</v>
      </c>
      <c r="O12" s="125"/>
      <c r="P12" s="126">
        <f>+Q10</f>
        <v>32123015.121818177</v>
      </c>
      <c r="Q12" s="127" t="s">
        <v>33</v>
      </c>
      <c r="S12" s="202" t="s">
        <v>240</v>
      </c>
      <c r="T12" s="203"/>
      <c r="V12" s="128" t="s">
        <v>34</v>
      </c>
      <c r="X12" s="202" t="s">
        <v>35</v>
      </c>
      <c r="Y12" s="203"/>
    </row>
    <row r="13" spans="2:28" ht="7" customHeight="1" thickBot="1" x14ac:dyDescent="0.3">
      <c r="I13" s="3"/>
      <c r="X13" s="5"/>
    </row>
    <row r="14" spans="2:28" x14ac:dyDescent="0.25">
      <c r="B14" s="160" t="s">
        <v>36</v>
      </c>
      <c r="C14" s="161" t="s">
        <v>198</v>
      </c>
      <c r="D14" s="94"/>
      <c r="E14" s="162">
        <v>211</v>
      </c>
      <c r="F14" s="163">
        <v>0.9</v>
      </c>
      <c r="G14" s="37">
        <v>1</v>
      </c>
      <c r="H14" s="38">
        <f t="shared" ref="H14:H85" si="0">ROUND(E14*G14*F14,2)</f>
        <v>189.9</v>
      </c>
      <c r="I14" s="36">
        <v>0</v>
      </c>
      <c r="J14" s="36">
        <v>1</v>
      </c>
      <c r="K14" s="36">
        <f t="shared" ref="K14:K84" si="1">ROUND(I14*J14,2)</f>
        <v>0</v>
      </c>
      <c r="L14" s="153">
        <f t="shared" ref="L14:L84" si="2">H14+K14</f>
        <v>189.9</v>
      </c>
      <c r="N14" s="181">
        <f t="shared" ref="N14:N77" si="3">ROUND((L14/$L$115)*100,4)</f>
        <v>2.2827999999999999</v>
      </c>
      <c r="P14" s="152">
        <f t="shared" ref="P14:P85" si="4">($P$12*N14)/100</f>
        <v>733304.18920086534</v>
      </c>
      <c r="Q14" s="154">
        <f t="shared" ref="Q14:Q85" si="5">P14/E14</f>
        <v>3475.3753042695039</v>
      </c>
      <c r="R14" s="2"/>
      <c r="S14" s="152">
        <v>679658.38920086529</v>
      </c>
      <c r="T14" s="154">
        <v>3221.1298066391719</v>
      </c>
      <c r="U14" s="2"/>
      <c r="V14" s="155">
        <f t="shared" ref="V14:V78" si="6">(P14/S14)-1</f>
        <v>7.8930534592644763E-2</v>
      </c>
      <c r="W14" s="2"/>
      <c r="X14" s="152">
        <v>43179.58</v>
      </c>
      <c r="Y14" s="154">
        <f t="shared" ref="Y14:Y48" si="7">+P14-X14</f>
        <v>690124.60920086538</v>
      </c>
      <c r="Z14" s="4"/>
    </row>
    <row r="15" spans="2:28" x14ac:dyDescent="0.25">
      <c r="B15" s="96" t="s">
        <v>37</v>
      </c>
      <c r="C15" s="97" t="s">
        <v>38</v>
      </c>
      <c r="D15" s="98"/>
      <c r="E15" s="99">
        <f>140.4+64.1</f>
        <v>204.5</v>
      </c>
      <c r="F15" s="100">
        <v>1</v>
      </c>
      <c r="G15" s="39">
        <v>1</v>
      </c>
      <c r="H15" s="40">
        <f t="shared" si="0"/>
        <v>204.5</v>
      </c>
      <c r="I15" s="41">
        <v>0</v>
      </c>
      <c r="J15" s="41">
        <v>1</v>
      </c>
      <c r="K15" s="41">
        <f t="shared" si="1"/>
        <v>0</v>
      </c>
      <c r="L15" s="85">
        <f t="shared" si="2"/>
        <v>204.5</v>
      </c>
      <c r="N15" s="86">
        <f t="shared" si="3"/>
        <v>2.4582999999999999</v>
      </c>
      <c r="P15" s="84">
        <f t="shared" si="4"/>
        <v>789680.08073965623</v>
      </c>
      <c r="Q15" s="91">
        <f t="shared" si="5"/>
        <v>3861.5162872354827</v>
      </c>
      <c r="S15" s="84">
        <v>731910.03073965618</v>
      </c>
      <c r="T15" s="91">
        <v>3579.0221552061425</v>
      </c>
      <c r="V15" s="88">
        <f t="shared" si="6"/>
        <v>7.8930534592644763E-2</v>
      </c>
      <c r="X15" s="84">
        <v>26671.86</v>
      </c>
      <c r="Y15" s="87">
        <f t="shared" si="7"/>
        <v>763008.22073965624</v>
      </c>
      <c r="Z15" s="4"/>
    </row>
    <row r="16" spans="2:28" x14ac:dyDescent="0.25">
      <c r="B16" s="96" t="s">
        <v>39</v>
      </c>
      <c r="C16" s="97" t="s">
        <v>40</v>
      </c>
      <c r="D16" s="98"/>
      <c r="E16" s="99">
        <v>81.3</v>
      </c>
      <c r="F16" s="100">
        <v>1</v>
      </c>
      <c r="G16" s="39">
        <v>1</v>
      </c>
      <c r="H16" s="40">
        <f t="shared" si="0"/>
        <v>81.3</v>
      </c>
      <c r="I16" s="41">
        <v>0</v>
      </c>
      <c r="J16" s="41">
        <v>1</v>
      </c>
      <c r="K16" s="41">
        <f t="shared" si="1"/>
        <v>0</v>
      </c>
      <c r="L16" s="85">
        <f t="shared" si="2"/>
        <v>81.3</v>
      </c>
      <c r="N16" s="86">
        <f t="shared" si="3"/>
        <v>0.97729999999999995</v>
      </c>
      <c r="P16" s="84">
        <f t="shared" si="4"/>
        <v>313938.22678552906</v>
      </c>
      <c r="Q16" s="91">
        <f t="shared" si="5"/>
        <v>3861.47880425005</v>
      </c>
      <c r="S16" s="84">
        <v>290971.67678552901</v>
      </c>
      <c r="T16" s="91">
        <v>3578.9874143361503</v>
      </c>
      <c r="V16" s="88">
        <f t="shared" si="6"/>
        <v>7.8930534592644763E-2</v>
      </c>
      <c r="X16" s="84">
        <v>15444.87</v>
      </c>
      <c r="Y16" s="87">
        <f t="shared" si="7"/>
        <v>298493.35678552906</v>
      </c>
      <c r="Z16" s="4"/>
    </row>
    <row r="17" spans="1:26" x14ac:dyDescent="0.25">
      <c r="B17" s="96" t="s">
        <v>41</v>
      </c>
      <c r="C17" s="97" t="s">
        <v>42</v>
      </c>
      <c r="D17" s="98"/>
      <c r="E17" s="99">
        <v>56.6</v>
      </c>
      <c r="F17" s="100">
        <v>1</v>
      </c>
      <c r="G17" s="39">
        <v>1</v>
      </c>
      <c r="H17" s="40">
        <f t="shared" si="0"/>
        <v>56.6</v>
      </c>
      <c r="I17" s="41">
        <v>0</v>
      </c>
      <c r="J17" s="41">
        <v>1</v>
      </c>
      <c r="K17" s="41">
        <f t="shared" si="1"/>
        <v>0</v>
      </c>
      <c r="L17" s="85">
        <f t="shared" si="2"/>
        <v>56.6</v>
      </c>
      <c r="N17" s="86">
        <f t="shared" si="3"/>
        <v>0.6804</v>
      </c>
      <c r="P17" s="84">
        <f t="shared" si="4"/>
        <v>218564.9948888509</v>
      </c>
      <c r="Q17" s="91">
        <f t="shared" si="5"/>
        <v>3861.5723478595564</v>
      </c>
      <c r="S17" s="84">
        <v>202575.5948888509</v>
      </c>
      <c r="T17" s="91">
        <v>3579.0741146440087</v>
      </c>
      <c r="V17" s="88">
        <f t="shared" si="6"/>
        <v>7.8930534592644541E-2</v>
      </c>
      <c r="X17" s="84">
        <v>10752.68</v>
      </c>
      <c r="Y17" s="87">
        <f t="shared" si="7"/>
        <v>207812.3148888509</v>
      </c>
      <c r="Z17" s="4"/>
    </row>
    <row r="18" spans="1:26" x14ac:dyDescent="0.25">
      <c r="A18" s="1" t="s">
        <v>230</v>
      </c>
      <c r="B18" s="96" t="s">
        <v>43</v>
      </c>
      <c r="C18" s="97" t="s">
        <v>129</v>
      </c>
      <c r="D18" s="98"/>
      <c r="E18" s="99">
        <v>24.35</v>
      </c>
      <c r="F18" s="100">
        <v>1</v>
      </c>
      <c r="G18" s="39">
        <v>1</v>
      </c>
      <c r="H18" s="40">
        <f t="shared" si="0"/>
        <v>24.35</v>
      </c>
      <c r="I18" s="41">
        <v>0</v>
      </c>
      <c r="J18" s="41">
        <v>1</v>
      </c>
      <c r="K18" s="41">
        <f t="shared" si="1"/>
        <v>0</v>
      </c>
      <c r="L18" s="85">
        <f t="shared" si="2"/>
        <v>24.35</v>
      </c>
      <c r="N18" s="86">
        <f t="shared" si="3"/>
        <v>0.29270000000000002</v>
      </c>
      <c r="P18" s="84">
        <f t="shared" si="4"/>
        <v>94024.065261561816</v>
      </c>
      <c r="Q18" s="91">
        <f t="shared" si="5"/>
        <v>3861.357916285906</v>
      </c>
      <c r="S18" s="84">
        <v>87145.615261561819</v>
      </c>
      <c r="T18" s="91">
        <v>3578.8753700846742</v>
      </c>
      <c r="V18" s="88">
        <f t="shared" si="6"/>
        <v>7.8930534592644541E-2</v>
      </c>
      <c r="X18" s="84">
        <v>4625.1400000000003</v>
      </c>
      <c r="Y18" s="87">
        <f t="shared" si="7"/>
        <v>89398.925261561817</v>
      </c>
      <c r="Z18" s="4"/>
    </row>
    <row r="19" spans="1:26" x14ac:dyDescent="0.25">
      <c r="B19" s="96" t="s">
        <v>44</v>
      </c>
      <c r="C19" s="97" t="s">
        <v>45</v>
      </c>
      <c r="D19" s="98"/>
      <c r="E19" s="99">
        <v>55.25</v>
      </c>
      <c r="F19" s="100">
        <v>1</v>
      </c>
      <c r="G19" s="39">
        <v>1</v>
      </c>
      <c r="H19" s="40">
        <f t="shared" si="0"/>
        <v>55.25</v>
      </c>
      <c r="I19" s="41">
        <v>0</v>
      </c>
      <c r="J19" s="41">
        <v>1</v>
      </c>
      <c r="K19" s="41">
        <f t="shared" si="1"/>
        <v>0</v>
      </c>
      <c r="L19" s="85">
        <f t="shared" si="2"/>
        <v>55.25</v>
      </c>
      <c r="N19" s="86">
        <f t="shared" si="3"/>
        <v>0.66420000000000001</v>
      </c>
      <c r="P19" s="84">
        <f t="shared" si="4"/>
        <v>213361.06643911634</v>
      </c>
      <c r="Q19" s="87">
        <f t="shared" si="5"/>
        <v>3861.738759079029</v>
      </c>
      <c r="S19" s="84">
        <v>197752.36643911633</v>
      </c>
      <c r="T19" s="87">
        <v>3579.2283518392096</v>
      </c>
      <c r="V19" s="88">
        <f t="shared" si="6"/>
        <v>7.8930534592644541E-2</v>
      </c>
      <c r="X19" s="84">
        <v>10495.66</v>
      </c>
      <c r="Y19" s="87">
        <f t="shared" si="7"/>
        <v>202865.40643911634</v>
      </c>
      <c r="Z19" s="4"/>
    </row>
    <row r="20" spans="1:26" x14ac:dyDescent="0.25">
      <c r="B20" s="101" t="s">
        <v>46</v>
      </c>
      <c r="C20" s="97" t="s">
        <v>123</v>
      </c>
      <c r="D20" s="98"/>
      <c r="E20" s="99">
        <v>48.9</v>
      </c>
      <c r="F20" s="100">
        <v>1</v>
      </c>
      <c r="G20" s="39">
        <v>1</v>
      </c>
      <c r="H20" s="40">
        <f t="shared" si="0"/>
        <v>48.9</v>
      </c>
      <c r="I20" s="41">
        <v>0</v>
      </c>
      <c r="J20" s="41">
        <v>1</v>
      </c>
      <c r="K20" s="41">
        <f t="shared" si="1"/>
        <v>0</v>
      </c>
      <c r="L20" s="85">
        <f t="shared" si="2"/>
        <v>48.9</v>
      </c>
      <c r="N20" s="86">
        <f t="shared" si="3"/>
        <v>0.58779999999999999</v>
      </c>
      <c r="P20" s="84">
        <f t="shared" si="4"/>
        <v>188819.08288604725</v>
      </c>
      <c r="Q20" s="87">
        <f t="shared" si="5"/>
        <v>3861.3309383649748</v>
      </c>
      <c r="S20" s="84">
        <v>175005.78288604727</v>
      </c>
      <c r="T20" s="87">
        <v>3578.850365767838</v>
      </c>
      <c r="V20" s="88">
        <f t="shared" si="6"/>
        <v>7.8930534592644541E-2</v>
      </c>
      <c r="X20" s="84">
        <v>9290.02</v>
      </c>
      <c r="Y20" s="87">
        <f t="shared" si="7"/>
        <v>179529.06288604726</v>
      </c>
      <c r="Z20" s="4"/>
    </row>
    <row r="21" spans="1:26" x14ac:dyDescent="0.25">
      <c r="B21" s="101" t="s">
        <v>47</v>
      </c>
      <c r="C21" s="97" t="s">
        <v>123</v>
      </c>
      <c r="D21" s="98"/>
      <c r="E21" s="99">
        <v>48.7</v>
      </c>
      <c r="F21" s="100">
        <v>1</v>
      </c>
      <c r="G21" s="39">
        <v>1</v>
      </c>
      <c r="H21" s="40">
        <f t="shared" si="0"/>
        <v>48.7</v>
      </c>
      <c r="I21" s="41">
        <v>0</v>
      </c>
      <c r="J21" s="41">
        <v>1</v>
      </c>
      <c r="K21" s="41">
        <f t="shared" si="1"/>
        <v>0</v>
      </c>
      <c r="L21" s="85">
        <f t="shared" si="2"/>
        <v>48.7</v>
      </c>
      <c r="N21" s="86">
        <f t="shared" si="3"/>
        <v>0.58540000000000003</v>
      </c>
      <c r="P21" s="84">
        <f t="shared" si="4"/>
        <v>188048.13052312363</v>
      </c>
      <c r="Q21" s="87">
        <f t="shared" si="5"/>
        <v>3861.357916285906</v>
      </c>
      <c r="S21" s="84">
        <v>174291.23052312364</v>
      </c>
      <c r="T21" s="87">
        <v>3578.8753700846742</v>
      </c>
      <c r="V21" s="88">
        <f t="shared" si="6"/>
        <v>7.8930534592644541E-2</v>
      </c>
      <c r="X21" s="84">
        <v>9251.5300000000007</v>
      </c>
      <c r="Y21" s="87">
        <f t="shared" si="7"/>
        <v>178796.60052312363</v>
      </c>
      <c r="Z21" s="4"/>
    </row>
    <row r="22" spans="1:26" x14ac:dyDescent="0.25">
      <c r="B22" s="101" t="s">
        <v>48</v>
      </c>
      <c r="C22" s="97" t="s">
        <v>124</v>
      </c>
      <c r="D22" s="98"/>
      <c r="E22" s="99">
        <v>43.65</v>
      </c>
      <c r="F22" s="100">
        <v>1</v>
      </c>
      <c r="G22" s="39">
        <v>1</v>
      </c>
      <c r="H22" s="40">
        <f t="shared" si="0"/>
        <v>43.65</v>
      </c>
      <c r="I22" s="41">
        <v>0</v>
      </c>
      <c r="J22" s="41">
        <v>1</v>
      </c>
      <c r="K22" s="41">
        <f t="shared" si="1"/>
        <v>0</v>
      </c>
      <c r="L22" s="85">
        <f t="shared" si="2"/>
        <v>43.65</v>
      </c>
      <c r="N22" s="86">
        <f t="shared" si="3"/>
        <v>0.52470000000000006</v>
      </c>
      <c r="P22" s="84">
        <f t="shared" si="4"/>
        <v>168549.46034417997</v>
      </c>
      <c r="Q22" s="87">
        <f t="shared" si="5"/>
        <v>3861.3851167051539</v>
      </c>
      <c r="S22" s="84">
        <v>156219.01034417999</v>
      </c>
      <c r="T22" s="87">
        <v>3578.9005806226801</v>
      </c>
      <c r="V22" s="88">
        <f t="shared" si="6"/>
        <v>7.8930534592644541E-2</v>
      </c>
      <c r="X22" s="84">
        <v>8291.73</v>
      </c>
      <c r="Y22" s="87">
        <f t="shared" si="7"/>
        <v>160257.73034417996</v>
      </c>
      <c r="Z22" s="4"/>
    </row>
    <row r="23" spans="1:26" x14ac:dyDescent="0.25">
      <c r="B23" s="96" t="s">
        <v>49</v>
      </c>
      <c r="C23" s="97" t="s">
        <v>51</v>
      </c>
      <c r="D23" s="98"/>
      <c r="E23" s="99">
        <v>44.85</v>
      </c>
      <c r="F23" s="100">
        <v>1</v>
      </c>
      <c r="G23" s="39">
        <v>1</v>
      </c>
      <c r="H23" s="40">
        <f t="shared" si="0"/>
        <v>44.85</v>
      </c>
      <c r="I23" s="41">
        <v>0</v>
      </c>
      <c r="J23" s="41">
        <v>1</v>
      </c>
      <c r="K23" s="41">
        <f t="shared" si="1"/>
        <v>0</v>
      </c>
      <c r="L23" s="85">
        <f t="shared" si="2"/>
        <v>44.85</v>
      </c>
      <c r="N23" s="86">
        <f t="shared" si="3"/>
        <v>0.53910000000000002</v>
      </c>
      <c r="P23" s="84">
        <f t="shared" si="4"/>
        <v>173175.17452172178</v>
      </c>
      <c r="Q23" s="87">
        <f t="shared" si="5"/>
        <v>3861.2079046091812</v>
      </c>
      <c r="R23" s="92"/>
      <c r="S23" s="84">
        <v>160506.32452172181</v>
      </c>
      <c r="T23" s="87">
        <v>3578.7363327028274</v>
      </c>
      <c r="U23" s="92"/>
      <c r="V23" s="88">
        <f t="shared" si="6"/>
        <v>7.8930534592644541E-2</v>
      </c>
      <c r="W23" s="92"/>
      <c r="X23" s="84">
        <v>8520.19</v>
      </c>
      <c r="Y23" s="87">
        <f t="shared" si="7"/>
        <v>164654.98452172178</v>
      </c>
      <c r="Z23" s="4"/>
    </row>
    <row r="24" spans="1:26" x14ac:dyDescent="0.25">
      <c r="B24" s="96" t="s">
        <v>50</v>
      </c>
      <c r="C24" s="97" t="s">
        <v>51</v>
      </c>
      <c r="D24" s="98"/>
      <c r="E24" s="99">
        <v>55.65</v>
      </c>
      <c r="F24" s="100">
        <v>1</v>
      </c>
      <c r="G24" s="39">
        <v>1</v>
      </c>
      <c r="H24" s="40">
        <f t="shared" si="0"/>
        <v>55.65</v>
      </c>
      <c r="I24" s="41">
        <v>0</v>
      </c>
      <c r="J24" s="41">
        <v>1</v>
      </c>
      <c r="K24" s="41">
        <f t="shared" si="1"/>
        <v>0</v>
      </c>
      <c r="L24" s="85">
        <f t="shared" si="2"/>
        <v>55.65</v>
      </c>
      <c r="N24" s="86">
        <f t="shared" si="3"/>
        <v>0.66900000000000004</v>
      </c>
      <c r="P24" s="84">
        <f t="shared" si="4"/>
        <v>214902.97116496362</v>
      </c>
      <c r="Q24" s="87">
        <f t="shared" si="5"/>
        <v>3861.6886103317811</v>
      </c>
      <c r="S24" s="84">
        <v>199181.47116496362</v>
      </c>
      <c r="T24" s="87">
        <v>3579.1818717873066</v>
      </c>
      <c r="V24" s="88">
        <f t="shared" si="6"/>
        <v>7.8930534592644541E-2</v>
      </c>
      <c r="X24" s="84">
        <v>10571.4</v>
      </c>
      <c r="Y24" s="87">
        <f t="shared" si="7"/>
        <v>204331.57116496362</v>
      </c>
      <c r="Z24" s="4"/>
    </row>
    <row r="25" spans="1:26" x14ac:dyDescent="0.25">
      <c r="B25" s="101" t="s">
        <v>52</v>
      </c>
      <c r="C25" s="97" t="s">
        <v>53</v>
      </c>
      <c r="D25" s="98"/>
      <c r="E25" s="99">
        <v>55.65</v>
      </c>
      <c r="F25" s="100">
        <v>1</v>
      </c>
      <c r="G25" s="39">
        <v>1</v>
      </c>
      <c r="H25" s="40">
        <f t="shared" si="0"/>
        <v>55.65</v>
      </c>
      <c r="I25" s="41">
        <v>0</v>
      </c>
      <c r="J25" s="41">
        <v>1</v>
      </c>
      <c r="K25" s="41">
        <f t="shared" si="1"/>
        <v>0</v>
      </c>
      <c r="L25" s="85">
        <f t="shared" si="2"/>
        <v>55.65</v>
      </c>
      <c r="M25" s="80"/>
      <c r="N25" s="86">
        <f t="shared" si="3"/>
        <v>0.66900000000000004</v>
      </c>
      <c r="O25" s="80"/>
      <c r="P25" s="84">
        <f t="shared" si="4"/>
        <v>214902.97116496362</v>
      </c>
      <c r="Q25" s="87">
        <f t="shared" si="5"/>
        <v>3861.6886103317811</v>
      </c>
      <c r="S25" s="84">
        <v>199181.47116496362</v>
      </c>
      <c r="T25" s="87">
        <v>3579.1818717873066</v>
      </c>
      <c r="V25" s="88">
        <f t="shared" si="6"/>
        <v>7.8930534592644541E-2</v>
      </c>
      <c r="X25" s="84">
        <v>10571.4</v>
      </c>
      <c r="Y25" s="87">
        <f t="shared" si="7"/>
        <v>204331.57116496362</v>
      </c>
      <c r="Z25" s="4"/>
    </row>
    <row r="26" spans="1:26" x14ac:dyDescent="0.25">
      <c r="B26" s="101" t="s">
        <v>54</v>
      </c>
      <c r="C26" s="97" t="s">
        <v>55</v>
      </c>
      <c r="D26" s="98"/>
      <c r="E26" s="103">
        <f>44.85+43.5</f>
        <v>88.35</v>
      </c>
      <c r="F26" s="100">
        <v>1</v>
      </c>
      <c r="G26" s="39">
        <v>1</v>
      </c>
      <c r="H26" s="40">
        <f t="shared" si="0"/>
        <v>88.35</v>
      </c>
      <c r="I26" s="41">
        <v>0</v>
      </c>
      <c r="J26" s="41">
        <v>1</v>
      </c>
      <c r="K26" s="41">
        <f t="shared" si="1"/>
        <v>0</v>
      </c>
      <c r="L26" s="85">
        <f t="shared" si="2"/>
        <v>88.35</v>
      </c>
      <c r="N26" s="86">
        <f t="shared" si="3"/>
        <v>1.0621</v>
      </c>
      <c r="P26" s="84">
        <f t="shared" si="4"/>
        <v>341178.54360883089</v>
      </c>
      <c r="Q26" s="87">
        <f t="shared" si="5"/>
        <v>3861.6699899131963</v>
      </c>
      <c r="S26" s="84">
        <v>316219.19360883086</v>
      </c>
      <c r="T26" s="87">
        <v>3579.1646135691103</v>
      </c>
      <c r="V26" s="88">
        <f t="shared" si="6"/>
        <v>7.8930534592644763E-2</v>
      </c>
      <c r="X26" s="84">
        <v>16783.37</v>
      </c>
      <c r="Y26" s="87">
        <f t="shared" si="7"/>
        <v>324395.1736088309</v>
      </c>
      <c r="Z26" s="4"/>
    </row>
    <row r="27" spans="1:26" x14ac:dyDescent="0.25">
      <c r="B27" s="101" t="s">
        <v>211</v>
      </c>
      <c r="C27" s="97" t="s">
        <v>45</v>
      </c>
      <c r="D27" s="98"/>
      <c r="E27" s="103">
        <v>52.8</v>
      </c>
      <c r="F27" s="100">
        <v>1</v>
      </c>
      <c r="G27" s="39">
        <v>1</v>
      </c>
      <c r="H27" s="40">
        <f t="shared" si="0"/>
        <v>52.8</v>
      </c>
      <c r="I27" s="41">
        <v>0</v>
      </c>
      <c r="J27" s="41">
        <v>1</v>
      </c>
      <c r="K27" s="41">
        <v>0</v>
      </c>
      <c r="L27" s="85">
        <f t="shared" si="2"/>
        <v>52.8</v>
      </c>
      <c r="N27" s="86">
        <f t="shared" si="3"/>
        <v>0.63470000000000004</v>
      </c>
      <c r="P27" s="84">
        <f t="shared" si="4"/>
        <v>203884.77697817999</v>
      </c>
      <c r="Q27" s="87">
        <f t="shared" si="5"/>
        <v>3861.4541094352271</v>
      </c>
      <c r="S27" s="84">
        <v>188969.32697818</v>
      </c>
      <c r="T27" s="87">
        <v>3578.9645261018941</v>
      </c>
      <c r="V27" s="88">
        <f t="shared" si="6"/>
        <v>7.8930534592644541E-2</v>
      </c>
      <c r="X27" s="84">
        <v>16783.37</v>
      </c>
      <c r="Y27" s="87">
        <f t="shared" si="7"/>
        <v>187101.40697817999</v>
      </c>
      <c r="Z27" s="66"/>
    </row>
    <row r="28" spans="1:26" x14ac:dyDescent="0.25">
      <c r="B28" s="101" t="s">
        <v>212</v>
      </c>
      <c r="C28" s="97" t="s">
        <v>208</v>
      </c>
      <c r="D28" s="98"/>
      <c r="E28" s="103">
        <v>133.85</v>
      </c>
      <c r="F28" s="100">
        <v>1</v>
      </c>
      <c r="G28" s="39">
        <v>1</v>
      </c>
      <c r="H28" s="40">
        <f t="shared" si="0"/>
        <v>133.85</v>
      </c>
      <c r="I28" s="41">
        <v>0</v>
      </c>
      <c r="J28" s="41">
        <v>1</v>
      </c>
      <c r="K28" s="41">
        <f t="shared" si="1"/>
        <v>0</v>
      </c>
      <c r="L28" s="85">
        <f t="shared" si="2"/>
        <v>133.85</v>
      </c>
      <c r="M28" s="80"/>
      <c r="N28" s="86">
        <f t="shared" si="3"/>
        <v>1.609</v>
      </c>
      <c r="O28" s="80"/>
      <c r="P28" s="84">
        <f t="shared" si="4"/>
        <v>516859.31331005448</v>
      </c>
      <c r="Q28" s="87">
        <f t="shared" si="5"/>
        <v>3861.4816085921143</v>
      </c>
      <c r="S28" s="84">
        <v>479047.81331005448</v>
      </c>
      <c r="T28" s="87">
        <v>3578.9900135230073</v>
      </c>
      <c r="V28" s="88">
        <f t="shared" si="6"/>
        <v>7.8930534592644541E-2</v>
      </c>
      <c r="X28" s="84">
        <v>31563.96</v>
      </c>
      <c r="Y28" s="87">
        <f t="shared" si="7"/>
        <v>485295.35331005446</v>
      </c>
      <c r="Z28" s="4"/>
    </row>
    <row r="29" spans="1:26" x14ac:dyDescent="0.25">
      <c r="B29" s="101" t="s">
        <v>56</v>
      </c>
      <c r="C29" s="97" t="s">
        <v>57</v>
      </c>
      <c r="D29" s="98"/>
      <c r="E29" s="103">
        <v>232.05</v>
      </c>
      <c r="F29" s="100">
        <v>1</v>
      </c>
      <c r="G29" s="39">
        <v>1</v>
      </c>
      <c r="H29" s="40">
        <f t="shared" si="0"/>
        <v>232.05</v>
      </c>
      <c r="I29" s="41">
        <v>0</v>
      </c>
      <c r="J29" s="41">
        <v>1</v>
      </c>
      <c r="K29" s="41">
        <f t="shared" si="1"/>
        <v>0</v>
      </c>
      <c r="L29" s="85">
        <f t="shared" si="2"/>
        <v>232.05</v>
      </c>
      <c r="N29" s="86">
        <f t="shared" si="3"/>
        <v>2.7894999999999999</v>
      </c>
      <c r="P29" s="84">
        <f t="shared" si="4"/>
        <v>896071.50682311808</v>
      </c>
      <c r="Q29" s="87">
        <f t="shared" si="5"/>
        <v>3861.5449550662274</v>
      </c>
      <c r="S29" s="84">
        <v>830518.25682311808</v>
      </c>
      <c r="T29" s="87">
        <v>3579.0487258052922</v>
      </c>
      <c r="V29" s="88">
        <f t="shared" si="6"/>
        <v>7.8930534592644541E-2</v>
      </c>
      <c r="X29" s="84">
        <v>44082.26</v>
      </c>
      <c r="Y29" s="87">
        <f t="shared" si="7"/>
        <v>851989.24682311807</v>
      </c>
      <c r="Z29" s="4"/>
    </row>
    <row r="30" spans="1:26" x14ac:dyDescent="0.25">
      <c r="B30" s="101" t="s">
        <v>58</v>
      </c>
      <c r="C30" s="97" t="s">
        <v>59</v>
      </c>
      <c r="D30" s="98"/>
      <c r="E30" s="103">
        <f>69.8+54.8</f>
        <v>124.6</v>
      </c>
      <c r="F30" s="100">
        <v>1</v>
      </c>
      <c r="G30" s="39">
        <v>1</v>
      </c>
      <c r="H30" s="40">
        <f t="shared" si="0"/>
        <v>124.6</v>
      </c>
      <c r="I30" s="41">
        <v>0</v>
      </c>
      <c r="J30" s="41">
        <v>1</v>
      </c>
      <c r="K30" s="41">
        <f t="shared" si="1"/>
        <v>0</v>
      </c>
      <c r="L30" s="85">
        <f t="shared" si="2"/>
        <v>124.6</v>
      </c>
      <c r="N30" s="86">
        <f t="shared" si="3"/>
        <v>1.4978</v>
      </c>
      <c r="P30" s="84">
        <f t="shared" si="4"/>
        <v>481138.52049459261</v>
      </c>
      <c r="Q30" s="87">
        <f t="shared" si="5"/>
        <v>3861.4648514814817</v>
      </c>
      <c r="S30" s="84">
        <v>445940.22049459262</v>
      </c>
      <c r="T30" s="87">
        <v>3578.9744823001015</v>
      </c>
      <c r="V30" s="88">
        <f t="shared" si="6"/>
        <v>7.8930534592644541E-2</v>
      </c>
      <c r="X30" s="84">
        <v>23670.79</v>
      </c>
      <c r="Y30" s="87">
        <f t="shared" si="7"/>
        <v>457467.73049459263</v>
      </c>
      <c r="Z30" s="4"/>
    </row>
    <row r="31" spans="1:26" x14ac:dyDescent="0.25">
      <c r="B31" s="96" t="s">
        <v>60</v>
      </c>
      <c r="C31" s="97" t="s">
        <v>61</v>
      </c>
      <c r="D31" s="98"/>
      <c r="E31" s="103">
        <v>89.65</v>
      </c>
      <c r="F31" s="100">
        <v>1</v>
      </c>
      <c r="G31" s="39">
        <v>1</v>
      </c>
      <c r="H31" s="40">
        <f t="shared" si="0"/>
        <v>89.65</v>
      </c>
      <c r="I31" s="41">
        <v>0</v>
      </c>
      <c r="J31" s="41">
        <v>1</v>
      </c>
      <c r="K31" s="41">
        <f t="shared" si="1"/>
        <v>0</v>
      </c>
      <c r="L31" s="85">
        <f t="shared" si="2"/>
        <v>89.65</v>
      </c>
      <c r="N31" s="86">
        <f t="shared" si="3"/>
        <v>1.0777000000000001</v>
      </c>
      <c r="P31" s="84">
        <f t="shared" si="4"/>
        <v>346189.73396783456</v>
      </c>
      <c r="Q31" s="87">
        <f t="shared" si="5"/>
        <v>3861.5698155921309</v>
      </c>
      <c r="S31" s="84">
        <v>320863.78396783455</v>
      </c>
      <c r="T31" s="87">
        <v>3579.071767627825</v>
      </c>
      <c r="V31" s="88">
        <f t="shared" si="6"/>
        <v>7.8930534592644541E-2</v>
      </c>
      <c r="X31" s="84">
        <v>17030.46</v>
      </c>
      <c r="Y31" s="87">
        <f t="shared" si="7"/>
        <v>329159.27396783454</v>
      </c>
      <c r="Z31" s="4"/>
    </row>
    <row r="32" spans="1:26" x14ac:dyDescent="0.25">
      <c r="B32" s="96" t="s">
        <v>62</v>
      </c>
      <c r="C32" s="97" t="s">
        <v>213</v>
      </c>
      <c r="D32" s="98"/>
      <c r="E32" s="103">
        <v>57.85</v>
      </c>
      <c r="F32" s="100">
        <v>1</v>
      </c>
      <c r="G32" s="39">
        <v>1</v>
      </c>
      <c r="H32" s="40">
        <f t="shared" si="0"/>
        <v>57.85</v>
      </c>
      <c r="I32" s="41">
        <v>0</v>
      </c>
      <c r="J32" s="41">
        <v>1</v>
      </c>
      <c r="K32" s="41">
        <f t="shared" si="1"/>
        <v>0</v>
      </c>
      <c r="L32" s="85">
        <f t="shared" si="2"/>
        <v>57.85</v>
      </c>
      <c r="N32" s="86">
        <f t="shared" si="3"/>
        <v>0.69540000000000002</v>
      </c>
      <c r="P32" s="84">
        <f t="shared" si="4"/>
        <v>223383.44715712362</v>
      </c>
      <c r="Q32" s="87">
        <f t="shared" si="5"/>
        <v>3861.4251885414628</v>
      </c>
      <c r="S32" s="84">
        <v>207041.5471571236</v>
      </c>
      <c r="T32" s="87">
        <v>3578.9377209528711</v>
      </c>
      <c r="V32" s="88">
        <f t="shared" si="6"/>
        <v>7.8930534592644763E-2</v>
      </c>
      <c r="X32" s="84">
        <v>10989.83</v>
      </c>
      <c r="Y32" s="87">
        <f t="shared" si="7"/>
        <v>212393.61715712363</v>
      </c>
      <c r="Z32" s="4"/>
    </row>
    <row r="33" spans="2:26" x14ac:dyDescent="0.25">
      <c r="B33" s="101" t="s">
        <v>63</v>
      </c>
      <c r="C33" s="97" t="s">
        <v>125</v>
      </c>
      <c r="D33" s="98"/>
      <c r="E33" s="103">
        <v>51.5</v>
      </c>
      <c r="F33" s="100">
        <v>1</v>
      </c>
      <c r="G33" s="39">
        <v>1</v>
      </c>
      <c r="H33" s="40">
        <f t="shared" si="0"/>
        <v>51.5</v>
      </c>
      <c r="I33" s="41">
        <v>0</v>
      </c>
      <c r="J33" s="41">
        <v>1</v>
      </c>
      <c r="K33" s="41">
        <f t="shared" si="1"/>
        <v>0</v>
      </c>
      <c r="L33" s="85">
        <f t="shared" si="2"/>
        <v>51.5</v>
      </c>
      <c r="N33" s="86">
        <f t="shared" si="3"/>
        <v>0.61909999999999998</v>
      </c>
      <c r="P33" s="84">
        <f t="shared" si="4"/>
        <v>198873.58661917635</v>
      </c>
      <c r="Q33" s="87">
        <f t="shared" si="5"/>
        <v>3861.6230411490551</v>
      </c>
      <c r="S33" s="84">
        <v>184324.73661917634</v>
      </c>
      <c r="T33" s="87">
        <v>3579.1210994014823</v>
      </c>
      <c r="V33" s="88">
        <f t="shared" si="6"/>
        <v>7.8930534592644541E-2</v>
      </c>
      <c r="X33" s="84">
        <v>9782.9500000000007</v>
      </c>
      <c r="Y33" s="87">
        <f t="shared" si="7"/>
        <v>189090.63661917634</v>
      </c>
      <c r="Z33" s="4"/>
    </row>
    <row r="34" spans="2:26" x14ac:dyDescent="0.25">
      <c r="B34" s="101" t="s">
        <v>64</v>
      </c>
      <c r="C34" s="104" t="s">
        <v>163</v>
      </c>
      <c r="D34" s="98"/>
      <c r="E34" s="103">
        <v>49.85</v>
      </c>
      <c r="F34" s="100">
        <v>1</v>
      </c>
      <c r="G34" s="39">
        <v>1</v>
      </c>
      <c r="H34" s="40">
        <f t="shared" si="0"/>
        <v>49.85</v>
      </c>
      <c r="I34" s="41">
        <v>0</v>
      </c>
      <c r="J34" s="41">
        <v>1</v>
      </c>
      <c r="K34" s="41">
        <f t="shared" si="1"/>
        <v>0</v>
      </c>
      <c r="L34" s="85">
        <f t="shared" si="2"/>
        <v>49.85</v>
      </c>
      <c r="N34" s="86">
        <f t="shared" si="3"/>
        <v>0.59930000000000005</v>
      </c>
      <c r="P34" s="84">
        <f t="shared" si="4"/>
        <v>192513.22962505635</v>
      </c>
      <c r="Q34" s="87">
        <f t="shared" si="5"/>
        <v>3861.8501429299167</v>
      </c>
      <c r="S34" s="84">
        <v>178429.67962505633</v>
      </c>
      <c r="T34" s="87">
        <v>3579.3315872629155</v>
      </c>
      <c r="V34" s="88">
        <f t="shared" si="6"/>
        <v>7.8930534592644763E-2</v>
      </c>
      <c r="X34" s="84">
        <v>9470.06</v>
      </c>
      <c r="Y34" s="87">
        <f t="shared" si="7"/>
        <v>183043.16962505635</v>
      </c>
      <c r="Z34" s="4"/>
    </row>
    <row r="35" spans="2:26" x14ac:dyDescent="0.25">
      <c r="B35" s="101" t="s">
        <v>65</v>
      </c>
      <c r="C35" s="104" t="s">
        <v>183</v>
      </c>
      <c r="D35" s="98"/>
      <c r="E35" s="103">
        <v>75.400000000000006</v>
      </c>
      <c r="F35" s="100">
        <v>1</v>
      </c>
      <c r="G35" s="39">
        <v>1</v>
      </c>
      <c r="H35" s="40">
        <f t="shared" si="0"/>
        <v>75.400000000000006</v>
      </c>
      <c r="I35" s="41">
        <v>0</v>
      </c>
      <c r="J35" s="41">
        <v>1</v>
      </c>
      <c r="K35" s="41">
        <f>ROUND(I35*J35,2)</f>
        <v>0</v>
      </c>
      <c r="L35" s="85">
        <f>H35+K35</f>
        <v>75.400000000000006</v>
      </c>
      <c r="N35" s="86">
        <f t="shared" si="3"/>
        <v>0.90639999999999998</v>
      </c>
      <c r="P35" s="84">
        <f t="shared" si="4"/>
        <v>291163.00906415994</v>
      </c>
      <c r="Q35" s="87">
        <f t="shared" si="5"/>
        <v>3861.5783695511927</v>
      </c>
      <c r="S35" s="84">
        <v>269862.60906415997</v>
      </c>
      <c r="T35" s="87">
        <v>3579.07969581114</v>
      </c>
      <c r="V35" s="88">
        <f t="shared" si="6"/>
        <v>7.8930534592644541E-2</v>
      </c>
      <c r="X35" s="84">
        <v>14322.66</v>
      </c>
      <c r="Y35" s="87">
        <f t="shared" si="7"/>
        <v>276840.34906415996</v>
      </c>
      <c r="Z35" s="4"/>
    </row>
    <row r="36" spans="2:26" x14ac:dyDescent="0.25">
      <c r="B36" s="101" t="s">
        <v>66</v>
      </c>
      <c r="C36" s="104" t="s">
        <v>126</v>
      </c>
      <c r="D36" s="98"/>
      <c r="E36" s="103">
        <v>45.15</v>
      </c>
      <c r="F36" s="100">
        <v>1</v>
      </c>
      <c r="G36" s="39">
        <v>1</v>
      </c>
      <c r="H36" s="40">
        <f t="shared" si="0"/>
        <v>45.15</v>
      </c>
      <c r="I36" s="41">
        <v>0</v>
      </c>
      <c r="J36" s="41">
        <v>1</v>
      </c>
      <c r="K36" s="41">
        <f t="shared" si="1"/>
        <v>0</v>
      </c>
      <c r="L36" s="85">
        <f t="shared" si="2"/>
        <v>45.15</v>
      </c>
      <c r="N36" s="86">
        <f t="shared" si="3"/>
        <v>0.54279999999999995</v>
      </c>
      <c r="P36" s="84">
        <f t="shared" si="4"/>
        <v>174363.72608122905</v>
      </c>
      <c r="Q36" s="87">
        <f t="shared" si="5"/>
        <v>3861.8765466495915</v>
      </c>
      <c r="S36" s="84">
        <v>161607.92608122906</v>
      </c>
      <c r="T36" s="87">
        <v>3579.3560593849184</v>
      </c>
      <c r="V36" s="88">
        <f t="shared" si="6"/>
        <v>7.8930534592644541E-2</v>
      </c>
      <c r="X36" s="84">
        <v>8577.31</v>
      </c>
      <c r="Y36" s="87">
        <f t="shared" si="7"/>
        <v>165786.41608122905</v>
      </c>
      <c r="Z36" s="4"/>
    </row>
    <row r="37" spans="2:26" x14ac:dyDescent="0.25">
      <c r="B37" s="96" t="s">
        <v>68</v>
      </c>
      <c r="C37" s="97" t="s">
        <v>224</v>
      </c>
      <c r="D37" s="98"/>
      <c r="E37" s="103">
        <v>43.85</v>
      </c>
      <c r="F37" s="100">
        <v>1</v>
      </c>
      <c r="G37" s="39">
        <v>1</v>
      </c>
      <c r="H37" s="40">
        <f t="shared" si="0"/>
        <v>43.85</v>
      </c>
      <c r="I37" s="41">
        <v>0</v>
      </c>
      <c r="J37" s="41">
        <v>1</v>
      </c>
      <c r="K37" s="41">
        <f t="shared" si="1"/>
        <v>0</v>
      </c>
      <c r="L37" s="85">
        <f t="shared" si="2"/>
        <v>43.85</v>
      </c>
      <c r="N37" s="86">
        <f t="shared" si="3"/>
        <v>0.52710000000000001</v>
      </c>
      <c r="P37" s="84">
        <f t="shared" si="4"/>
        <v>169320.41270710359</v>
      </c>
      <c r="Q37" s="87">
        <f t="shared" si="5"/>
        <v>3861.3549078016781</v>
      </c>
      <c r="S37" s="84">
        <v>156933.56270710361</v>
      </c>
      <c r="T37" s="87">
        <v>3578.8725816899341</v>
      </c>
      <c r="V37" s="88">
        <f t="shared" si="6"/>
        <v>7.8930534592644541E-2</v>
      </c>
      <c r="X37" s="84">
        <v>8330.2199999999993</v>
      </c>
      <c r="Y37" s="87">
        <f t="shared" si="7"/>
        <v>160990.19270710359</v>
      </c>
      <c r="Z37" s="4"/>
    </row>
    <row r="38" spans="2:26" x14ac:dyDescent="0.25">
      <c r="B38" s="101" t="s">
        <v>69</v>
      </c>
      <c r="C38" s="97" t="s">
        <v>225</v>
      </c>
      <c r="D38" s="98"/>
      <c r="E38" s="103">
        <v>55.4</v>
      </c>
      <c r="F38" s="100">
        <v>1</v>
      </c>
      <c r="G38" s="39">
        <v>1</v>
      </c>
      <c r="H38" s="40">
        <f t="shared" si="0"/>
        <v>55.4</v>
      </c>
      <c r="I38" s="41">
        <v>0</v>
      </c>
      <c r="J38" s="41">
        <v>1</v>
      </c>
      <c r="K38" s="41">
        <f t="shared" si="1"/>
        <v>0</v>
      </c>
      <c r="L38" s="85">
        <f t="shared" si="2"/>
        <v>55.4</v>
      </c>
      <c r="N38" s="86">
        <f t="shared" si="3"/>
        <v>0.66600000000000004</v>
      </c>
      <c r="P38" s="84">
        <f t="shared" si="4"/>
        <v>213939.28071130908</v>
      </c>
      <c r="Q38" s="87">
        <f t="shared" si="5"/>
        <v>3861.719868435182</v>
      </c>
      <c r="S38" s="84">
        <v>198288.28071130908</v>
      </c>
      <c r="T38" s="87">
        <v>3579.2108431644237</v>
      </c>
      <c r="V38" s="88">
        <f t="shared" si="6"/>
        <v>7.8930534592644541E-2</v>
      </c>
      <c r="X38" s="84">
        <v>10524.22</v>
      </c>
      <c r="Y38" s="87">
        <f t="shared" si="7"/>
        <v>203415.06071130908</v>
      </c>
      <c r="Z38" s="4"/>
    </row>
    <row r="39" spans="2:26" x14ac:dyDescent="0.25">
      <c r="B39" s="189" t="s">
        <v>70</v>
      </c>
      <c r="C39" s="79" t="s">
        <v>71</v>
      </c>
      <c r="D39" s="80"/>
      <c r="E39" s="81">
        <v>135.75</v>
      </c>
      <c r="F39" s="82">
        <v>1</v>
      </c>
      <c r="G39" s="166">
        <v>1</v>
      </c>
      <c r="H39" s="167">
        <f t="shared" si="0"/>
        <v>135.75</v>
      </c>
      <c r="I39" s="82">
        <v>0</v>
      </c>
      <c r="J39" s="82">
        <v>1</v>
      </c>
      <c r="K39" s="82">
        <f t="shared" si="1"/>
        <v>0</v>
      </c>
      <c r="L39" s="168">
        <f t="shared" si="2"/>
        <v>135.75</v>
      </c>
      <c r="N39" s="86">
        <f t="shared" si="3"/>
        <v>1.6318999999999999</v>
      </c>
      <c r="P39" s="84">
        <f t="shared" si="4"/>
        <v>524215.48377295083</v>
      </c>
      <c r="Q39" s="87">
        <f t="shared" si="5"/>
        <v>3861.6241898559915</v>
      </c>
      <c r="S39" s="84">
        <v>485865.83377295086</v>
      </c>
      <c r="T39" s="87">
        <v>3579.1221640733029</v>
      </c>
      <c r="V39" s="88">
        <f t="shared" si="6"/>
        <v>7.8930534592644541E-2</v>
      </c>
      <c r="X39" s="84">
        <v>21922.55</v>
      </c>
      <c r="Y39" s="87">
        <f t="shared" si="7"/>
        <v>502292.93377295084</v>
      </c>
      <c r="Z39" s="4"/>
    </row>
    <row r="40" spans="2:26" x14ac:dyDescent="0.25">
      <c r="B40" s="189" t="s">
        <v>72</v>
      </c>
      <c r="C40" s="79" t="s">
        <v>71</v>
      </c>
      <c r="D40" s="80"/>
      <c r="E40" s="81">
        <v>21.6</v>
      </c>
      <c r="F40" s="82">
        <v>1</v>
      </c>
      <c r="G40" s="166">
        <v>1</v>
      </c>
      <c r="H40" s="167">
        <f t="shared" si="0"/>
        <v>21.6</v>
      </c>
      <c r="I40" s="82">
        <v>0</v>
      </c>
      <c r="J40" s="82">
        <v>1</v>
      </c>
      <c r="K40" s="82">
        <f t="shared" si="1"/>
        <v>0</v>
      </c>
      <c r="L40" s="168">
        <f t="shared" si="2"/>
        <v>21.6</v>
      </c>
      <c r="N40" s="86">
        <f t="shared" si="3"/>
        <v>0.25969999999999999</v>
      </c>
      <c r="P40" s="84">
        <f t="shared" si="4"/>
        <v>83423.470271361803</v>
      </c>
      <c r="Q40" s="87">
        <f t="shared" si="5"/>
        <v>3862.1976977482313</v>
      </c>
      <c r="S40" s="84">
        <v>77320.520271361805</v>
      </c>
      <c r="T40" s="87">
        <v>3579.6537162667501</v>
      </c>
      <c r="V40" s="88">
        <f t="shared" si="6"/>
        <v>7.8930534592644541E-2</v>
      </c>
      <c r="X40" s="84">
        <v>21922.55</v>
      </c>
      <c r="Y40" s="87">
        <f t="shared" si="7"/>
        <v>61500.9202713618</v>
      </c>
      <c r="Z40" s="4"/>
    </row>
    <row r="41" spans="2:26" x14ac:dyDescent="0.25">
      <c r="B41" s="189" t="s">
        <v>214</v>
      </c>
      <c r="C41" s="79" t="s">
        <v>200</v>
      </c>
      <c r="D41" s="80"/>
      <c r="E41" s="81">
        <v>70</v>
      </c>
      <c r="F41" s="82">
        <v>1</v>
      </c>
      <c r="G41" s="166">
        <v>1</v>
      </c>
      <c r="H41" s="167">
        <f t="shared" si="0"/>
        <v>70</v>
      </c>
      <c r="I41" s="82">
        <v>0</v>
      </c>
      <c r="J41" s="82">
        <v>1</v>
      </c>
      <c r="K41" s="82">
        <f t="shared" si="1"/>
        <v>0</v>
      </c>
      <c r="L41" s="168">
        <f t="shared" si="2"/>
        <v>70</v>
      </c>
      <c r="N41" s="86">
        <f t="shared" si="3"/>
        <v>0.84150000000000003</v>
      </c>
      <c r="P41" s="84">
        <f t="shared" si="4"/>
        <v>270315.17225009995</v>
      </c>
      <c r="Q41" s="87">
        <f t="shared" si="5"/>
        <v>3861.6453178585707</v>
      </c>
      <c r="S41" s="84">
        <v>250539.92225009997</v>
      </c>
      <c r="T41" s="87">
        <v>3579.1417464299998</v>
      </c>
      <c r="V41" s="88">
        <f t="shared" si="6"/>
        <v>7.8930534592644541E-2</v>
      </c>
      <c r="X41" s="84">
        <v>8377.4</v>
      </c>
      <c r="Y41" s="87">
        <f t="shared" si="7"/>
        <v>261937.77225009995</v>
      </c>
      <c r="Z41" s="4"/>
    </row>
    <row r="42" spans="2:26" x14ac:dyDescent="0.25">
      <c r="B42" s="96" t="s">
        <v>215</v>
      </c>
      <c r="C42" s="104" t="s">
        <v>179</v>
      </c>
      <c r="D42" s="98"/>
      <c r="E42" s="103">
        <v>74.25</v>
      </c>
      <c r="F42" s="100">
        <v>1</v>
      </c>
      <c r="G42" s="39">
        <v>1</v>
      </c>
      <c r="H42" s="40">
        <f t="shared" si="0"/>
        <v>74.25</v>
      </c>
      <c r="I42" s="41">
        <v>0</v>
      </c>
      <c r="J42" s="41">
        <v>1</v>
      </c>
      <c r="K42" s="41">
        <f t="shared" si="1"/>
        <v>0</v>
      </c>
      <c r="L42" s="85">
        <f t="shared" si="2"/>
        <v>74.25</v>
      </c>
      <c r="N42" s="86">
        <f t="shared" si="3"/>
        <v>0.89259999999999995</v>
      </c>
      <c r="P42" s="84">
        <f t="shared" si="4"/>
        <v>286730.03297734907</v>
      </c>
      <c r="Q42" s="87">
        <f t="shared" si="5"/>
        <v>3861.6839458228828</v>
      </c>
      <c r="S42" s="84">
        <v>265753.93297734903</v>
      </c>
      <c r="T42" s="87">
        <v>3579.1775485164853</v>
      </c>
      <c r="V42" s="88">
        <f t="shared" si="6"/>
        <v>7.8930534592644763E-2</v>
      </c>
      <c r="X42" s="84">
        <v>25456.28</v>
      </c>
      <c r="Y42" s="87">
        <f t="shared" si="7"/>
        <v>261273.75297734907</v>
      </c>
      <c r="Z42" s="4"/>
    </row>
    <row r="43" spans="2:26" x14ac:dyDescent="0.25">
      <c r="B43" s="118" t="s">
        <v>73</v>
      </c>
      <c r="C43" s="117" t="s">
        <v>195</v>
      </c>
      <c r="D43" s="94"/>
      <c r="E43" s="115">
        <v>506.75</v>
      </c>
      <c r="F43" s="115">
        <v>0.75</v>
      </c>
      <c r="G43" s="39">
        <v>1</v>
      </c>
      <c r="H43" s="40">
        <f t="shared" si="0"/>
        <v>380.06</v>
      </c>
      <c r="I43" s="41">
        <v>0</v>
      </c>
      <c r="J43" s="41">
        <v>1</v>
      </c>
      <c r="K43" s="41">
        <f t="shared" si="1"/>
        <v>0</v>
      </c>
      <c r="L43" s="85">
        <f t="shared" si="2"/>
        <v>380.06</v>
      </c>
      <c r="N43" s="86">
        <f t="shared" si="3"/>
        <v>4.5686999999999998</v>
      </c>
      <c r="P43" s="84">
        <f t="shared" si="4"/>
        <v>1467604.1918705071</v>
      </c>
      <c r="Q43" s="87">
        <f t="shared" si="5"/>
        <v>2896.1108867696244</v>
      </c>
      <c r="S43" s="84">
        <v>1360239.7418705069</v>
      </c>
      <c r="T43" s="87">
        <v>2684.242213853985</v>
      </c>
      <c r="V43" s="88">
        <f t="shared" si="6"/>
        <v>7.8930534592644763E-2</v>
      </c>
      <c r="X43" s="84">
        <v>78940.31</v>
      </c>
      <c r="Y43" s="87">
        <f t="shared" si="7"/>
        <v>1388663.881870507</v>
      </c>
      <c r="Z43" s="4"/>
    </row>
    <row r="44" spans="2:26" x14ac:dyDescent="0.25">
      <c r="B44" s="78" t="s">
        <v>74</v>
      </c>
      <c r="C44" s="79" t="s">
        <v>231</v>
      </c>
      <c r="D44" s="80"/>
      <c r="E44" s="81">
        <f>244</f>
        <v>244</v>
      </c>
      <c r="F44" s="82">
        <v>1</v>
      </c>
      <c r="G44" s="166">
        <v>1</v>
      </c>
      <c r="H44" s="167">
        <f t="shared" si="0"/>
        <v>244</v>
      </c>
      <c r="I44" s="82">
        <v>0</v>
      </c>
      <c r="J44" s="82">
        <v>1</v>
      </c>
      <c r="K44" s="82">
        <f t="shared" si="1"/>
        <v>0</v>
      </c>
      <c r="L44" s="168">
        <f t="shared" si="2"/>
        <v>244</v>
      </c>
      <c r="N44" s="86">
        <f t="shared" si="3"/>
        <v>2.9331999999999998</v>
      </c>
      <c r="P44" s="84">
        <f t="shared" si="4"/>
        <v>942232.27955317067</v>
      </c>
      <c r="Q44" s="87">
        <f t="shared" si="5"/>
        <v>3861.607703086765</v>
      </c>
      <c r="S44" s="84">
        <v>873302.0795531706</v>
      </c>
      <c r="T44" s="87">
        <v>3579.1068834146336</v>
      </c>
      <c r="V44" s="88">
        <f t="shared" si="6"/>
        <v>7.8930534592644763E-2</v>
      </c>
      <c r="X44" s="84">
        <v>23936.51</v>
      </c>
      <c r="Y44" s="87">
        <f t="shared" si="7"/>
        <v>918295.76955317066</v>
      </c>
      <c r="Z44" s="4"/>
    </row>
    <row r="45" spans="2:26" x14ac:dyDescent="0.25">
      <c r="B45" s="116" t="s">
        <v>75</v>
      </c>
      <c r="C45" s="117" t="s">
        <v>76</v>
      </c>
      <c r="D45" s="94"/>
      <c r="E45" s="115">
        <f>221.7-69.3</f>
        <v>152.39999999999998</v>
      </c>
      <c r="F45" s="111">
        <v>0.75</v>
      </c>
      <c r="G45" s="39">
        <v>1</v>
      </c>
      <c r="H45" s="40">
        <f t="shared" si="0"/>
        <v>114.3</v>
      </c>
      <c r="I45" s="41">
        <v>0</v>
      </c>
      <c r="J45" s="41">
        <v>1</v>
      </c>
      <c r="K45" s="41">
        <f t="shared" si="1"/>
        <v>0</v>
      </c>
      <c r="L45" s="85">
        <f t="shared" si="2"/>
        <v>114.3</v>
      </c>
      <c r="N45" s="86">
        <f t="shared" si="3"/>
        <v>1.3740000000000001</v>
      </c>
      <c r="P45" s="84">
        <f t="shared" si="4"/>
        <v>441370.22777378181</v>
      </c>
      <c r="Q45" s="87">
        <f t="shared" si="5"/>
        <v>2896.1301035025058</v>
      </c>
      <c r="S45" s="84">
        <v>409081.22777378181</v>
      </c>
      <c r="T45" s="87">
        <v>2684.2600247623482</v>
      </c>
      <c r="V45" s="88">
        <f t="shared" si="6"/>
        <v>7.8930534592644541E-2</v>
      </c>
      <c r="X45" s="84">
        <v>31587.55</v>
      </c>
      <c r="Y45" s="87">
        <f t="shared" si="7"/>
        <v>409782.67777378182</v>
      </c>
      <c r="Z45" s="4"/>
    </row>
    <row r="46" spans="2:26" x14ac:dyDescent="0.25">
      <c r="B46" s="116" t="s">
        <v>75</v>
      </c>
      <c r="C46" s="117" t="s">
        <v>190</v>
      </c>
      <c r="D46" s="94"/>
      <c r="E46" s="115">
        <v>69.3</v>
      </c>
      <c r="F46" s="111">
        <v>0</v>
      </c>
      <c r="G46" s="39">
        <v>0</v>
      </c>
      <c r="H46" s="40">
        <f t="shared" si="0"/>
        <v>0</v>
      </c>
      <c r="I46" s="41">
        <v>0</v>
      </c>
      <c r="J46" s="41">
        <v>1</v>
      </c>
      <c r="K46" s="41">
        <f t="shared" si="1"/>
        <v>0</v>
      </c>
      <c r="L46" s="85">
        <f t="shared" si="2"/>
        <v>0</v>
      </c>
      <c r="N46" s="86">
        <f t="shared" si="3"/>
        <v>0</v>
      </c>
      <c r="P46" s="84">
        <f t="shared" si="4"/>
        <v>0</v>
      </c>
      <c r="Q46" s="87">
        <f t="shared" si="5"/>
        <v>0</v>
      </c>
      <c r="S46" s="84">
        <v>0</v>
      </c>
      <c r="T46" s="87">
        <v>0</v>
      </c>
      <c r="V46" s="88" t="e">
        <f t="shared" si="6"/>
        <v>#DIV/0!</v>
      </c>
      <c r="X46" s="84">
        <v>0</v>
      </c>
      <c r="Y46" s="87">
        <f t="shared" si="7"/>
        <v>0</v>
      </c>
      <c r="Z46" s="4"/>
    </row>
    <row r="47" spans="2:26" x14ac:dyDescent="0.25">
      <c r="B47" s="116" t="s">
        <v>77</v>
      </c>
      <c r="C47" s="117" t="s">
        <v>78</v>
      </c>
      <c r="D47" s="94"/>
      <c r="E47" s="115">
        <f>109.55-35.65</f>
        <v>73.900000000000006</v>
      </c>
      <c r="F47" s="111">
        <v>0.75</v>
      </c>
      <c r="G47" s="39">
        <v>1</v>
      </c>
      <c r="H47" s="40">
        <f t="shared" si="0"/>
        <v>55.43</v>
      </c>
      <c r="I47" s="41">
        <v>0</v>
      </c>
      <c r="J47" s="41">
        <v>1</v>
      </c>
      <c r="K47" s="41">
        <f t="shared" si="1"/>
        <v>0</v>
      </c>
      <c r="L47" s="85">
        <f t="shared" si="2"/>
        <v>55.43</v>
      </c>
      <c r="N47" s="86">
        <f t="shared" si="3"/>
        <v>0.6663</v>
      </c>
      <c r="P47" s="84">
        <f t="shared" si="4"/>
        <v>214035.64975667451</v>
      </c>
      <c r="Q47" s="87">
        <f t="shared" si="5"/>
        <v>2896.2875474516168</v>
      </c>
      <c r="S47" s="84">
        <v>198377.59975667449</v>
      </c>
      <c r="T47" s="87">
        <v>2684.4059506992485</v>
      </c>
      <c r="V47" s="88">
        <f t="shared" si="6"/>
        <v>7.8930534592644763E-2</v>
      </c>
      <c r="X47" s="84">
        <v>15607.53</v>
      </c>
      <c r="Y47" s="87">
        <f t="shared" si="7"/>
        <v>198428.11975667451</v>
      </c>
      <c r="Z47" s="4"/>
    </row>
    <row r="48" spans="2:26" x14ac:dyDescent="0.25">
      <c r="B48" s="116" t="s">
        <v>79</v>
      </c>
      <c r="C48" s="117" t="s">
        <v>209</v>
      </c>
      <c r="D48" s="94"/>
      <c r="E48" s="115">
        <f>219.1+35.65-106.95</f>
        <v>147.80000000000001</v>
      </c>
      <c r="F48" s="111">
        <v>0.75</v>
      </c>
      <c r="G48" s="39">
        <v>1</v>
      </c>
      <c r="H48" s="40">
        <f t="shared" si="0"/>
        <v>110.85</v>
      </c>
      <c r="I48" s="41">
        <v>0</v>
      </c>
      <c r="J48" s="41">
        <v>1</v>
      </c>
      <c r="K48" s="41">
        <f t="shared" si="1"/>
        <v>0</v>
      </c>
      <c r="L48" s="85">
        <f t="shared" si="2"/>
        <v>110.85</v>
      </c>
      <c r="N48" s="86">
        <f t="shared" si="3"/>
        <v>1.3325</v>
      </c>
      <c r="P48" s="84">
        <f t="shared" si="4"/>
        <v>428039.17649822717</v>
      </c>
      <c r="Q48" s="87">
        <f t="shared" si="5"/>
        <v>2896.0702063479507</v>
      </c>
      <c r="S48" s="84">
        <v>396725.42649822717</v>
      </c>
      <c r="T48" s="87">
        <v>2684.2045094602649</v>
      </c>
      <c r="V48" s="88">
        <f t="shared" si="6"/>
        <v>7.8930534592644541E-2</v>
      </c>
      <c r="X48" s="84">
        <v>31217.54</v>
      </c>
      <c r="Y48" s="87">
        <f t="shared" si="7"/>
        <v>396821.63649822719</v>
      </c>
      <c r="Z48" s="66"/>
    </row>
    <row r="49" spans="2:26" x14ac:dyDescent="0.25">
      <c r="B49" s="116" t="s">
        <v>79</v>
      </c>
      <c r="C49" s="117" t="s">
        <v>209</v>
      </c>
      <c r="D49" s="94"/>
      <c r="E49" s="115">
        <v>106.95</v>
      </c>
      <c r="F49" s="111">
        <v>0</v>
      </c>
      <c r="G49" s="39">
        <v>1</v>
      </c>
      <c r="H49" s="40">
        <f t="shared" si="0"/>
        <v>0</v>
      </c>
      <c r="I49" s="41">
        <v>0</v>
      </c>
      <c r="J49" s="41">
        <v>1</v>
      </c>
      <c r="K49" s="41">
        <f t="shared" si="1"/>
        <v>0</v>
      </c>
      <c r="L49" s="85">
        <f t="shared" si="2"/>
        <v>0</v>
      </c>
      <c r="N49" s="86">
        <f t="shared" si="3"/>
        <v>0</v>
      </c>
      <c r="P49" s="84">
        <f t="shared" si="4"/>
        <v>0</v>
      </c>
      <c r="Q49" s="87">
        <f t="shared" si="5"/>
        <v>0</v>
      </c>
      <c r="S49" s="84">
        <v>0</v>
      </c>
      <c r="T49" s="87">
        <v>0</v>
      </c>
      <c r="V49" s="88" t="e">
        <f t="shared" si="6"/>
        <v>#DIV/0!</v>
      </c>
      <c r="X49" s="84"/>
      <c r="Y49" s="87"/>
      <c r="Z49" s="66"/>
    </row>
    <row r="50" spans="2:26" x14ac:dyDescent="0.25">
      <c r="B50" s="116" t="s">
        <v>80</v>
      </c>
      <c r="C50" s="117" t="s">
        <v>210</v>
      </c>
      <c r="D50" s="94"/>
      <c r="E50" s="115">
        <f>219.1-71.3</f>
        <v>147.80000000000001</v>
      </c>
      <c r="F50" s="111">
        <v>0.75</v>
      </c>
      <c r="G50" s="39">
        <v>1</v>
      </c>
      <c r="H50" s="40">
        <f t="shared" si="0"/>
        <v>110.85</v>
      </c>
      <c r="I50" s="41">
        <v>0</v>
      </c>
      <c r="J50" s="41">
        <v>1</v>
      </c>
      <c r="K50" s="41">
        <f t="shared" si="1"/>
        <v>0</v>
      </c>
      <c r="L50" s="85">
        <f t="shared" si="2"/>
        <v>110.85</v>
      </c>
      <c r="N50" s="86">
        <f t="shared" si="3"/>
        <v>1.3325</v>
      </c>
      <c r="P50" s="84">
        <f t="shared" si="4"/>
        <v>428039.17649822717</v>
      </c>
      <c r="Q50" s="87">
        <f t="shared" si="5"/>
        <v>2896.0702063479507</v>
      </c>
      <c r="S50" s="84">
        <v>396725.42649822717</v>
      </c>
      <c r="T50" s="87">
        <v>2684.2045094602649</v>
      </c>
      <c r="V50" s="88">
        <f t="shared" si="6"/>
        <v>7.8930534592644541E-2</v>
      </c>
      <c r="X50" s="84">
        <v>31217.54</v>
      </c>
      <c r="Y50" s="87">
        <f t="shared" ref="Y50:Y89" si="8">+P50-X50</f>
        <v>396821.63649822719</v>
      </c>
      <c r="Z50" s="4"/>
    </row>
    <row r="51" spans="2:26" x14ac:dyDescent="0.25">
      <c r="B51" s="116" t="s">
        <v>80</v>
      </c>
      <c r="C51" s="117" t="s">
        <v>210</v>
      </c>
      <c r="D51" s="94"/>
      <c r="E51" s="115">
        <v>71.3</v>
      </c>
      <c r="F51" s="111">
        <v>0</v>
      </c>
      <c r="G51" s="39">
        <v>0</v>
      </c>
      <c r="H51" s="40">
        <f t="shared" si="0"/>
        <v>0</v>
      </c>
      <c r="I51" s="41">
        <v>0</v>
      </c>
      <c r="J51" s="41">
        <v>1</v>
      </c>
      <c r="K51" s="41">
        <f t="shared" si="1"/>
        <v>0</v>
      </c>
      <c r="L51" s="85">
        <f t="shared" si="2"/>
        <v>0</v>
      </c>
      <c r="N51" s="86">
        <f t="shared" si="3"/>
        <v>0</v>
      </c>
      <c r="P51" s="84">
        <f t="shared" si="4"/>
        <v>0</v>
      </c>
      <c r="Q51" s="87">
        <f t="shared" si="5"/>
        <v>0</v>
      </c>
      <c r="S51" s="84">
        <v>0</v>
      </c>
      <c r="T51" s="87">
        <v>0</v>
      </c>
      <c r="V51" s="88"/>
      <c r="X51" s="84"/>
      <c r="Y51" s="87"/>
      <c r="Z51" s="4"/>
    </row>
    <row r="52" spans="2:26" x14ac:dyDescent="0.25">
      <c r="B52" s="116" t="s">
        <v>81</v>
      </c>
      <c r="C52" s="117" t="s">
        <v>82</v>
      </c>
      <c r="D52" s="94"/>
      <c r="E52" s="115">
        <f>168.85-50.65</f>
        <v>118.19999999999999</v>
      </c>
      <c r="F52" s="111">
        <v>0.75</v>
      </c>
      <c r="G52" s="39">
        <v>1</v>
      </c>
      <c r="H52" s="40">
        <f t="shared" si="0"/>
        <v>88.65</v>
      </c>
      <c r="I52" s="41">
        <v>0</v>
      </c>
      <c r="J52" s="41">
        <v>1</v>
      </c>
      <c r="K52" s="41">
        <f t="shared" si="1"/>
        <v>0</v>
      </c>
      <c r="L52" s="85">
        <f t="shared" si="2"/>
        <v>88.65</v>
      </c>
      <c r="N52" s="86">
        <f t="shared" si="3"/>
        <v>1.0657000000000001</v>
      </c>
      <c r="P52" s="84">
        <f t="shared" si="4"/>
        <v>342334.97215321637</v>
      </c>
      <c r="Q52" s="87">
        <f t="shared" si="5"/>
        <v>2896.2349589950627</v>
      </c>
      <c r="S52" s="84">
        <v>317291.02215321636</v>
      </c>
      <c r="T52" s="87">
        <v>2684.3572094180745</v>
      </c>
      <c r="V52" s="88">
        <f t="shared" si="6"/>
        <v>7.8930534592644541E-2</v>
      </c>
      <c r="X52" s="84">
        <v>23972.51</v>
      </c>
      <c r="Y52" s="87">
        <f t="shared" si="8"/>
        <v>318362.46215321636</v>
      </c>
      <c r="Z52" s="4"/>
    </row>
    <row r="53" spans="2:26" x14ac:dyDescent="0.25">
      <c r="B53" s="116" t="s">
        <v>81</v>
      </c>
      <c r="C53" s="117" t="s">
        <v>192</v>
      </c>
      <c r="D53" s="94"/>
      <c r="E53" s="115">
        <v>50.65</v>
      </c>
      <c r="F53" s="111">
        <v>0</v>
      </c>
      <c r="G53" s="39">
        <v>0</v>
      </c>
      <c r="H53" s="40">
        <f t="shared" si="0"/>
        <v>0</v>
      </c>
      <c r="I53" s="41">
        <v>0</v>
      </c>
      <c r="J53" s="41">
        <v>1</v>
      </c>
      <c r="K53" s="41">
        <f t="shared" si="1"/>
        <v>0</v>
      </c>
      <c r="L53" s="85">
        <f t="shared" si="2"/>
        <v>0</v>
      </c>
      <c r="N53" s="86">
        <f t="shared" si="3"/>
        <v>0</v>
      </c>
      <c r="P53" s="84">
        <f t="shared" si="4"/>
        <v>0</v>
      </c>
      <c r="Q53" s="87">
        <f t="shared" si="5"/>
        <v>0</v>
      </c>
      <c r="S53" s="84">
        <v>0</v>
      </c>
      <c r="T53" s="87">
        <v>0</v>
      </c>
      <c r="V53" s="88"/>
      <c r="X53" s="84"/>
      <c r="Y53" s="87"/>
      <c r="Z53" s="4"/>
    </row>
    <row r="54" spans="2:26" x14ac:dyDescent="0.25">
      <c r="B54" s="116" t="s">
        <v>83</v>
      </c>
      <c r="C54" s="117" t="s">
        <v>171</v>
      </c>
      <c r="D54" s="94"/>
      <c r="E54" s="115">
        <f>149.55-11.9</f>
        <v>137.65</v>
      </c>
      <c r="F54" s="111">
        <v>0.75</v>
      </c>
      <c r="G54" s="39">
        <v>1</v>
      </c>
      <c r="H54" s="40">
        <f t="shared" si="0"/>
        <v>103.24</v>
      </c>
      <c r="I54" s="41">
        <v>0</v>
      </c>
      <c r="J54" s="41">
        <v>1</v>
      </c>
      <c r="K54" s="41">
        <f t="shared" si="1"/>
        <v>0</v>
      </c>
      <c r="L54" s="85">
        <f t="shared" si="2"/>
        <v>103.24</v>
      </c>
      <c r="N54" s="86">
        <f t="shared" si="3"/>
        <v>1.2411000000000001</v>
      </c>
      <c r="P54" s="84">
        <f t="shared" si="4"/>
        <v>398678.74067688541</v>
      </c>
      <c r="Q54" s="87">
        <f t="shared" si="5"/>
        <v>2896.3221262396323</v>
      </c>
      <c r="S54" s="84">
        <v>369512.89067688538</v>
      </c>
      <c r="T54" s="87">
        <v>2684.4379998320769</v>
      </c>
      <c r="V54" s="88">
        <f t="shared" si="6"/>
        <v>7.8930534592644763E-2</v>
      </c>
      <c r="X54" s="84">
        <v>21306.69</v>
      </c>
      <c r="Y54" s="87">
        <f t="shared" si="8"/>
        <v>377372.05067688541</v>
      </c>
      <c r="Z54" s="4"/>
    </row>
    <row r="55" spans="2:26" x14ac:dyDescent="0.25">
      <c r="B55" s="116" t="s">
        <v>83</v>
      </c>
      <c r="C55" s="117" t="s">
        <v>193</v>
      </c>
      <c r="D55" s="94"/>
      <c r="E55" s="115">
        <v>11.9</v>
      </c>
      <c r="F55" s="111">
        <v>0</v>
      </c>
      <c r="G55" s="39">
        <v>0</v>
      </c>
      <c r="H55" s="40">
        <f t="shared" si="0"/>
        <v>0</v>
      </c>
      <c r="I55" s="41">
        <v>0</v>
      </c>
      <c r="J55" s="41">
        <v>1</v>
      </c>
      <c r="K55" s="41">
        <f t="shared" si="1"/>
        <v>0</v>
      </c>
      <c r="L55" s="85">
        <f t="shared" si="2"/>
        <v>0</v>
      </c>
      <c r="N55" s="86">
        <f t="shared" si="3"/>
        <v>0</v>
      </c>
      <c r="P55" s="84">
        <f t="shared" si="4"/>
        <v>0</v>
      </c>
      <c r="Q55" s="87">
        <f t="shared" si="5"/>
        <v>0</v>
      </c>
      <c r="S55" s="84">
        <v>0</v>
      </c>
      <c r="T55" s="87">
        <v>0</v>
      </c>
      <c r="V55" s="88"/>
      <c r="X55" s="84"/>
      <c r="Y55" s="87"/>
      <c r="Z55" s="4"/>
    </row>
    <row r="56" spans="2:26" x14ac:dyDescent="0.25">
      <c r="B56" s="78" t="s">
        <v>218</v>
      </c>
      <c r="C56" s="79" t="s">
        <v>219</v>
      </c>
      <c r="D56" s="80"/>
      <c r="E56" s="81">
        <v>612.85</v>
      </c>
      <c r="F56" s="82">
        <v>0.3</v>
      </c>
      <c r="G56" s="166">
        <v>1</v>
      </c>
      <c r="H56" s="167">
        <f t="shared" si="0"/>
        <v>183.86</v>
      </c>
      <c r="I56" s="82">
        <v>0</v>
      </c>
      <c r="J56" s="82">
        <v>1</v>
      </c>
      <c r="K56" s="82">
        <f t="shared" si="1"/>
        <v>0</v>
      </c>
      <c r="L56" s="168">
        <f t="shared" si="2"/>
        <v>183.86</v>
      </c>
      <c r="N56" s="86">
        <f t="shared" si="3"/>
        <v>2.2101999999999999</v>
      </c>
      <c r="P56" s="169">
        <f t="shared" si="4"/>
        <v>709982.88022242533</v>
      </c>
      <c r="Q56" s="170">
        <f t="shared" si="5"/>
        <v>1158.4937263970389</v>
      </c>
      <c r="R56" s="80"/>
      <c r="S56" s="169">
        <v>658043.18022242526</v>
      </c>
      <c r="T56" s="170">
        <v>1073.7426453821085</v>
      </c>
      <c r="U56" s="80"/>
      <c r="V56" s="171">
        <f t="shared" si="6"/>
        <v>7.8930534592644763E-2</v>
      </c>
      <c r="W56" s="80"/>
      <c r="X56" s="169"/>
      <c r="Y56" s="170">
        <f t="shared" si="8"/>
        <v>709982.88022242533</v>
      </c>
      <c r="Z56" s="4"/>
    </row>
    <row r="57" spans="2:26" x14ac:dyDescent="0.25">
      <c r="B57" s="101" t="s">
        <v>84</v>
      </c>
      <c r="C57" s="97" t="s">
        <v>222</v>
      </c>
      <c r="D57" s="98"/>
      <c r="E57" s="103">
        <v>30.05</v>
      </c>
      <c r="F57" s="100">
        <v>1</v>
      </c>
      <c r="G57" s="39">
        <v>1</v>
      </c>
      <c r="H57" s="40">
        <f t="shared" si="0"/>
        <v>30.05</v>
      </c>
      <c r="I57" s="41">
        <v>0</v>
      </c>
      <c r="J57" s="41">
        <v>1</v>
      </c>
      <c r="K57" s="41">
        <f>ROUND(I57*J57,2)</f>
        <v>0</v>
      </c>
      <c r="L57" s="85">
        <f>H57+K57</f>
        <v>30.05</v>
      </c>
      <c r="N57" s="86">
        <f t="shared" si="3"/>
        <v>0.36120000000000002</v>
      </c>
      <c r="P57" s="84">
        <f t="shared" si="4"/>
        <v>116028.33062000727</v>
      </c>
      <c r="Q57" s="87">
        <f t="shared" si="5"/>
        <v>3861.1757277872634</v>
      </c>
      <c r="S57" s="84">
        <v>107540.13062000726</v>
      </c>
      <c r="T57" s="87">
        <v>3578.7065098172134</v>
      </c>
      <c r="V57" s="88">
        <f t="shared" si="6"/>
        <v>7.8930534592644763E-2</v>
      </c>
      <c r="X57" s="84">
        <v>5709.1</v>
      </c>
      <c r="Y57" s="87">
        <f t="shared" si="8"/>
        <v>110319.23062000726</v>
      </c>
      <c r="Z57" s="4"/>
    </row>
    <row r="58" spans="2:26" x14ac:dyDescent="0.25">
      <c r="B58" s="116"/>
      <c r="C58" s="117" t="s">
        <v>85</v>
      </c>
      <c r="D58" s="94"/>
      <c r="E58" s="115">
        <v>1934.81</v>
      </c>
      <c r="F58" s="111">
        <v>0.08</v>
      </c>
      <c r="G58" s="39">
        <v>1</v>
      </c>
      <c r="H58" s="40">
        <f t="shared" si="0"/>
        <v>154.78</v>
      </c>
      <c r="I58" s="41">
        <v>0</v>
      </c>
      <c r="J58" s="41">
        <v>1</v>
      </c>
      <c r="K58" s="41">
        <f>ROUND(I58*J58,2)</f>
        <v>0</v>
      </c>
      <c r="L58" s="85">
        <f>H58+K58</f>
        <v>154.78</v>
      </c>
      <c r="N58" s="86">
        <f t="shared" si="3"/>
        <v>1.8606</v>
      </c>
      <c r="P58" s="84">
        <f t="shared" si="4"/>
        <v>597680.81935654907</v>
      </c>
      <c r="Q58" s="87">
        <f t="shared" si="5"/>
        <v>308.90930859182509</v>
      </c>
      <c r="S58" s="84">
        <v>553956.71935654897</v>
      </c>
      <c r="T58" s="87">
        <v>286.31065549410482</v>
      </c>
      <c r="V58" s="88">
        <f t="shared" si="6"/>
        <v>7.8930534592644763E-2</v>
      </c>
      <c r="X58" s="84">
        <v>24417.02</v>
      </c>
      <c r="Y58" s="87">
        <f t="shared" si="8"/>
        <v>573263.79935654905</v>
      </c>
      <c r="Z58" s="4"/>
    </row>
    <row r="59" spans="2:26" x14ac:dyDescent="0.25">
      <c r="B59" s="78" t="s">
        <v>86</v>
      </c>
      <c r="C59" s="79" t="s">
        <v>87</v>
      </c>
      <c r="D59" s="80"/>
      <c r="E59" s="81">
        <v>565</v>
      </c>
      <c r="F59" s="83">
        <v>0.5</v>
      </c>
      <c r="G59" s="166">
        <v>1</v>
      </c>
      <c r="H59" s="167">
        <f t="shared" si="0"/>
        <v>282.5</v>
      </c>
      <c r="I59" s="82">
        <v>0</v>
      </c>
      <c r="J59" s="82">
        <v>1</v>
      </c>
      <c r="K59" s="82">
        <f t="shared" si="1"/>
        <v>0</v>
      </c>
      <c r="L59" s="168">
        <f t="shared" si="2"/>
        <v>282.5</v>
      </c>
      <c r="N59" s="86">
        <f t="shared" si="3"/>
        <v>3.3959999999999999</v>
      </c>
      <c r="P59" s="169">
        <f t="shared" si="4"/>
        <v>1090897.5935369453</v>
      </c>
      <c r="Q59" s="170">
        <f t="shared" si="5"/>
        <v>1930.7922009503457</v>
      </c>
      <c r="R59" s="80"/>
      <c r="S59" s="169">
        <v>1011091.5935369453</v>
      </c>
      <c r="T59" s="170">
        <v>1789.5426434282217</v>
      </c>
      <c r="U59" s="80"/>
      <c r="V59" s="171">
        <f t="shared" si="6"/>
        <v>7.8930534592644541E-2</v>
      </c>
      <c r="W59" s="80"/>
      <c r="X59" s="169"/>
      <c r="Y59" s="170">
        <f t="shared" si="8"/>
        <v>1090897.5935369453</v>
      </c>
      <c r="Z59" s="4"/>
    </row>
    <row r="60" spans="2:26" x14ac:dyDescent="0.25">
      <c r="B60" s="101" t="s">
        <v>186</v>
      </c>
      <c r="C60" s="97" t="s">
        <v>199</v>
      </c>
      <c r="D60" s="98"/>
      <c r="E60" s="103">
        <v>31</v>
      </c>
      <c r="F60" s="100">
        <v>1</v>
      </c>
      <c r="G60" s="39">
        <v>1</v>
      </c>
      <c r="H60" s="40">
        <f t="shared" si="0"/>
        <v>31</v>
      </c>
      <c r="I60" s="41">
        <v>0</v>
      </c>
      <c r="J60" s="41">
        <v>1</v>
      </c>
      <c r="K60" s="41">
        <f t="shared" si="1"/>
        <v>0</v>
      </c>
      <c r="L60" s="85">
        <f t="shared" si="2"/>
        <v>31</v>
      </c>
      <c r="N60" s="86">
        <f t="shared" si="3"/>
        <v>0.37269999999999998</v>
      </c>
      <c r="P60" s="84">
        <f t="shared" si="4"/>
        <v>119722.47735901634</v>
      </c>
      <c r="Q60" s="87">
        <f t="shared" si="5"/>
        <v>3862.0153986779465</v>
      </c>
      <c r="S60" s="84">
        <v>110964.02735901633</v>
      </c>
      <c r="T60" s="87">
        <v>3579.4847535166559</v>
      </c>
      <c r="V60" s="88">
        <f t="shared" si="6"/>
        <v>7.8930534592644763E-2</v>
      </c>
      <c r="X60" s="84"/>
      <c r="Y60" s="87">
        <f t="shared" si="8"/>
        <v>119722.47735901634</v>
      </c>
      <c r="Z60" s="4"/>
    </row>
    <row r="61" spans="2:26" x14ac:dyDescent="0.25">
      <c r="B61" s="101" t="s">
        <v>187</v>
      </c>
      <c r="C61" s="97" t="s">
        <v>188</v>
      </c>
      <c r="D61" s="98"/>
      <c r="E61" s="103">
        <v>45.3</v>
      </c>
      <c r="F61" s="100">
        <v>1</v>
      </c>
      <c r="G61" s="39">
        <v>1</v>
      </c>
      <c r="H61" s="40">
        <f>ROUND(E61*G61*F61,2)</f>
        <v>45.3</v>
      </c>
      <c r="I61" s="41">
        <v>0</v>
      </c>
      <c r="J61" s="41">
        <v>1</v>
      </c>
      <c r="K61" s="41">
        <f>ROUND(I61*J61,2)</f>
        <v>0</v>
      </c>
      <c r="L61" s="85">
        <f>H61+K61</f>
        <v>45.3</v>
      </c>
      <c r="N61" s="86">
        <f t="shared" si="3"/>
        <v>0.54459999999999997</v>
      </c>
      <c r="P61" s="84">
        <f>($P$12*N61)/100</f>
        <v>174941.94035342179</v>
      </c>
      <c r="Q61" s="87">
        <f>P61/E61</f>
        <v>3861.8529879342559</v>
      </c>
      <c r="S61" s="84">
        <v>162143.84035342178</v>
      </c>
      <c r="T61" s="87">
        <v>3579.3342241373462</v>
      </c>
      <c r="V61" s="88">
        <f t="shared" si="6"/>
        <v>7.8930534592644541E-2</v>
      </c>
      <c r="X61" s="84"/>
      <c r="Y61" s="87">
        <f t="shared" si="8"/>
        <v>174941.94035342179</v>
      </c>
      <c r="Z61" s="4"/>
    </row>
    <row r="62" spans="2:26" x14ac:dyDescent="0.25">
      <c r="B62" s="101" t="s">
        <v>88</v>
      </c>
      <c r="C62" s="97" t="s">
        <v>89</v>
      </c>
      <c r="D62" s="98"/>
      <c r="E62" s="103">
        <v>39.799999999999997</v>
      </c>
      <c r="F62" s="100">
        <v>1</v>
      </c>
      <c r="G62" s="39">
        <v>1</v>
      </c>
      <c r="H62" s="40">
        <f t="shared" si="0"/>
        <v>39.799999999999997</v>
      </c>
      <c r="I62" s="41">
        <v>0</v>
      </c>
      <c r="J62" s="41">
        <v>1</v>
      </c>
      <c r="K62" s="41">
        <f t="shared" si="1"/>
        <v>0</v>
      </c>
      <c r="L62" s="85">
        <f t="shared" si="2"/>
        <v>39.799999999999997</v>
      </c>
      <c r="N62" s="86">
        <f t="shared" si="3"/>
        <v>0.47839999999999999</v>
      </c>
      <c r="P62" s="84">
        <f t="shared" si="4"/>
        <v>153676.50434277815</v>
      </c>
      <c r="Q62" s="87">
        <f t="shared" si="5"/>
        <v>3861.2187020798533</v>
      </c>
      <c r="S62" s="84">
        <v>142434.10434277816</v>
      </c>
      <c r="T62" s="87">
        <v>3578.7463402708081</v>
      </c>
      <c r="V62" s="88">
        <f t="shared" si="6"/>
        <v>7.8930534592644541E-2</v>
      </c>
      <c r="X62" s="84">
        <v>7560.4</v>
      </c>
      <c r="Y62" s="87">
        <f t="shared" si="8"/>
        <v>146116.10434277816</v>
      </c>
      <c r="Z62" s="4"/>
    </row>
    <row r="63" spans="2:26" x14ac:dyDescent="0.25">
      <c r="B63" s="101" t="s">
        <v>161</v>
      </c>
      <c r="C63" s="97" t="s">
        <v>194</v>
      </c>
      <c r="D63" s="98"/>
      <c r="E63" s="103">
        <v>43.5</v>
      </c>
      <c r="F63" s="100">
        <v>1</v>
      </c>
      <c r="G63" s="39">
        <v>1</v>
      </c>
      <c r="H63" s="40">
        <f t="shared" si="0"/>
        <v>43.5</v>
      </c>
      <c r="I63" s="41">
        <v>0</v>
      </c>
      <c r="J63" s="41">
        <v>1</v>
      </c>
      <c r="K63" s="41">
        <f t="shared" si="1"/>
        <v>0</v>
      </c>
      <c r="L63" s="85">
        <f t="shared" si="2"/>
        <v>43.5</v>
      </c>
      <c r="N63" s="86">
        <f t="shared" si="3"/>
        <v>0.52290000000000003</v>
      </c>
      <c r="P63" s="84">
        <f t="shared" si="4"/>
        <v>167971.24607198726</v>
      </c>
      <c r="Q63" s="87">
        <f t="shared" si="5"/>
        <v>3861.4079556778679</v>
      </c>
      <c r="R63" s="2"/>
      <c r="S63" s="84">
        <v>155683.09607198727</v>
      </c>
      <c r="T63" s="87">
        <v>3578.9217487813166</v>
      </c>
      <c r="U63" s="2"/>
      <c r="V63" s="88">
        <f t="shared" si="6"/>
        <v>7.8930534592644541E-2</v>
      </c>
      <c r="W63" s="2"/>
      <c r="X63" s="84">
        <v>7551.71</v>
      </c>
      <c r="Y63" s="87">
        <f t="shared" si="8"/>
        <v>160419.53607198727</v>
      </c>
      <c r="Z63" s="4"/>
    </row>
    <row r="64" spans="2:26" x14ac:dyDescent="0.25">
      <c r="B64" s="101" t="s">
        <v>162</v>
      </c>
      <c r="C64" s="97" t="s">
        <v>216</v>
      </c>
      <c r="D64" s="98"/>
      <c r="E64" s="100">
        <f>(39.75+33.85+33.8+43.4)*0.85+(23.65/2)</f>
        <v>140.00499999999997</v>
      </c>
      <c r="F64" s="100">
        <v>1</v>
      </c>
      <c r="G64" s="39">
        <v>1</v>
      </c>
      <c r="H64" s="40">
        <f t="shared" si="0"/>
        <v>140.01</v>
      </c>
      <c r="I64" s="41">
        <v>0</v>
      </c>
      <c r="J64" s="41">
        <v>1</v>
      </c>
      <c r="K64" s="41">
        <f t="shared" si="1"/>
        <v>0</v>
      </c>
      <c r="L64" s="85">
        <f t="shared" si="2"/>
        <v>140.01</v>
      </c>
      <c r="N64" s="86">
        <f t="shared" si="3"/>
        <v>1.6831</v>
      </c>
      <c r="P64" s="84">
        <f t="shared" si="4"/>
        <v>540662.4675153218</v>
      </c>
      <c r="Q64" s="87">
        <f t="shared" si="5"/>
        <v>3861.7368487934141</v>
      </c>
      <c r="R64" s="93"/>
      <c r="S64" s="84">
        <v>501109.61751532176</v>
      </c>
      <c r="T64" s="87">
        <v>3579.2265813029667</v>
      </c>
      <c r="U64" s="93"/>
      <c r="V64" s="88">
        <f t="shared" si="6"/>
        <v>7.8930534592644541E-2</v>
      </c>
      <c r="W64" s="93"/>
      <c r="X64" s="84">
        <v>27406.92</v>
      </c>
      <c r="Y64" s="87">
        <f t="shared" si="8"/>
        <v>513255.54751532181</v>
      </c>
      <c r="Z64" s="4"/>
    </row>
    <row r="65" spans="2:26" x14ac:dyDescent="0.25">
      <c r="B65" s="116" t="s">
        <v>90</v>
      </c>
      <c r="C65" s="117" t="s">
        <v>127</v>
      </c>
      <c r="D65" s="94"/>
      <c r="E65" s="115">
        <f>150.45+23.65-23.65</f>
        <v>150.44999999999999</v>
      </c>
      <c r="F65" s="111">
        <v>0.8</v>
      </c>
      <c r="G65" s="39">
        <v>1</v>
      </c>
      <c r="H65" s="40">
        <f t="shared" si="0"/>
        <v>120.36</v>
      </c>
      <c r="I65" s="41">
        <v>0</v>
      </c>
      <c r="J65" s="41">
        <v>1</v>
      </c>
      <c r="K65" s="41">
        <f t="shared" si="1"/>
        <v>0</v>
      </c>
      <c r="L65" s="85">
        <f t="shared" si="2"/>
        <v>120.36</v>
      </c>
      <c r="N65" s="86">
        <f t="shared" si="3"/>
        <v>1.4469000000000001</v>
      </c>
      <c r="P65" s="84">
        <f t="shared" si="4"/>
        <v>464787.90579758724</v>
      </c>
      <c r="Q65" s="87">
        <f t="shared" si="5"/>
        <v>3089.3180843973896</v>
      </c>
      <c r="S65" s="84">
        <v>430785.75579758728</v>
      </c>
      <c r="T65" s="87">
        <v>2863.3150933704705</v>
      </c>
      <c r="V65" s="88">
        <f t="shared" si="6"/>
        <v>7.8930534592644541E-2</v>
      </c>
      <c r="X65" s="84">
        <v>29766.05</v>
      </c>
      <c r="Y65" s="87">
        <f t="shared" si="8"/>
        <v>435021.85579758725</v>
      </c>
      <c r="Z65" s="4"/>
    </row>
    <row r="66" spans="2:26" x14ac:dyDescent="0.25">
      <c r="B66" s="101" t="s">
        <v>91</v>
      </c>
      <c r="C66" s="97" t="s">
        <v>181</v>
      </c>
      <c r="D66" s="98"/>
      <c r="E66" s="103">
        <v>0</v>
      </c>
      <c r="F66" s="100">
        <v>1</v>
      </c>
      <c r="G66" s="39">
        <v>1</v>
      </c>
      <c r="H66" s="40">
        <f t="shared" si="0"/>
        <v>0</v>
      </c>
      <c r="I66" s="41">
        <v>0</v>
      </c>
      <c r="J66" s="41">
        <v>1</v>
      </c>
      <c r="K66" s="41">
        <f t="shared" si="1"/>
        <v>0</v>
      </c>
      <c r="L66" s="85">
        <f t="shared" si="2"/>
        <v>0</v>
      </c>
      <c r="N66" s="86">
        <f t="shared" si="3"/>
        <v>0</v>
      </c>
      <c r="P66" s="84">
        <f t="shared" si="4"/>
        <v>0</v>
      </c>
      <c r="Q66" s="87" t="e">
        <f t="shared" si="5"/>
        <v>#DIV/0!</v>
      </c>
      <c r="S66" s="84">
        <v>0</v>
      </c>
      <c r="T66" s="87" t="e">
        <v>#DIV/0!</v>
      </c>
      <c r="V66" s="88" t="e">
        <f t="shared" si="6"/>
        <v>#DIV/0!</v>
      </c>
      <c r="X66" s="84">
        <v>26253.42</v>
      </c>
      <c r="Y66" s="87">
        <f t="shared" si="8"/>
        <v>-26253.42</v>
      </c>
      <c r="Z66" s="4"/>
    </row>
    <row r="67" spans="2:26" x14ac:dyDescent="0.25">
      <c r="B67" s="101" t="s">
        <v>92</v>
      </c>
      <c r="C67" s="97" t="s">
        <v>181</v>
      </c>
      <c r="D67" s="98"/>
      <c r="E67" s="103">
        <v>0</v>
      </c>
      <c r="F67" s="100">
        <v>1</v>
      </c>
      <c r="G67" s="39">
        <v>1</v>
      </c>
      <c r="H67" s="40">
        <f t="shared" si="0"/>
        <v>0</v>
      </c>
      <c r="I67" s="41">
        <v>0</v>
      </c>
      <c r="J67" s="41">
        <v>1</v>
      </c>
      <c r="K67" s="41">
        <f t="shared" si="1"/>
        <v>0</v>
      </c>
      <c r="L67" s="85">
        <f t="shared" si="2"/>
        <v>0</v>
      </c>
      <c r="N67" s="86">
        <f t="shared" si="3"/>
        <v>0</v>
      </c>
      <c r="P67" s="84">
        <f t="shared" si="4"/>
        <v>0</v>
      </c>
      <c r="Q67" s="87" t="e">
        <f t="shared" si="5"/>
        <v>#DIV/0!</v>
      </c>
      <c r="S67" s="84">
        <v>0</v>
      </c>
      <c r="T67" s="87" t="e">
        <v>#DIV/0!</v>
      </c>
      <c r="V67" s="88" t="e">
        <f t="shared" si="6"/>
        <v>#DIV/0!</v>
      </c>
      <c r="X67" s="84">
        <v>7750.37</v>
      </c>
      <c r="Y67" s="87">
        <f t="shared" si="8"/>
        <v>-7750.37</v>
      </c>
      <c r="Z67" s="4"/>
    </row>
    <row r="68" spans="2:26" x14ac:dyDescent="0.25">
      <c r="B68" s="116" t="s">
        <v>93</v>
      </c>
      <c r="C68" s="109" t="s">
        <v>95</v>
      </c>
      <c r="D68" s="94"/>
      <c r="E68" s="115">
        <v>39.200000000000003</v>
      </c>
      <c r="F68" s="111">
        <v>0.8</v>
      </c>
      <c r="G68" s="39">
        <v>1</v>
      </c>
      <c r="H68" s="40">
        <f t="shared" si="0"/>
        <v>31.36</v>
      </c>
      <c r="I68" s="41">
        <v>0</v>
      </c>
      <c r="J68" s="41">
        <v>1</v>
      </c>
      <c r="K68" s="41">
        <f t="shared" si="1"/>
        <v>0</v>
      </c>
      <c r="L68" s="85">
        <f t="shared" si="2"/>
        <v>31.36</v>
      </c>
      <c r="N68" s="86">
        <f t="shared" si="3"/>
        <v>0.377</v>
      </c>
      <c r="P68" s="84">
        <f t="shared" si="4"/>
        <v>121103.76700925453</v>
      </c>
      <c r="Q68" s="87">
        <f t="shared" si="5"/>
        <v>3089.3818114605747</v>
      </c>
      <c r="S68" s="84">
        <v>112244.26700925453</v>
      </c>
      <c r="T68" s="87">
        <v>2863.3741583993501</v>
      </c>
      <c r="V68" s="88">
        <f t="shared" si="6"/>
        <v>7.8930534592644541E-2</v>
      </c>
      <c r="X68" s="84">
        <v>7447.41</v>
      </c>
      <c r="Y68" s="87">
        <f t="shared" si="8"/>
        <v>113656.35700925453</v>
      </c>
      <c r="Z68" s="4"/>
    </row>
    <row r="69" spans="2:26" x14ac:dyDescent="0.25">
      <c r="B69" s="108" t="s">
        <v>94</v>
      </c>
      <c r="C69" s="109" t="s">
        <v>95</v>
      </c>
      <c r="D69" s="94"/>
      <c r="E69" s="115">
        <v>179.3</v>
      </c>
      <c r="F69" s="111">
        <v>0.8</v>
      </c>
      <c r="G69" s="39">
        <v>1</v>
      </c>
      <c r="H69" s="40">
        <f t="shared" si="0"/>
        <v>143.44</v>
      </c>
      <c r="I69" s="41">
        <v>0</v>
      </c>
      <c r="J69" s="41">
        <v>1</v>
      </c>
      <c r="K69" s="41">
        <f t="shared" si="1"/>
        <v>0</v>
      </c>
      <c r="L69" s="85">
        <f t="shared" si="2"/>
        <v>143.44</v>
      </c>
      <c r="N69" s="86">
        <f t="shared" si="3"/>
        <v>1.7242999999999999</v>
      </c>
      <c r="P69" s="84">
        <f t="shared" si="4"/>
        <v>553897.14974551077</v>
      </c>
      <c r="Q69" s="87">
        <f t="shared" si="5"/>
        <v>3089.2200208896306</v>
      </c>
      <c r="S69" s="84">
        <v>513376.09974551084</v>
      </c>
      <c r="T69" s="87">
        <v>2863.2242038232616</v>
      </c>
      <c r="V69" s="88">
        <f t="shared" si="6"/>
        <v>7.8930534592644541E-2</v>
      </c>
      <c r="X69" s="84">
        <v>26481.89</v>
      </c>
      <c r="Y69" s="87">
        <f t="shared" si="8"/>
        <v>527415.25974551076</v>
      </c>
      <c r="Z69" s="4"/>
    </row>
    <row r="70" spans="2:26" x14ac:dyDescent="0.25">
      <c r="B70" s="105" t="s">
        <v>96</v>
      </c>
      <c r="C70" s="106" t="s">
        <v>97</v>
      </c>
      <c r="D70" s="98"/>
      <c r="E70" s="103">
        <v>58</v>
      </c>
      <c r="F70" s="100">
        <v>1</v>
      </c>
      <c r="G70" s="39">
        <v>1</v>
      </c>
      <c r="H70" s="40">
        <f t="shared" si="0"/>
        <v>58</v>
      </c>
      <c r="I70" s="41">
        <v>0</v>
      </c>
      <c r="J70" s="41">
        <v>1</v>
      </c>
      <c r="K70" s="41">
        <f>ROUND(I70*J70,2)</f>
        <v>0</v>
      </c>
      <c r="L70" s="85">
        <f>H70+K70</f>
        <v>58</v>
      </c>
      <c r="N70" s="86">
        <f t="shared" si="3"/>
        <v>0.69720000000000004</v>
      </c>
      <c r="P70" s="84">
        <f t="shared" si="4"/>
        <v>223961.66142931636</v>
      </c>
      <c r="Q70" s="87">
        <f t="shared" si="5"/>
        <v>3861.4079556778684</v>
      </c>
      <c r="S70" s="84">
        <v>207577.46142931632</v>
      </c>
      <c r="T70" s="87">
        <v>3578.9217487813157</v>
      </c>
      <c r="V70" s="88">
        <f t="shared" si="6"/>
        <v>7.8930534592644763E-2</v>
      </c>
      <c r="X70" s="84">
        <v>11018.39</v>
      </c>
      <c r="Y70" s="87">
        <f t="shared" si="8"/>
        <v>212943.27142931637</v>
      </c>
      <c r="Z70" s="4"/>
    </row>
    <row r="71" spans="2:26" x14ac:dyDescent="0.25">
      <c r="B71" s="105" t="s">
        <v>100</v>
      </c>
      <c r="C71" s="106" t="s">
        <v>128</v>
      </c>
      <c r="D71" s="98"/>
      <c r="E71" s="103">
        <v>33.200000000000003</v>
      </c>
      <c r="F71" s="100">
        <v>1</v>
      </c>
      <c r="G71" s="39">
        <v>1</v>
      </c>
      <c r="H71" s="40">
        <f t="shared" si="0"/>
        <v>33.200000000000003</v>
      </c>
      <c r="I71" s="41">
        <v>0</v>
      </c>
      <c r="J71" s="41">
        <v>1</v>
      </c>
      <c r="K71" s="41">
        <f t="shared" si="1"/>
        <v>0</v>
      </c>
      <c r="L71" s="85">
        <f t="shared" si="2"/>
        <v>33.200000000000003</v>
      </c>
      <c r="N71" s="86">
        <f t="shared" si="3"/>
        <v>0.39910000000000001</v>
      </c>
      <c r="P71" s="84">
        <f t="shared" si="4"/>
        <v>128202.95335117634</v>
      </c>
      <c r="Q71" s="87">
        <f t="shared" si="5"/>
        <v>3861.5347394932633</v>
      </c>
      <c r="S71" s="84">
        <v>118824.10335117634</v>
      </c>
      <c r="T71" s="87">
        <v>3579.0392575655519</v>
      </c>
      <c r="V71" s="88">
        <f t="shared" si="6"/>
        <v>7.8930534592644541E-2</v>
      </c>
      <c r="X71" s="84">
        <v>8513.99</v>
      </c>
      <c r="Y71" s="87">
        <f t="shared" si="8"/>
        <v>119688.96335117634</v>
      </c>
      <c r="Z71" s="4"/>
    </row>
    <row r="72" spans="2:26" x14ac:dyDescent="0.25">
      <c r="B72" s="105" t="s">
        <v>99</v>
      </c>
      <c r="C72" s="106" t="s">
        <v>164</v>
      </c>
      <c r="D72" s="98"/>
      <c r="E72" s="103">
        <v>43</v>
      </c>
      <c r="F72" s="100">
        <v>1</v>
      </c>
      <c r="G72" s="39">
        <v>1</v>
      </c>
      <c r="H72" s="40">
        <f t="shared" si="0"/>
        <v>43</v>
      </c>
      <c r="I72" s="41">
        <v>0</v>
      </c>
      <c r="J72" s="41">
        <v>1</v>
      </c>
      <c r="K72" s="41">
        <f>ROUND(I72*J72,2)</f>
        <v>0</v>
      </c>
      <c r="L72" s="85">
        <f>H72+K72</f>
        <v>43</v>
      </c>
      <c r="N72" s="86">
        <f t="shared" si="3"/>
        <v>0.51690000000000003</v>
      </c>
      <c r="P72" s="84">
        <f t="shared" si="4"/>
        <v>166043.86516467817</v>
      </c>
      <c r="Q72" s="87">
        <f t="shared" si="5"/>
        <v>3861.4852363878645</v>
      </c>
      <c r="S72" s="84">
        <v>153896.71516467817</v>
      </c>
      <c r="T72" s="87">
        <v>3578.9933759227483</v>
      </c>
      <c r="V72" s="88">
        <f t="shared" si="6"/>
        <v>7.8930534592644541E-2</v>
      </c>
      <c r="X72" s="84">
        <v>8168.81</v>
      </c>
      <c r="Y72" s="87">
        <f t="shared" si="8"/>
        <v>157875.05516467817</v>
      </c>
      <c r="Z72" s="4"/>
    </row>
    <row r="73" spans="2:26" x14ac:dyDescent="0.25">
      <c r="B73" s="105" t="s">
        <v>98</v>
      </c>
      <c r="C73" s="106" t="s">
        <v>165</v>
      </c>
      <c r="D73" s="98"/>
      <c r="E73" s="103">
        <v>43</v>
      </c>
      <c r="F73" s="100">
        <v>1</v>
      </c>
      <c r="G73" s="39">
        <v>1</v>
      </c>
      <c r="H73" s="40">
        <f t="shared" si="0"/>
        <v>43</v>
      </c>
      <c r="I73" s="41">
        <v>0</v>
      </c>
      <c r="J73" s="41">
        <v>1</v>
      </c>
      <c r="K73" s="41">
        <f>ROUND(I73*J73,2)</f>
        <v>0</v>
      </c>
      <c r="L73" s="85">
        <f>H73+K73</f>
        <v>43</v>
      </c>
      <c r="N73" s="86">
        <f t="shared" si="3"/>
        <v>0.51690000000000003</v>
      </c>
      <c r="P73" s="84">
        <f t="shared" si="4"/>
        <v>166043.86516467817</v>
      </c>
      <c r="Q73" s="87">
        <f t="shared" si="5"/>
        <v>3861.4852363878645</v>
      </c>
      <c r="S73" s="84">
        <v>153896.71516467817</v>
      </c>
      <c r="T73" s="87">
        <v>3578.9933759227483</v>
      </c>
      <c r="V73" s="88">
        <f t="shared" si="6"/>
        <v>7.8930534592644541E-2</v>
      </c>
      <c r="X73" s="84">
        <v>8168.81</v>
      </c>
      <c r="Y73" s="87">
        <f t="shared" si="8"/>
        <v>157875.05516467817</v>
      </c>
      <c r="Z73" s="4"/>
    </row>
    <row r="74" spans="2:26" x14ac:dyDescent="0.25">
      <c r="B74" s="108" t="s">
        <v>170</v>
      </c>
      <c r="C74" s="109" t="s">
        <v>180</v>
      </c>
      <c r="D74" s="94"/>
      <c r="E74" s="115">
        <v>101.8</v>
      </c>
      <c r="F74" s="111">
        <v>0.7</v>
      </c>
      <c r="G74" s="39">
        <v>1</v>
      </c>
      <c r="H74" s="40">
        <f t="shared" si="0"/>
        <v>71.260000000000005</v>
      </c>
      <c r="I74" s="41">
        <v>0</v>
      </c>
      <c r="J74" s="41">
        <v>1</v>
      </c>
      <c r="K74" s="41">
        <f t="shared" si="1"/>
        <v>0</v>
      </c>
      <c r="L74" s="85">
        <f t="shared" si="2"/>
        <v>71.260000000000005</v>
      </c>
      <c r="N74" s="86">
        <f t="shared" si="3"/>
        <v>0.85660000000000003</v>
      </c>
      <c r="P74" s="84">
        <f t="shared" si="4"/>
        <v>275165.74753349455</v>
      </c>
      <c r="Q74" s="87">
        <f t="shared" si="5"/>
        <v>2703.0034138850151</v>
      </c>
      <c r="S74" s="84">
        <v>255035.64753349454</v>
      </c>
      <c r="T74" s="87">
        <v>2505.2617635903198</v>
      </c>
      <c r="V74" s="88">
        <f t="shared" si="6"/>
        <v>7.8930534592644541E-2</v>
      </c>
      <c r="X74" s="84">
        <v>32553.55</v>
      </c>
      <c r="Y74" s="87">
        <f t="shared" si="8"/>
        <v>242612.19753349456</v>
      </c>
      <c r="Z74" s="4"/>
    </row>
    <row r="75" spans="2:26" x14ac:dyDescent="0.25">
      <c r="B75" s="108" t="s">
        <v>169</v>
      </c>
      <c r="C75" s="109" t="s">
        <v>108</v>
      </c>
      <c r="D75" s="94"/>
      <c r="E75" s="115">
        <v>88.6</v>
      </c>
      <c r="F75" s="111">
        <v>0.7</v>
      </c>
      <c r="G75" s="39">
        <v>1</v>
      </c>
      <c r="H75" s="40">
        <f t="shared" si="0"/>
        <v>62.02</v>
      </c>
      <c r="I75" s="41">
        <v>0</v>
      </c>
      <c r="J75" s="41">
        <v>1</v>
      </c>
      <c r="K75" s="41">
        <f t="shared" si="1"/>
        <v>0</v>
      </c>
      <c r="L75" s="85">
        <f t="shared" si="2"/>
        <v>62.02</v>
      </c>
      <c r="N75" s="86">
        <f t="shared" si="3"/>
        <v>0.74550000000000005</v>
      </c>
      <c r="P75" s="84">
        <f t="shared" si="4"/>
        <v>239477.07773315453</v>
      </c>
      <c r="Q75" s="87">
        <f t="shared" si="5"/>
        <v>2702.9015545502771</v>
      </c>
      <c r="S75" s="84">
        <v>221957.82773315453</v>
      </c>
      <c r="T75" s="87">
        <v>2505.167355904679</v>
      </c>
      <c r="V75" s="88">
        <f t="shared" si="6"/>
        <v>7.8930534592644541E-2</v>
      </c>
      <c r="X75" s="84">
        <v>32553.55</v>
      </c>
      <c r="Y75" s="87">
        <f t="shared" si="8"/>
        <v>206923.52773315454</v>
      </c>
      <c r="Z75" s="4"/>
    </row>
    <row r="76" spans="2:26" x14ac:dyDescent="0.25">
      <c r="B76" s="105" t="s">
        <v>101</v>
      </c>
      <c r="C76" s="106" t="s">
        <v>223</v>
      </c>
      <c r="D76" s="98"/>
      <c r="E76" s="103">
        <f>93.1+30.25</f>
        <v>123.35</v>
      </c>
      <c r="F76" s="100">
        <v>1</v>
      </c>
      <c r="G76" s="39">
        <v>1</v>
      </c>
      <c r="H76" s="40">
        <f t="shared" si="0"/>
        <v>123.35</v>
      </c>
      <c r="I76" s="41">
        <v>0</v>
      </c>
      <c r="J76" s="41">
        <v>1</v>
      </c>
      <c r="K76" s="41">
        <f t="shared" si="1"/>
        <v>0</v>
      </c>
      <c r="L76" s="85">
        <f t="shared" si="2"/>
        <v>123.35</v>
      </c>
      <c r="N76" s="86">
        <f t="shared" si="3"/>
        <v>1.4827999999999999</v>
      </c>
      <c r="P76" s="84">
        <f t="shared" si="4"/>
        <v>476320.06822631991</v>
      </c>
      <c r="Q76" s="87">
        <f t="shared" si="5"/>
        <v>3861.5327784865822</v>
      </c>
      <c r="S76" s="84">
        <v>441474.26822631992</v>
      </c>
      <c r="T76" s="87">
        <v>3579.037440018808</v>
      </c>
      <c r="V76" s="88">
        <f t="shared" si="6"/>
        <v>7.8930534592644541E-2</v>
      </c>
      <c r="X76" s="84">
        <v>0</v>
      </c>
      <c r="Y76" s="87">
        <f t="shared" si="8"/>
        <v>476320.06822631991</v>
      </c>
      <c r="Z76" s="4"/>
    </row>
    <row r="77" spans="2:26" x14ac:dyDescent="0.25">
      <c r="B77" s="105" t="s">
        <v>102</v>
      </c>
      <c r="C77" s="106" t="s">
        <v>223</v>
      </c>
      <c r="D77" s="98"/>
      <c r="E77" s="103">
        <v>95.65</v>
      </c>
      <c r="F77" s="100">
        <v>1</v>
      </c>
      <c r="G77" s="39">
        <v>1</v>
      </c>
      <c r="H77" s="40">
        <f t="shared" si="0"/>
        <v>95.65</v>
      </c>
      <c r="I77" s="41">
        <v>0</v>
      </c>
      <c r="J77" s="41">
        <v>1</v>
      </c>
      <c r="K77" s="41">
        <f t="shared" si="1"/>
        <v>0</v>
      </c>
      <c r="L77" s="85">
        <f t="shared" si="2"/>
        <v>95.65</v>
      </c>
      <c r="N77" s="86">
        <f t="shared" si="3"/>
        <v>1.1497999999999999</v>
      </c>
      <c r="P77" s="84">
        <f t="shared" si="4"/>
        <v>369350.42787066544</v>
      </c>
      <c r="Q77" s="87">
        <f t="shared" si="5"/>
        <v>3861.4785977069046</v>
      </c>
      <c r="S77" s="84">
        <v>342330.1278706654</v>
      </c>
      <c r="T77" s="87">
        <v>3578.9872229029311</v>
      </c>
      <c r="V77" s="88">
        <f t="shared" si="6"/>
        <v>7.8930534592644763E-2</v>
      </c>
      <c r="X77" s="84"/>
      <c r="Y77" s="87">
        <f t="shared" si="8"/>
        <v>369350.42787066544</v>
      </c>
      <c r="Z77" s="4"/>
    </row>
    <row r="78" spans="2:26" x14ac:dyDescent="0.25">
      <c r="B78" s="105" t="s">
        <v>103</v>
      </c>
      <c r="C78" s="106" t="s">
        <v>104</v>
      </c>
      <c r="D78" s="98"/>
      <c r="E78" s="103">
        <v>60.65</v>
      </c>
      <c r="F78" s="100">
        <v>1</v>
      </c>
      <c r="G78" s="39">
        <v>1</v>
      </c>
      <c r="H78" s="40">
        <f t="shared" si="0"/>
        <v>60.65</v>
      </c>
      <c r="I78" s="41">
        <v>0</v>
      </c>
      <c r="J78" s="41">
        <v>1</v>
      </c>
      <c r="K78" s="41">
        <f t="shared" si="1"/>
        <v>0</v>
      </c>
      <c r="L78" s="85">
        <f t="shared" si="2"/>
        <v>60.65</v>
      </c>
      <c r="N78" s="86">
        <f t="shared" ref="N78:N89" si="9">ROUND((L78/$L$115)*100,4)</f>
        <v>0.72909999999999997</v>
      </c>
      <c r="P78" s="84">
        <f t="shared" si="4"/>
        <v>234208.90325317634</v>
      </c>
      <c r="Q78" s="87">
        <f t="shared" si="5"/>
        <v>3861.647209450558</v>
      </c>
      <c r="S78" s="84">
        <v>217075.05325317633</v>
      </c>
      <c r="T78" s="87">
        <v>3579.1434996401704</v>
      </c>
      <c r="V78" s="88">
        <f t="shared" si="6"/>
        <v>7.8930534592644541E-2</v>
      </c>
      <c r="X78" s="84">
        <v>11521.26</v>
      </c>
      <c r="Y78" s="87">
        <f t="shared" si="8"/>
        <v>222687.64325317633</v>
      </c>
      <c r="Z78" s="4"/>
    </row>
    <row r="79" spans="2:26" x14ac:dyDescent="0.25">
      <c r="B79" s="105" t="s">
        <v>204</v>
      </c>
      <c r="C79" s="106" t="s">
        <v>205</v>
      </c>
      <c r="D79" s="98"/>
      <c r="E79" s="103">
        <v>97.55</v>
      </c>
      <c r="F79" s="100">
        <v>0.8</v>
      </c>
      <c r="G79" s="172">
        <v>1</v>
      </c>
      <c r="H79" s="173">
        <f t="shared" si="0"/>
        <v>78.040000000000006</v>
      </c>
      <c r="I79" s="174">
        <v>0</v>
      </c>
      <c r="J79" s="174">
        <v>1</v>
      </c>
      <c r="K79" s="174">
        <f t="shared" si="1"/>
        <v>0</v>
      </c>
      <c r="L79" s="175">
        <f t="shared" si="2"/>
        <v>78.040000000000006</v>
      </c>
      <c r="M79" s="80"/>
      <c r="N79" s="86">
        <f t="shared" si="9"/>
        <v>0.93810000000000004</v>
      </c>
      <c r="O79" s="80"/>
      <c r="P79" s="84">
        <f t="shared" si="4"/>
        <v>301346.00485777634</v>
      </c>
      <c r="Q79" s="87">
        <f t="shared" si="5"/>
        <v>3089.1440785010391</v>
      </c>
      <c r="S79" s="84">
        <v>279300.65485777636</v>
      </c>
      <c r="T79" s="87">
        <v>2863.153817096631</v>
      </c>
      <c r="V79" s="88">
        <f t="shared" ref="V79:V86" si="10">(P79/S79)-1</f>
        <v>7.8930534592644541E-2</v>
      </c>
      <c r="X79" s="84">
        <v>18700.47</v>
      </c>
      <c r="Y79" s="87">
        <f t="shared" si="8"/>
        <v>282645.53485777637</v>
      </c>
      <c r="Z79" s="4"/>
    </row>
    <row r="80" spans="2:26" x14ac:dyDescent="0.25">
      <c r="B80" s="105" t="s">
        <v>207</v>
      </c>
      <c r="C80" s="106" t="s">
        <v>206</v>
      </c>
      <c r="D80" s="98"/>
      <c r="E80" s="103">
        <v>33.700000000000003</v>
      </c>
      <c r="F80" s="100">
        <v>0.8</v>
      </c>
      <c r="G80" s="172">
        <v>1</v>
      </c>
      <c r="H80" s="173">
        <f t="shared" si="0"/>
        <v>26.96</v>
      </c>
      <c r="I80" s="174">
        <v>0</v>
      </c>
      <c r="J80" s="174">
        <v>1</v>
      </c>
      <c r="K80" s="174">
        <f t="shared" si="1"/>
        <v>0</v>
      </c>
      <c r="L80" s="175">
        <f t="shared" si="2"/>
        <v>26.96</v>
      </c>
      <c r="M80" s="80"/>
      <c r="N80" s="86">
        <f t="shared" si="9"/>
        <v>0.3241</v>
      </c>
      <c r="O80" s="80"/>
      <c r="P80" s="84">
        <f t="shared" si="4"/>
        <v>104110.6920098127</v>
      </c>
      <c r="Q80" s="87">
        <f t="shared" si="5"/>
        <v>3089.3380418342044</v>
      </c>
      <c r="S80" s="84">
        <v>96494.34200981271</v>
      </c>
      <c r="T80" s="87">
        <v>2863.3335907956293</v>
      </c>
      <c r="V80" s="88">
        <f t="shared" si="10"/>
        <v>7.8930534592644541E-2</v>
      </c>
      <c r="X80" s="84">
        <v>18700.47</v>
      </c>
      <c r="Y80" s="87">
        <f t="shared" si="8"/>
        <v>85410.2220098127</v>
      </c>
      <c r="Z80" s="4"/>
    </row>
    <row r="81" spans="2:26" x14ac:dyDescent="0.25">
      <c r="B81" s="105" t="s">
        <v>105</v>
      </c>
      <c r="C81" s="106" t="s">
        <v>227</v>
      </c>
      <c r="D81" s="98"/>
      <c r="E81" s="103">
        <v>96.05</v>
      </c>
      <c r="F81" s="100">
        <v>1</v>
      </c>
      <c r="G81" s="172">
        <v>1</v>
      </c>
      <c r="H81" s="173">
        <f t="shared" si="0"/>
        <v>96.05</v>
      </c>
      <c r="I81" s="174">
        <v>0</v>
      </c>
      <c r="J81" s="174">
        <v>1</v>
      </c>
      <c r="K81" s="174">
        <f t="shared" si="1"/>
        <v>0</v>
      </c>
      <c r="L81" s="175">
        <f t="shared" si="2"/>
        <v>96.05</v>
      </c>
      <c r="N81" s="86">
        <f t="shared" si="9"/>
        <v>1.1546000000000001</v>
      </c>
      <c r="P81" s="84">
        <f t="shared" si="4"/>
        <v>370892.33259651274</v>
      </c>
      <c r="Q81" s="87">
        <f t="shared" si="5"/>
        <v>3861.4506256794666</v>
      </c>
      <c r="S81" s="84">
        <v>343759.23259651265</v>
      </c>
      <c r="T81" s="87">
        <v>3578.961297204713</v>
      </c>
      <c r="V81" s="88">
        <f t="shared" si="10"/>
        <v>7.8930534592644763E-2</v>
      </c>
      <c r="X81" s="84">
        <v>18246.03</v>
      </c>
      <c r="Y81" s="87">
        <f t="shared" si="8"/>
        <v>352646.30259651272</v>
      </c>
      <c r="Z81" s="4"/>
    </row>
    <row r="82" spans="2:26" x14ac:dyDescent="0.25">
      <c r="B82" s="105" t="s">
        <v>106</v>
      </c>
      <c r="C82" s="106" t="s">
        <v>184</v>
      </c>
      <c r="D82" s="98"/>
      <c r="E82" s="103">
        <v>66.8</v>
      </c>
      <c r="F82" s="100">
        <v>1</v>
      </c>
      <c r="G82" s="172">
        <v>1</v>
      </c>
      <c r="H82" s="173">
        <f t="shared" si="0"/>
        <v>66.8</v>
      </c>
      <c r="I82" s="174">
        <v>0</v>
      </c>
      <c r="J82" s="174">
        <v>1</v>
      </c>
      <c r="K82" s="174">
        <f t="shared" si="1"/>
        <v>0</v>
      </c>
      <c r="L82" s="175">
        <f t="shared" si="2"/>
        <v>66.8</v>
      </c>
      <c r="N82" s="86">
        <f t="shared" si="9"/>
        <v>0.80300000000000005</v>
      </c>
      <c r="P82" s="84">
        <f t="shared" si="4"/>
        <v>257947.81142819996</v>
      </c>
      <c r="Q82" s="87">
        <f t="shared" si="5"/>
        <v>3861.494183056886</v>
      </c>
      <c r="S82" s="84">
        <v>239077.31142819996</v>
      </c>
      <c r="T82" s="87">
        <v>3579.0016680868257</v>
      </c>
      <c r="V82" s="88">
        <f t="shared" si="10"/>
        <v>7.8930534592644541E-2</v>
      </c>
      <c r="X82" s="84"/>
      <c r="Y82" s="87">
        <f t="shared" si="8"/>
        <v>257947.81142819996</v>
      </c>
      <c r="Z82" s="4"/>
    </row>
    <row r="83" spans="2:26" x14ac:dyDescent="0.25">
      <c r="B83" s="105" t="s">
        <v>185</v>
      </c>
      <c r="C83" s="106" t="s">
        <v>197</v>
      </c>
      <c r="D83" s="98"/>
      <c r="E83" s="103">
        <v>42.8</v>
      </c>
      <c r="F83" s="100">
        <v>1</v>
      </c>
      <c r="G83" s="172">
        <v>1</v>
      </c>
      <c r="H83" s="173">
        <f t="shared" si="0"/>
        <v>42.8</v>
      </c>
      <c r="I83" s="174">
        <v>0</v>
      </c>
      <c r="J83" s="174">
        <v>1</v>
      </c>
      <c r="K83" s="174">
        <f t="shared" si="1"/>
        <v>0</v>
      </c>
      <c r="L83" s="175">
        <f t="shared" si="2"/>
        <v>42.8</v>
      </c>
      <c r="N83" s="86">
        <f t="shared" si="9"/>
        <v>0.51449999999999996</v>
      </c>
      <c r="P83" s="84">
        <f t="shared" si="4"/>
        <v>165272.91280175452</v>
      </c>
      <c r="Q83" s="87">
        <f t="shared" si="5"/>
        <v>3861.5166542466009</v>
      </c>
      <c r="S83" s="84">
        <v>153182.16280175452</v>
      </c>
      <c r="T83" s="87">
        <v>3579.0224953680963</v>
      </c>
      <c r="V83" s="88">
        <f t="shared" si="10"/>
        <v>7.8930534592644541E-2</v>
      </c>
      <c r="X83" s="84"/>
      <c r="Y83" s="87"/>
      <c r="Z83" s="4"/>
    </row>
    <row r="84" spans="2:26" x14ac:dyDescent="0.25">
      <c r="B84" s="105" t="s">
        <v>177</v>
      </c>
      <c r="C84" s="106" t="s">
        <v>107</v>
      </c>
      <c r="D84" s="98"/>
      <c r="E84" s="103">
        <f>95.65+95.65+95.2+200.8</f>
        <v>487.3</v>
      </c>
      <c r="F84" s="100">
        <v>1</v>
      </c>
      <c r="G84" s="172">
        <v>1</v>
      </c>
      <c r="H84" s="173">
        <f t="shared" si="0"/>
        <v>487.3</v>
      </c>
      <c r="I84" s="174">
        <v>0</v>
      </c>
      <c r="J84" s="174">
        <v>1</v>
      </c>
      <c r="K84" s="174">
        <f t="shared" si="1"/>
        <v>0</v>
      </c>
      <c r="L84" s="175">
        <f t="shared" si="2"/>
        <v>487.3</v>
      </c>
      <c r="N84" s="86">
        <f t="shared" si="9"/>
        <v>5.8578999999999999</v>
      </c>
      <c r="P84" s="84">
        <f t="shared" si="4"/>
        <v>1881734.1028209871</v>
      </c>
      <c r="Q84" s="87">
        <f t="shared" si="5"/>
        <v>3861.5516167063147</v>
      </c>
      <c r="S84" s="84">
        <v>1744073.4528209872</v>
      </c>
      <c r="T84" s="87">
        <v>3579.054900104632</v>
      </c>
      <c r="V84" s="88">
        <f t="shared" si="10"/>
        <v>7.8930534592644541E-2</v>
      </c>
      <c r="X84" s="84">
        <v>54426.44</v>
      </c>
      <c r="Y84" s="87">
        <f t="shared" si="8"/>
        <v>1827307.6628209872</v>
      </c>
      <c r="Z84" s="4"/>
    </row>
    <row r="85" spans="2:26" x14ac:dyDescent="0.25">
      <c r="B85" s="116" t="s">
        <v>109</v>
      </c>
      <c r="C85" s="109" t="s">
        <v>172</v>
      </c>
      <c r="D85" s="94"/>
      <c r="E85" s="115">
        <f>89</f>
        <v>89</v>
      </c>
      <c r="F85" s="111">
        <v>1</v>
      </c>
      <c r="G85" s="172">
        <v>1</v>
      </c>
      <c r="H85" s="173">
        <f t="shared" si="0"/>
        <v>89</v>
      </c>
      <c r="I85" s="174">
        <v>0</v>
      </c>
      <c r="J85" s="174">
        <v>1</v>
      </c>
      <c r="K85" s="174">
        <f>ROUND(I85*J85,2)</f>
        <v>0</v>
      </c>
      <c r="L85" s="175">
        <f>H85+K85</f>
        <v>89</v>
      </c>
      <c r="N85" s="86">
        <f t="shared" si="9"/>
        <v>1.0699000000000001</v>
      </c>
      <c r="P85" s="84">
        <f t="shared" si="4"/>
        <v>343684.1387883327</v>
      </c>
      <c r="Q85" s="87">
        <f t="shared" si="5"/>
        <v>3861.6195369475586</v>
      </c>
      <c r="S85" s="84">
        <v>318541.48878833273</v>
      </c>
      <c r="T85" s="87">
        <v>3579.1178515543002</v>
      </c>
      <c r="V85" s="88">
        <f t="shared" si="10"/>
        <v>7.8930534592644541E-2</v>
      </c>
      <c r="X85" s="84">
        <v>16242.01</v>
      </c>
      <c r="Y85" s="87">
        <f t="shared" si="8"/>
        <v>327442.12878833269</v>
      </c>
      <c r="Z85" s="4"/>
    </row>
    <row r="86" spans="2:26" x14ac:dyDescent="0.25">
      <c r="B86" s="116" t="s">
        <v>189</v>
      </c>
      <c r="C86" s="109" t="s">
        <v>191</v>
      </c>
      <c r="D86" s="94"/>
      <c r="E86" s="115">
        <v>19.600000000000001</v>
      </c>
      <c r="F86" s="111">
        <v>0</v>
      </c>
      <c r="G86" s="172">
        <v>0</v>
      </c>
      <c r="H86" s="173">
        <f>ROUND(E86*G86*F86,2)</f>
        <v>0</v>
      </c>
      <c r="I86" s="174">
        <v>0</v>
      </c>
      <c r="J86" s="174">
        <v>1</v>
      </c>
      <c r="K86" s="174">
        <f>ROUND(I86*J86,2)</f>
        <v>0</v>
      </c>
      <c r="L86" s="175">
        <f>H86+K86</f>
        <v>0</v>
      </c>
      <c r="N86" s="86">
        <f t="shared" si="9"/>
        <v>0</v>
      </c>
      <c r="P86" s="84">
        <f>($P$12*N86)/100</f>
        <v>0</v>
      </c>
      <c r="Q86" s="87">
        <f>P86/E86</f>
        <v>0</v>
      </c>
      <c r="S86" s="84">
        <v>0</v>
      </c>
      <c r="T86" s="87">
        <v>0</v>
      </c>
      <c r="V86" s="88" t="e">
        <f t="shared" si="10"/>
        <v>#DIV/0!</v>
      </c>
      <c r="X86" s="84">
        <v>0</v>
      </c>
      <c r="Y86" s="87">
        <f t="shared" si="8"/>
        <v>0</v>
      </c>
      <c r="Z86" s="4"/>
    </row>
    <row r="87" spans="2:26" x14ac:dyDescent="0.25">
      <c r="B87" s="105" t="s">
        <v>110</v>
      </c>
      <c r="C87" s="106" t="s">
        <v>173</v>
      </c>
      <c r="D87" s="98"/>
      <c r="E87" s="103">
        <v>89.6</v>
      </c>
      <c r="F87" s="100">
        <v>1</v>
      </c>
      <c r="G87" s="172">
        <v>1</v>
      </c>
      <c r="H87" s="173">
        <f>ROUND(E87*G87*F87,2)</f>
        <v>89.6</v>
      </c>
      <c r="I87" s="174">
        <v>0</v>
      </c>
      <c r="J87" s="174">
        <v>1</v>
      </c>
      <c r="K87" s="174">
        <f>ROUND(I87*J87,2)</f>
        <v>0</v>
      </c>
      <c r="L87" s="175">
        <f>H87+K87</f>
        <v>89.6</v>
      </c>
      <c r="N87" s="86">
        <f t="shared" si="9"/>
        <v>1.0770999999999999</v>
      </c>
      <c r="P87" s="84">
        <f>($P$12*N87)/100</f>
        <v>345996.99587710359</v>
      </c>
      <c r="Q87" s="87">
        <f>P87/E87</f>
        <v>3861.573614699817</v>
      </c>
      <c r="S87" s="84">
        <v>320685.14587710355</v>
      </c>
      <c r="T87" s="87">
        <v>3579.0752888069596</v>
      </c>
      <c r="V87" s="88">
        <f>(P87/S87)-1</f>
        <v>7.8930534592644763E-2</v>
      </c>
      <c r="X87" s="84">
        <v>17021.759999999998</v>
      </c>
      <c r="Y87" s="87">
        <f t="shared" si="8"/>
        <v>328975.23587710358</v>
      </c>
      <c r="Z87" s="4"/>
    </row>
    <row r="88" spans="2:26" x14ac:dyDescent="0.25">
      <c r="B88" s="184"/>
      <c r="C88" s="185" t="s">
        <v>234</v>
      </c>
      <c r="D88" s="98"/>
      <c r="E88" s="186">
        <v>68</v>
      </c>
      <c r="F88" s="100">
        <v>1</v>
      </c>
      <c r="G88" s="172">
        <v>1</v>
      </c>
      <c r="H88" s="173">
        <f>ROUND(E88*G88*F88,2)</f>
        <v>68</v>
      </c>
      <c r="I88" s="174">
        <v>0</v>
      </c>
      <c r="J88" s="174">
        <v>1</v>
      </c>
      <c r="K88" s="174">
        <f>ROUND(I88*J88,2)</f>
        <v>0</v>
      </c>
      <c r="L88" s="175">
        <f>H88+K88</f>
        <v>68</v>
      </c>
      <c r="N88" s="86">
        <f t="shared" si="9"/>
        <v>0.81740000000000002</v>
      </c>
      <c r="P88" s="84">
        <f>($P$12*N88)/100</f>
        <v>262573.52560574177</v>
      </c>
      <c r="Q88" s="87">
        <f>P88/E88</f>
        <v>3861.3753765550259</v>
      </c>
      <c r="S88" s="84">
        <v>243364.62560574178</v>
      </c>
      <c r="T88" s="87">
        <v>3578.8915530256145</v>
      </c>
      <c r="V88" s="88">
        <f>(P88/S88)-1</f>
        <v>7.8930534592644541E-2</v>
      </c>
      <c r="X88" s="187"/>
      <c r="Y88" s="188"/>
      <c r="Z88" s="4"/>
    </row>
    <row r="89" spans="2:26" ht="13.5" thickBot="1" x14ac:dyDescent="0.3">
      <c r="B89" s="144" t="s">
        <v>178</v>
      </c>
      <c r="C89" s="145" t="s">
        <v>221</v>
      </c>
      <c r="D89" s="98"/>
      <c r="E89" s="164">
        <v>76</v>
      </c>
      <c r="F89" s="148">
        <v>1</v>
      </c>
      <c r="G89" s="176">
        <v>1</v>
      </c>
      <c r="H89" s="177">
        <f>ROUND(E89*G89*F89,2)</f>
        <v>76</v>
      </c>
      <c r="I89" s="178">
        <v>0</v>
      </c>
      <c r="J89" s="178">
        <v>1</v>
      </c>
      <c r="K89" s="178">
        <f>ROUND(I89*J89,2)</f>
        <v>0</v>
      </c>
      <c r="L89" s="179">
        <f>H89+K89</f>
        <v>76</v>
      </c>
      <c r="M89" s="80"/>
      <c r="N89" s="182">
        <f t="shared" si="9"/>
        <v>0.91359999999999997</v>
      </c>
      <c r="O89" s="80"/>
      <c r="P89" s="146">
        <f>($P$12*N89)/100</f>
        <v>293475.86615293083</v>
      </c>
      <c r="Q89" s="89">
        <f>P89/E89</f>
        <v>3861.5245546438268</v>
      </c>
      <c r="S89" s="146">
        <v>272006.26615293085</v>
      </c>
      <c r="T89" s="89">
        <v>3579.0298178017219</v>
      </c>
      <c r="V89" s="90">
        <f>(P89/S89)-1</f>
        <v>7.8930534592644541E-2</v>
      </c>
      <c r="X89" s="146">
        <v>15437.42</v>
      </c>
      <c r="Y89" s="89">
        <f t="shared" si="8"/>
        <v>278038.44615293085</v>
      </c>
      <c r="Z89" s="4"/>
    </row>
    <row r="90" spans="2:26" ht="13.5" thickBot="1" x14ac:dyDescent="0.3">
      <c r="B90" s="42"/>
      <c r="C90" s="43"/>
      <c r="E90" s="44"/>
      <c r="F90" s="44"/>
      <c r="G90" s="45"/>
      <c r="H90" s="46"/>
      <c r="I90" s="44"/>
      <c r="J90" s="44"/>
      <c r="K90" s="44"/>
      <c r="L90" s="44"/>
      <c r="N90" s="47"/>
      <c r="P90" s="48"/>
      <c r="Q90" s="48"/>
      <c r="S90" s="48"/>
      <c r="T90" s="48"/>
      <c r="V90" s="49"/>
      <c r="X90" s="48"/>
      <c r="Y90" s="48"/>
      <c r="Z90" s="66"/>
    </row>
    <row r="91" spans="2:26" ht="13.5" thickBot="1" x14ac:dyDescent="0.3">
      <c r="B91" s="139">
        <v>148</v>
      </c>
      <c r="C91" s="140" t="s">
        <v>111</v>
      </c>
      <c r="D91" s="98"/>
      <c r="E91" s="141">
        <v>20</v>
      </c>
      <c r="F91" s="142">
        <v>1</v>
      </c>
      <c r="G91" s="37">
        <v>1</v>
      </c>
      <c r="H91" s="38">
        <f t="shared" ref="H91:H113" si="11">ROUND(E91*G91*F91,2)</f>
        <v>20</v>
      </c>
      <c r="I91" s="36">
        <v>0</v>
      </c>
      <c r="J91" s="36">
        <v>1</v>
      </c>
      <c r="K91" s="36">
        <v>0</v>
      </c>
      <c r="L91" s="153">
        <f>H91+K91</f>
        <v>20</v>
      </c>
      <c r="N91" s="181">
        <f t="shared" ref="N91:N113" si="12">ROUND((L91/$L$115)*100,4)</f>
        <v>0.2404</v>
      </c>
      <c r="P91" s="152">
        <f t="shared" ref="P91:P113" si="13">($P$12*N91)/100</f>
        <v>77223.7283528509</v>
      </c>
      <c r="Q91" s="154">
        <f t="shared" ref="Q91:Q113" si="14">P91/E91</f>
        <v>3861.1864176425452</v>
      </c>
      <c r="S91" s="152">
        <v>71574.328352850906</v>
      </c>
      <c r="T91" s="154">
        <v>3578.7164176425454</v>
      </c>
      <c r="V91" s="90">
        <f t="shared" ref="V91:V113" si="15">(P91/S91)-1</f>
        <v>7.8930534592644541E-2</v>
      </c>
      <c r="X91" s="48"/>
      <c r="Y91" s="48"/>
      <c r="Z91" s="66"/>
    </row>
    <row r="92" spans="2:26" ht="13.5" thickBot="1" x14ac:dyDescent="0.3">
      <c r="B92" s="105">
        <v>149</v>
      </c>
      <c r="C92" s="106" t="s">
        <v>112</v>
      </c>
      <c r="D92" s="98"/>
      <c r="E92" s="107">
        <v>28</v>
      </c>
      <c r="F92" s="100">
        <v>1</v>
      </c>
      <c r="G92" s="39">
        <v>1</v>
      </c>
      <c r="H92" s="40">
        <f t="shared" si="11"/>
        <v>28</v>
      </c>
      <c r="I92" s="41">
        <v>0</v>
      </c>
      <c r="J92" s="41">
        <v>1</v>
      </c>
      <c r="K92" s="41">
        <v>0</v>
      </c>
      <c r="L92" s="85">
        <f t="shared" ref="L92:L113" si="16">H92+K92</f>
        <v>28</v>
      </c>
      <c r="N92" s="86">
        <f t="shared" si="12"/>
        <v>0.33660000000000001</v>
      </c>
      <c r="P92" s="84">
        <f t="shared" si="13"/>
        <v>108126.06890004</v>
      </c>
      <c r="Q92" s="87">
        <f t="shared" si="14"/>
        <v>3861.6453178585716</v>
      </c>
      <c r="S92" s="84">
        <v>100215.96890004</v>
      </c>
      <c r="T92" s="87">
        <v>3579.1417464299998</v>
      </c>
      <c r="V92" s="90">
        <f t="shared" si="15"/>
        <v>7.8930534592644541E-2</v>
      </c>
      <c r="X92" s="48"/>
      <c r="Y92" s="48"/>
      <c r="Z92" s="66"/>
    </row>
    <row r="93" spans="2:26" ht="13.5" thickBot="1" x14ac:dyDescent="0.3">
      <c r="B93" s="105">
        <v>150</v>
      </c>
      <c r="C93" s="106" t="s">
        <v>203</v>
      </c>
      <c r="D93" s="98"/>
      <c r="E93" s="107">
        <v>65</v>
      </c>
      <c r="F93" s="100">
        <v>1</v>
      </c>
      <c r="G93" s="39">
        <v>1</v>
      </c>
      <c r="H93" s="40">
        <f t="shared" si="11"/>
        <v>65</v>
      </c>
      <c r="I93" s="41">
        <v>0</v>
      </c>
      <c r="J93" s="41">
        <v>1</v>
      </c>
      <c r="K93" s="41">
        <v>0</v>
      </c>
      <c r="L93" s="85">
        <f t="shared" si="16"/>
        <v>65</v>
      </c>
      <c r="N93" s="86">
        <f t="shared" si="12"/>
        <v>0.78139999999999998</v>
      </c>
      <c r="P93" s="84">
        <f t="shared" si="13"/>
        <v>251009.24016188722</v>
      </c>
      <c r="Q93" s="87">
        <f t="shared" si="14"/>
        <v>3861.6806178751881</v>
      </c>
      <c r="S93" s="84">
        <v>232646.34016188723</v>
      </c>
      <c r="T93" s="87">
        <v>3579.1744640290344</v>
      </c>
      <c r="V93" s="90">
        <f t="shared" si="15"/>
        <v>7.8930534592644541E-2</v>
      </c>
      <c r="X93" s="48"/>
      <c r="Y93" s="48"/>
      <c r="Z93" s="66"/>
    </row>
    <row r="94" spans="2:26" ht="13.5" thickBot="1" x14ac:dyDescent="0.3">
      <c r="B94" s="105">
        <v>151</v>
      </c>
      <c r="C94" s="106" t="s">
        <v>174</v>
      </c>
      <c r="D94" s="98"/>
      <c r="E94" s="107">
        <v>67</v>
      </c>
      <c r="F94" s="100">
        <v>1</v>
      </c>
      <c r="G94" s="39">
        <v>1</v>
      </c>
      <c r="H94" s="40">
        <f t="shared" si="11"/>
        <v>67</v>
      </c>
      <c r="I94" s="41">
        <v>0</v>
      </c>
      <c r="J94" s="41">
        <v>1</v>
      </c>
      <c r="K94" s="41">
        <v>0</v>
      </c>
      <c r="L94" s="85">
        <f t="shared" si="16"/>
        <v>67</v>
      </c>
      <c r="N94" s="86">
        <f t="shared" si="12"/>
        <v>0.8054</v>
      </c>
      <c r="P94" s="84">
        <f t="shared" si="13"/>
        <v>258718.76379112358</v>
      </c>
      <c r="Q94" s="87">
        <f t="shared" si="14"/>
        <v>3861.4740864346804</v>
      </c>
      <c r="S94" s="84">
        <v>239791.86379112359</v>
      </c>
      <c r="T94" s="87">
        <v>3578.983041658561</v>
      </c>
      <c r="V94" s="90">
        <f t="shared" si="15"/>
        <v>7.8930534592644541E-2</v>
      </c>
      <c r="X94" s="48"/>
      <c r="Y94" s="48"/>
      <c r="Z94" s="66"/>
    </row>
    <row r="95" spans="2:26" ht="13.5" thickBot="1" x14ac:dyDescent="0.3">
      <c r="B95" s="105">
        <v>152</v>
      </c>
      <c r="C95" s="106" t="s">
        <v>113</v>
      </c>
      <c r="D95" s="98"/>
      <c r="E95" s="107">
        <v>89</v>
      </c>
      <c r="F95" s="100">
        <v>1</v>
      </c>
      <c r="G95" s="39">
        <v>1</v>
      </c>
      <c r="H95" s="40">
        <f t="shared" si="11"/>
        <v>89</v>
      </c>
      <c r="I95" s="41">
        <v>0</v>
      </c>
      <c r="J95" s="41">
        <v>1</v>
      </c>
      <c r="K95" s="41">
        <v>0</v>
      </c>
      <c r="L95" s="85">
        <f t="shared" si="16"/>
        <v>89</v>
      </c>
      <c r="N95" s="86">
        <f t="shared" si="12"/>
        <v>1.0699000000000001</v>
      </c>
      <c r="P95" s="84">
        <f t="shared" si="13"/>
        <v>343684.1387883327</v>
      </c>
      <c r="Q95" s="87">
        <f t="shared" si="14"/>
        <v>3861.6195369475586</v>
      </c>
      <c r="S95" s="84">
        <v>318541.48878833273</v>
      </c>
      <c r="T95" s="87">
        <v>3579.1178515543002</v>
      </c>
      <c r="V95" s="90">
        <f t="shared" si="15"/>
        <v>7.8930534592644541E-2</v>
      </c>
      <c r="X95" s="48"/>
      <c r="Y95" s="48"/>
      <c r="Z95" s="66"/>
    </row>
    <row r="96" spans="2:26" ht="13.5" thickBot="1" x14ac:dyDescent="0.3">
      <c r="B96" s="105">
        <v>153</v>
      </c>
      <c r="C96" s="106" t="s">
        <v>166</v>
      </c>
      <c r="D96" s="98"/>
      <c r="E96" s="107">
        <v>26</v>
      </c>
      <c r="F96" s="100">
        <v>1</v>
      </c>
      <c r="G96" s="39">
        <v>1</v>
      </c>
      <c r="H96" s="40">
        <f t="shared" si="11"/>
        <v>26</v>
      </c>
      <c r="I96" s="41">
        <v>0</v>
      </c>
      <c r="J96" s="41">
        <v>1</v>
      </c>
      <c r="K96" s="41">
        <v>0</v>
      </c>
      <c r="L96" s="85">
        <f t="shared" si="16"/>
        <v>26</v>
      </c>
      <c r="N96" s="86">
        <f t="shared" si="12"/>
        <v>0.3125</v>
      </c>
      <c r="P96" s="84">
        <f t="shared" si="13"/>
        <v>100384.42225568181</v>
      </c>
      <c r="Q96" s="87">
        <f t="shared" si="14"/>
        <v>3860.9393175262235</v>
      </c>
      <c r="S96" s="84">
        <v>93040.672255681813</v>
      </c>
      <c r="T96" s="87">
        <v>3578.4873944493006</v>
      </c>
      <c r="V96" s="90">
        <f t="shared" si="15"/>
        <v>7.8930534592644541E-2</v>
      </c>
      <c r="X96" s="48"/>
      <c r="Y96" s="48"/>
      <c r="Z96" s="66"/>
    </row>
    <row r="97" spans="2:26" ht="13.5" thickBot="1" x14ac:dyDescent="0.3">
      <c r="B97" s="105">
        <v>154</v>
      </c>
      <c r="C97" s="106" t="s">
        <v>167</v>
      </c>
      <c r="D97" s="98"/>
      <c r="E97" s="107">
        <v>14.19</v>
      </c>
      <c r="F97" s="100">
        <v>1</v>
      </c>
      <c r="G97" s="39">
        <v>1</v>
      </c>
      <c r="H97" s="40">
        <f t="shared" si="11"/>
        <v>14.19</v>
      </c>
      <c r="I97" s="41">
        <v>0</v>
      </c>
      <c r="J97" s="41">
        <v>1</v>
      </c>
      <c r="K97" s="41">
        <v>0</v>
      </c>
      <c r="L97" s="85">
        <f t="shared" si="16"/>
        <v>14.19</v>
      </c>
      <c r="N97" s="86">
        <f t="shared" si="12"/>
        <v>0.1706</v>
      </c>
      <c r="P97" s="84">
        <f t="shared" si="13"/>
        <v>54801.86379782181</v>
      </c>
      <c r="Q97" s="87">
        <f t="shared" si="14"/>
        <v>3862.0059054137992</v>
      </c>
      <c r="S97" s="84">
        <v>50792.763797821812</v>
      </c>
      <c r="T97" s="87">
        <v>3579.4759547443136</v>
      </c>
      <c r="V97" s="90">
        <f t="shared" si="15"/>
        <v>7.8930534592644541E-2</v>
      </c>
      <c r="X97" s="48"/>
      <c r="Y97" s="48"/>
      <c r="Z97" s="66"/>
    </row>
    <row r="98" spans="2:26" ht="13.5" thickBot="1" x14ac:dyDescent="0.3">
      <c r="B98" s="105">
        <v>155</v>
      </c>
      <c r="C98" s="106" t="s">
        <v>114</v>
      </c>
      <c r="D98" s="98"/>
      <c r="E98" s="107">
        <v>134</v>
      </c>
      <c r="F98" s="100">
        <v>1</v>
      </c>
      <c r="G98" s="39">
        <v>1</v>
      </c>
      <c r="H98" s="40">
        <f t="shared" si="11"/>
        <v>134</v>
      </c>
      <c r="I98" s="41">
        <v>0</v>
      </c>
      <c r="J98" s="41">
        <v>1</v>
      </c>
      <c r="K98" s="41">
        <v>0</v>
      </c>
      <c r="L98" s="85">
        <f t="shared" si="16"/>
        <v>134</v>
      </c>
      <c r="N98" s="86">
        <f t="shared" si="12"/>
        <v>1.6108</v>
      </c>
      <c r="P98" s="84">
        <f t="shared" si="13"/>
        <v>517437.52758224716</v>
      </c>
      <c r="Q98" s="87">
        <f t="shared" si="14"/>
        <v>3861.4740864346804</v>
      </c>
      <c r="S98" s="84">
        <v>479583.72758224717</v>
      </c>
      <c r="T98" s="87">
        <v>3578.983041658561</v>
      </c>
      <c r="V98" s="90">
        <f t="shared" si="15"/>
        <v>7.8930534592644541E-2</v>
      </c>
      <c r="X98" s="48"/>
      <c r="Y98" s="48"/>
      <c r="Z98" s="66"/>
    </row>
    <row r="99" spans="2:26" ht="13.5" thickBot="1" x14ac:dyDescent="0.3">
      <c r="B99" s="105">
        <v>156</v>
      </c>
      <c r="C99" s="106" t="s">
        <v>115</v>
      </c>
      <c r="D99" s="98"/>
      <c r="E99" s="107">
        <v>72</v>
      </c>
      <c r="F99" s="100">
        <v>1</v>
      </c>
      <c r="G99" s="39">
        <v>1</v>
      </c>
      <c r="H99" s="40">
        <f t="shared" si="11"/>
        <v>72</v>
      </c>
      <c r="I99" s="41">
        <v>0</v>
      </c>
      <c r="J99" s="41">
        <v>1</v>
      </c>
      <c r="K99" s="41">
        <v>0</v>
      </c>
      <c r="L99" s="85">
        <f t="shared" si="16"/>
        <v>72</v>
      </c>
      <c r="N99" s="86">
        <f t="shared" si="12"/>
        <v>0.86550000000000005</v>
      </c>
      <c r="P99" s="84">
        <f t="shared" si="13"/>
        <v>278024.69587933633</v>
      </c>
      <c r="Q99" s="87">
        <f t="shared" si="14"/>
        <v>3861.4541094352267</v>
      </c>
      <c r="S99" s="84">
        <v>257685.44587933633</v>
      </c>
      <c r="T99" s="87">
        <v>3578.9645261018936</v>
      </c>
      <c r="V99" s="90">
        <f t="shared" si="15"/>
        <v>7.8930534592644541E-2</v>
      </c>
      <c r="X99" s="48"/>
      <c r="Y99" s="48"/>
      <c r="Z99" s="66"/>
    </row>
    <row r="100" spans="2:26" ht="13.5" thickBot="1" x14ac:dyDescent="0.3">
      <c r="B100" s="105">
        <v>157</v>
      </c>
      <c r="C100" s="106" t="s">
        <v>182</v>
      </c>
      <c r="D100" s="98"/>
      <c r="E100" s="107">
        <v>103</v>
      </c>
      <c r="F100" s="100">
        <v>1</v>
      </c>
      <c r="G100" s="39">
        <v>1</v>
      </c>
      <c r="H100" s="40">
        <f t="shared" si="11"/>
        <v>103</v>
      </c>
      <c r="I100" s="41">
        <v>0</v>
      </c>
      <c r="J100" s="41">
        <v>1</v>
      </c>
      <c r="K100" s="41">
        <v>0</v>
      </c>
      <c r="L100" s="85">
        <f t="shared" si="16"/>
        <v>103</v>
      </c>
      <c r="N100" s="86">
        <f t="shared" si="12"/>
        <v>1.2382</v>
      </c>
      <c r="P100" s="84">
        <f t="shared" si="13"/>
        <v>397747.1732383527</v>
      </c>
      <c r="Q100" s="87">
        <f t="shared" si="14"/>
        <v>3861.6230411490551</v>
      </c>
      <c r="S100" s="84">
        <v>368649.47323835269</v>
      </c>
      <c r="T100" s="87">
        <v>3579.1210994014823</v>
      </c>
      <c r="V100" s="90">
        <f t="shared" si="15"/>
        <v>7.8930534592644541E-2</v>
      </c>
      <c r="X100" s="48"/>
      <c r="Y100" s="48"/>
      <c r="Z100" s="66"/>
    </row>
    <row r="101" spans="2:26" ht="13.5" thickBot="1" x14ac:dyDescent="0.3">
      <c r="B101" s="105">
        <v>158</v>
      </c>
      <c r="C101" s="106" t="s">
        <v>201</v>
      </c>
      <c r="D101" s="98"/>
      <c r="E101" s="107">
        <v>45</v>
      </c>
      <c r="F101" s="100">
        <v>1</v>
      </c>
      <c r="G101" s="39">
        <v>1</v>
      </c>
      <c r="H101" s="40">
        <f t="shared" si="11"/>
        <v>45</v>
      </c>
      <c r="I101" s="41">
        <v>0</v>
      </c>
      <c r="J101" s="41">
        <v>1</v>
      </c>
      <c r="K101" s="41">
        <v>0</v>
      </c>
      <c r="L101" s="85">
        <f t="shared" si="16"/>
        <v>45</v>
      </c>
      <c r="N101" s="86">
        <f t="shared" si="12"/>
        <v>0.54090000000000005</v>
      </c>
      <c r="P101" s="84">
        <f t="shared" si="13"/>
        <v>173753.38879391455</v>
      </c>
      <c r="Q101" s="87">
        <f t="shared" si="14"/>
        <v>3861.1864176425456</v>
      </c>
      <c r="S101" s="84">
        <v>161042.23879391456</v>
      </c>
      <c r="T101" s="87">
        <v>3578.7164176425458</v>
      </c>
      <c r="V101" s="90">
        <f t="shared" si="15"/>
        <v>7.8930534592644541E-2</v>
      </c>
      <c r="X101" s="48"/>
      <c r="Y101" s="48"/>
      <c r="Z101" s="66"/>
    </row>
    <row r="102" spans="2:26" ht="13.5" thickBot="1" x14ac:dyDescent="0.3">
      <c r="B102" s="105">
        <v>159</v>
      </c>
      <c r="C102" s="106" t="s">
        <v>201</v>
      </c>
      <c r="D102" s="98"/>
      <c r="E102" s="107">
        <v>48</v>
      </c>
      <c r="F102" s="100">
        <v>1</v>
      </c>
      <c r="G102" s="39">
        <v>1</v>
      </c>
      <c r="H102" s="40">
        <f t="shared" si="11"/>
        <v>48</v>
      </c>
      <c r="I102" s="41">
        <v>0</v>
      </c>
      <c r="J102" s="41">
        <v>1</v>
      </c>
      <c r="K102" s="41">
        <v>0</v>
      </c>
      <c r="L102" s="85">
        <f t="shared" si="16"/>
        <v>48</v>
      </c>
      <c r="N102" s="86">
        <f t="shared" si="12"/>
        <v>0.57699999999999996</v>
      </c>
      <c r="P102" s="84">
        <f t="shared" si="13"/>
        <v>185349.79725289089</v>
      </c>
      <c r="Q102" s="87">
        <f t="shared" si="14"/>
        <v>3861.4541094352267</v>
      </c>
      <c r="S102" s="84">
        <v>171790.29725289089</v>
      </c>
      <c r="T102" s="87">
        <v>3578.9645261018936</v>
      </c>
      <c r="V102" s="90">
        <f t="shared" si="15"/>
        <v>7.8930534592644541E-2</v>
      </c>
      <c r="X102" s="48"/>
      <c r="Y102" s="48"/>
      <c r="Z102" s="66"/>
    </row>
    <row r="103" spans="2:26" ht="13.5" thickBot="1" x14ac:dyDescent="0.3">
      <c r="B103" s="105">
        <v>160</v>
      </c>
      <c r="C103" s="106" t="s">
        <v>196</v>
      </c>
      <c r="D103" s="98"/>
      <c r="E103" s="107">
        <v>79</v>
      </c>
      <c r="F103" s="100">
        <v>1</v>
      </c>
      <c r="G103" s="39">
        <v>1</v>
      </c>
      <c r="H103" s="40">
        <f t="shared" si="11"/>
        <v>79</v>
      </c>
      <c r="I103" s="41">
        <v>0</v>
      </c>
      <c r="J103" s="41">
        <v>1</v>
      </c>
      <c r="K103" s="41">
        <v>0</v>
      </c>
      <c r="L103" s="85">
        <f t="shared" si="16"/>
        <v>79</v>
      </c>
      <c r="N103" s="86">
        <f t="shared" si="12"/>
        <v>0.94969999999999999</v>
      </c>
      <c r="P103" s="84">
        <f t="shared" si="13"/>
        <v>305072.27461190725</v>
      </c>
      <c r="Q103" s="87">
        <f t="shared" si="14"/>
        <v>3861.6743621760411</v>
      </c>
      <c r="S103" s="84">
        <v>282754.32461190724</v>
      </c>
      <c r="T103" s="87">
        <v>3579.1686659735092</v>
      </c>
      <c r="V103" s="90">
        <f t="shared" si="15"/>
        <v>7.8930534592644541E-2</v>
      </c>
      <c r="X103" s="48"/>
      <c r="Y103" s="48"/>
      <c r="Z103" s="66"/>
    </row>
    <row r="104" spans="2:26" ht="13.5" thickBot="1" x14ac:dyDescent="0.3">
      <c r="B104" s="105">
        <v>161</v>
      </c>
      <c r="C104" s="106" t="s">
        <v>116</v>
      </c>
      <c r="D104" s="98"/>
      <c r="E104" s="107">
        <v>95</v>
      </c>
      <c r="F104" s="100">
        <v>1</v>
      </c>
      <c r="G104" s="39">
        <v>1</v>
      </c>
      <c r="H104" s="40">
        <f t="shared" si="11"/>
        <v>95</v>
      </c>
      <c r="I104" s="41">
        <v>0</v>
      </c>
      <c r="J104" s="41">
        <v>1</v>
      </c>
      <c r="K104" s="41">
        <v>0</v>
      </c>
      <c r="L104" s="85">
        <f t="shared" si="16"/>
        <v>95</v>
      </c>
      <c r="N104" s="86">
        <f t="shared" si="12"/>
        <v>1.1419999999999999</v>
      </c>
      <c r="P104" s="84">
        <f t="shared" si="13"/>
        <v>366844.83269116358</v>
      </c>
      <c r="Q104" s="87">
        <f t="shared" si="14"/>
        <v>3861.5245546438273</v>
      </c>
      <c r="S104" s="84">
        <v>340007.83269116358</v>
      </c>
      <c r="T104" s="87">
        <v>3579.0298178017219</v>
      </c>
      <c r="V104" s="90">
        <f t="shared" si="15"/>
        <v>7.8930534592644541E-2</v>
      </c>
      <c r="X104" s="48"/>
      <c r="Y104" s="48"/>
      <c r="Z104" s="66"/>
    </row>
    <row r="105" spans="2:26" ht="13.5" thickBot="1" x14ac:dyDescent="0.3">
      <c r="B105" s="105">
        <v>162</v>
      </c>
      <c r="C105" s="106" t="s">
        <v>217</v>
      </c>
      <c r="D105" s="98"/>
      <c r="E105" s="107">
        <v>95</v>
      </c>
      <c r="F105" s="100">
        <v>1</v>
      </c>
      <c r="G105" s="39">
        <v>1</v>
      </c>
      <c r="H105" s="40">
        <f t="shared" si="11"/>
        <v>95</v>
      </c>
      <c r="I105" s="41">
        <v>0</v>
      </c>
      <c r="J105" s="41">
        <v>1</v>
      </c>
      <c r="K105" s="41">
        <v>0</v>
      </c>
      <c r="L105" s="85">
        <f t="shared" si="16"/>
        <v>95</v>
      </c>
      <c r="N105" s="86">
        <f t="shared" si="12"/>
        <v>1.1419999999999999</v>
      </c>
      <c r="P105" s="84">
        <f t="shared" si="13"/>
        <v>366844.83269116358</v>
      </c>
      <c r="Q105" s="87">
        <f t="shared" si="14"/>
        <v>3861.5245546438273</v>
      </c>
      <c r="S105" s="84">
        <v>340007.83269116358</v>
      </c>
      <c r="T105" s="87">
        <v>3579.0298178017219</v>
      </c>
      <c r="V105" s="90">
        <f t="shared" si="15"/>
        <v>7.8930534592644541E-2</v>
      </c>
      <c r="X105" s="48"/>
      <c r="Y105" s="48"/>
      <c r="Z105" s="66"/>
    </row>
    <row r="106" spans="2:26" ht="13.5" thickBot="1" x14ac:dyDescent="0.3">
      <c r="B106" s="105">
        <v>163</v>
      </c>
      <c r="C106" s="106" t="s">
        <v>175</v>
      </c>
      <c r="D106" s="98"/>
      <c r="E106" s="107">
        <v>67</v>
      </c>
      <c r="F106" s="100">
        <v>1</v>
      </c>
      <c r="G106" s="39">
        <v>1</v>
      </c>
      <c r="H106" s="40">
        <f t="shared" si="11"/>
        <v>67</v>
      </c>
      <c r="I106" s="41">
        <v>0</v>
      </c>
      <c r="J106" s="41">
        <v>1</v>
      </c>
      <c r="K106" s="41">
        <v>0</v>
      </c>
      <c r="L106" s="85">
        <f t="shared" si="16"/>
        <v>67</v>
      </c>
      <c r="N106" s="86">
        <f t="shared" si="12"/>
        <v>0.8054</v>
      </c>
      <c r="P106" s="84">
        <f t="shared" si="13"/>
        <v>258718.76379112358</v>
      </c>
      <c r="Q106" s="87">
        <f t="shared" si="14"/>
        <v>3861.4740864346804</v>
      </c>
      <c r="S106" s="84">
        <v>239791.86379112359</v>
      </c>
      <c r="T106" s="87">
        <v>3578.983041658561</v>
      </c>
      <c r="V106" s="90">
        <f t="shared" si="15"/>
        <v>7.8930534592644541E-2</v>
      </c>
      <c r="X106" s="48"/>
      <c r="Y106" s="48"/>
      <c r="Z106" s="66"/>
    </row>
    <row r="107" spans="2:26" ht="13.5" thickBot="1" x14ac:dyDescent="0.3">
      <c r="B107" s="105">
        <v>164</v>
      </c>
      <c r="C107" s="106" t="s">
        <v>228</v>
      </c>
      <c r="D107" s="98"/>
      <c r="E107" s="107">
        <v>70</v>
      </c>
      <c r="F107" s="100">
        <v>1</v>
      </c>
      <c r="G107" s="39">
        <v>1</v>
      </c>
      <c r="H107" s="40">
        <f t="shared" si="11"/>
        <v>70</v>
      </c>
      <c r="I107" s="41">
        <v>0</v>
      </c>
      <c r="J107" s="41">
        <v>1</v>
      </c>
      <c r="K107" s="41">
        <v>0</v>
      </c>
      <c r="L107" s="85">
        <f t="shared" si="16"/>
        <v>70</v>
      </c>
      <c r="N107" s="86">
        <f t="shared" si="12"/>
        <v>0.84150000000000003</v>
      </c>
      <c r="P107" s="84">
        <f t="shared" si="13"/>
        <v>270315.17225009995</v>
      </c>
      <c r="Q107" s="87">
        <f t="shared" si="14"/>
        <v>3861.6453178585707</v>
      </c>
      <c r="S107" s="84">
        <v>250539.92225009997</v>
      </c>
      <c r="T107" s="87">
        <v>3579.1417464299998</v>
      </c>
      <c r="V107" s="90">
        <f t="shared" si="15"/>
        <v>7.8930534592644541E-2</v>
      </c>
      <c r="X107" s="48"/>
      <c r="Y107" s="48"/>
      <c r="Z107" s="66"/>
    </row>
    <row r="108" spans="2:26" ht="13.5" thickBot="1" x14ac:dyDescent="0.3">
      <c r="B108" s="105">
        <v>165</v>
      </c>
      <c r="C108" s="106" t="s">
        <v>67</v>
      </c>
      <c r="D108" s="98"/>
      <c r="E108" s="107">
        <v>80</v>
      </c>
      <c r="F108" s="100">
        <v>1</v>
      </c>
      <c r="G108" s="39">
        <v>1</v>
      </c>
      <c r="H108" s="40">
        <f t="shared" si="11"/>
        <v>80</v>
      </c>
      <c r="I108" s="41">
        <v>0</v>
      </c>
      <c r="J108" s="41">
        <v>1</v>
      </c>
      <c r="K108" s="41">
        <v>0</v>
      </c>
      <c r="L108" s="85">
        <f t="shared" si="16"/>
        <v>80</v>
      </c>
      <c r="N108" s="86">
        <f t="shared" si="12"/>
        <v>0.9617</v>
      </c>
      <c r="P108" s="84">
        <f t="shared" si="13"/>
        <v>308927.03642652539</v>
      </c>
      <c r="Q108" s="87">
        <f t="shared" si="14"/>
        <v>3861.5879553315672</v>
      </c>
      <c r="S108" s="84">
        <v>286327.08642652543</v>
      </c>
      <c r="T108" s="87">
        <v>3579.0885803315678</v>
      </c>
      <c r="V108" s="90">
        <f t="shared" si="15"/>
        <v>7.8930534592644319E-2</v>
      </c>
      <c r="X108" s="48"/>
      <c r="Y108" s="48"/>
      <c r="Z108" s="66"/>
    </row>
    <row r="109" spans="2:26" ht="13.5" thickBot="1" x14ac:dyDescent="0.3">
      <c r="B109" s="108">
        <v>166</v>
      </c>
      <c r="C109" s="109" t="s">
        <v>117</v>
      </c>
      <c r="D109" s="94"/>
      <c r="E109" s="110">
        <v>300</v>
      </c>
      <c r="F109" s="111">
        <v>0.75</v>
      </c>
      <c r="G109" s="39">
        <v>1</v>
      </c>
      <c r="H109" s="40">
        <f t="shared" si="11"/>
        <v>225</v>
      </c>
      <c r="I109" s="41">
        <v>0</v>
      </c>
      <c r="J109" s="41">
        <v>1</v>
      </c>
      <c r="K109" s="41">
        <v>0</v>
      </c>
      <c r="L109" s="85">
        <f t="shared" si="16"/>
        <v>225</v>
      </c>
      <c r="N109" s="86">
        <f t="shared" si="12"/>
        <v>2.7046999999999999</v>
      </c>
      <c r="P109" s="84">
        <f t="shared" si="13"/>
        <v>868831.18999981624</v>
      </c>
      <c r="Q109" s="87">
        <f t="shared" si="14"/>
        <v>2896.103966666054</v>
      </c>
      <c r="S109" s="84">
        <v>805270.73999981629</v>
      </c>
      <c r="T109" s="87">
        <v>2684.2357999993878</v>
      </c>
      <c r="V109" s="90">
        <f t="shared" si="15"/>
        <v>7.8930534592644541E-2</v>
      </c>
      <c r="X109" s="48"/>
      <c r="Y109" s="48"/>
      <c r="Z109" s="66"/>
    </row>
    <row r="110" spans="2:26" ht="13.5" thickBot="1" x14ac:dyDescent="0.3">
      <c r="B110" s="105">
        <v>166</v>
      </c>
      <c r="C110" s="106" t="s">
        <v>118</v>
      </c>
      <c r="D110" s="98"/>
      <c r="E110" s="107">
        <v>92</v>
      </c>
      <c r="F110" s="100">
        <v>1</v>
      </c>
      <c r="G110" s="39">
        <v>1</v>
      </c>
      <c r="H110" s="40">
        <f t="shared" si="11"/>
        <v>92</v>
      </c>
      <c r="I110" s="41">
        <v>0</v>
      </c>
      <c r="J110" s="41">
        <v>1</v>
      </c>
      <c r="K110" s="41">
        <v>0</v>
      </c>
      <c r="L110" s="85">
        <f t="shared" si="16"/>
        <v>92</v>
      </c>
      <c r="N110" s="86">
        <f t="shared" si="12"/>
        <v>1.1059000000000001</v>
      </c>
      <c r="P110" s="84">
        <f t="shared" si="13"/>
        <v>355248.42423218727</v>
      </c>
      <c r="Q110" s="87">
        <f t="shared" si="14"/>
        <v>3861.3959155672528</v>
      </c>
      <c r="S110" s="84">
        <v>329259.77423218725</v>
      </c>
      <c r="T110" s="87">
        <v>3578.910589480296</v>
      </c>
      <c r="V110" s="90">
        <f t="shared" si="15"/>
        <v>7.8930534592644541E-2</v>
      </c>
      <c r="X110" s="48"/>
      <c r="Y110" s="48"/>
    </row>
    <row r="111" spans="2:26" ht="13.5" thickBot="1" x14ac:dyDescent="0.3">
      <c r="B111" s="144">
        <v>307</v>
      </c>
      <c r="C111" s="145" t="s">
        <v>176</v>
      </c>
      <c r="D111" s="98"/>
      <c r="E111" s="147">
        <v>128.19999999999999</v>
      </c>
      <c r="F111" s="148">
        <v>1</v>
      </c>
      <c r="G111" s="156">
        <v>1</v>
      </c>
      <c r="H111" s="157">
        <f t="shared" si="11"/>
        <v>128.19999999999999</v>
      </c>
      <c r="I111" s="158">
        <v>0</v>
      </c>
      <c r="J111" s="158">
        <v>1</v>
      </c>
      <c r="K111" s="158">
        <v>0</v>
      </c>
      <c r="L111" s="159">
        <f t="shared" si="16"/>
        <v>128.19999999999999</v>
      </c>
      <c r="N111" s="182">
        <f t="shared" si="12"/>
        <v>1.5410999999999999</v>
      </c>
      <c r="P111" s="146">
        <f t="shared" si="13"/>
        <v>495047.78604233987</v>
      </c>
      <c r="Q111" s="89">
        <f t="shared" si="14"/>
        <v>3861.52719221794</v>
      </c>
      <c r="S111" s="146">
        <v>458831.93604233989</v>
      </c>
      <c r="T111" s="89">
        <v>3579.0322624207483</v>
      </c>
      <c r="V111" s="90">
        <f t="shared" si="15"/>
        <v>7.8930534592644541E-2</v>
      </c>
      <c r="X111" s="48"/>
      <c r="Y111" s="48"/>
    </row>
    <row r="112" spans="2:26" ht="13.5" thickBot="1" x14ac:dyDescent="0.3">
      <c r="B112" s="144">
        <v>26</v>
      </c>
      <c r="C112" s="145" t="s">
        <v>233</v>
      </c>
      <c r="D112" s="98"/>
      <c r="E112" s="147">
        <v>51</v>
      </c>
      <c r="F112" s="148">
        <v>1</v>
      </c>
      <c r="G112" s="156">
        <v>1</v>
      </c>
      <c r="H112" s="157">
        <f t="shared" si="11"/>
        <v>51</v>
      </c>
      <c r="I112" s="158">
        <v>0</v>
      </c>
      <c r="J112" s="158">
        <v>1</v>
      </c>
      <c r="K112" s="158">
        <v>0</v>
      </c>
      <c r="L112" s="159">
        <f t="shared" si="16"/>
        <v>51</v>
      </c>
      <c r="N112" s="182">
        <f t="shared" si="12"/>
        <v>0.61309999999999998</v>
      </c>
      <c r="P112" s="146">
        <f t="shared" si="13"/>
        <v>196946.20571186725</v>
      </c>
      <c r="Q112" s="89">
        <f t="shared" si="14"/>
        <v>3861.6903080758284</v>
      </c>
      <c r="R112" s="146">
        <f>($P$12*P112)/100</f>
        <v>63265059442.670258</v>
      </c>
      <c r="S112" s="146">
        <v>182538.35571186725</v>
      </c>
      <c r="T112" s="89">
        <v>3579.1834453307301</v>
      </c>
      <c r="U112" s="146">
        <f>($P$12*S112)/100</f>
        <v>58636823608.441368</v>
      </c>
      <c r="V112" s="90">
        <f t="shared" si="15"/>
        <v>7.8930534592644541E-2</v>
      </c>
      <c r="X112" s="48"/>
      <c r="Y112" s="48"/>
    </row>
    <row r="113" spans="2:26" ht="13.5" thickBot="1" x14ac:dyDescent="0.3">
      <c r="B113" s="112">
        <v>402</v>
      </c>
      <c r="C113" s="113" t="s">
        <v>226</v>
      </c>
      <c r="D113" s="94"/>
      <c r="E113" s="136">
        <v>292</v>
      </c>
      <c r="F113" s="114">
        <v>0.51400000000000001</v>
      </c>
      <c r="G113" s="156">
        <v>1</v>
      </c>
      <c r="H113" s="157">
        <f t="shared" si="11"/>
        <v>150.09</v>
      </c>
      <c r="I113" s="158">
        <v>0</v>
      </c>
      <c r="J113" s="158">
        <v>1</v>
      </c>
      <c r="K113" s="158">
        <v>0</v>
      </c>
      <c r="L113" s="159">
        <f t="shared" si="16"/>
        <v>150.09</v>
      </c>
      <c r="N113" s="182">
        <f t="shared" si="12"/>
        <v>1.8042</v>
      </c>
      <c r="P113" s="146">
        <f t="shared" si="13"/>
        <v>579563.43882784364</v>
      </c>
      <c r="Q113" s="89">
        <f t="shared" si="14"/>
        <v>1984.8062973556289</v>
      </c>
      <c r="S113" s="146">
        <v>537164.73882784357</v>
      </c>
      <c r="T113" s="89">
        <v>1839.6052699583684</v>
      </c>
      <c r="V113" s="90">
        <f t="shared" si="15"/>
        <v>7.8930534592644763E-2</v>
      </c>
      <c r="X113" s="48"/>
      <c r="Y113" s="48"/>
    </row>
    <row r="114" spans="2:26" ht="13.5" thickBot="1" x14ac:dyDescent="0.3">
      <c r="I114" s="3"/>
      <c r="S114" s="137"/>
      <c r="T114" s="137"/>
    </row>
    <row r="115" spans="2:26" ht="13.5" thickBot="1" x14ac:dyDescent="0.3">
      <c r="B115" s="50" t="s">
        <v>119</v>
      </c>
      <c r="C115" s="51"/>
      <c r="E115" s="52">
        <f>SUM(E14:E89)+SUM(E91:E113)</f>
        <v>11856.204999999998</v>
      </c>
      <c r="F115" s="35"/>
      <c r="G115" s="53"/>
      <c r="H115" s="35"/>
      <c r="I115" s="35"/>
      <c r="J115" s="35"/>
      <c r="K115" s="35"/>
      <c r="L115" s="54">
        <f>SUM(L14:L89)+SUM(L91:L113)</f>
        <v>8318.7000000000007</v>
      </c>
      <c r="N115" s="183">
        <f>SUM(N14:N89)+SUM(N91:N113)</f>
        <v>99.999800000000036</v>
      </c>
      <c r="P115" s="55">
        <f>SUM(P14:P89)+SUM(P91:P113)</f>
        <v>32122950.875787925</v>
      </c>
      <c r="Q115" s="56"/>
      <c r="S115" s="55">
        <v>22011445.05849319</v>
      </c>
      <c r="T115" s="56"/>
      <c r="X115" s="57">
        <f>SUM(X14:X89)</f>
        <v>1166659.7300000002</v>
      </c>
      <c r="Y115" s="58">
        <f>SUM(Y14:Y89)</f>
        <v>23409823.941309921</v>
      </c>
    </row>
    <row r="116" spans="2:26" x14ac:dyDescent="0.25">
      <c r="E116" s="204"/>
      <c r="F116" s="204"/>
      <c r="G116" s="59"/>
      <c r="H116" s="17"/>
      <c r="I116" s="60"/>
      <c r="J116" s="61"/>
      <c r="S116" s="4"/>
      <c r="T116" s="4"/>
    </row>
    <row r="117" spans="2:26" x14ac:dyDescent="0.25">
      <c r="E117" s="143"/>
      <c r="I117" s="3"/>
      <c r="Q117" s="62"/>
      <c r="R117" s="62"/>
      <c r="S117" s="138"/>
      <c r="T117" s="48"/>
      <c r="U117" s="62"/>
      <c r="V117" s="62"/>
      <c r="W117" s="62"/>
      <c r="Y117" s="17"/>
    </row>
    <row r="118" spans="2:26" x14ac:dyDescent="0.25">
      <c r="E118" s="165"/>
      <c r="H118" s="17"/>
      <c r="I118" s="17"/>
      <c r="P118" s="4" t="s">
        <v>120</v>
      </c>
      <c r="Q118" s="4">
        <f>SUM(L14:L89)</f>
        <v>6475.2200000000012</v>
      </c>
      <c r="Y118" s="17"/>
      <c r="Z118" s="17"/>
    </row>
    <row r="119" spans="2:26" x14ac:dyDescent="0.25">
      <c r="E119" s="165"/>
      <c r="P119" s="4" t="s">
        <v>121</v>
      </c>
      <c r="Q119" s="4">
        <f>SUM(L91:L113)</f>
        <v>1843.48</v>
      </c>
    </row>
    <row r="120" spans="2:26" x14ac:dyDescent="0.25">
      <c r="E120" s="165"/>
      <c r="P120" s="63" t="s">
        <v>122</v>
      </c>
      <c r="Q120" s="63">
        <f>Q118+Q119</f>
        <v>8318.7000000000007</v>
      </c>
      <c r="S120" s="64">
        <f>(Q120/Q118)-1</f>
        <v>0.28469766278211384</v>
      </c>
    </row>
    <row r="121" spans="2:26" x14ac:dyDescent="0.25">
      <c r="C121" s="205"/>
      <c r="D121" s="205"/>
      <c r="E121" s="205"/>
      <c r="F121" s="17"/>
    </row>
    <row r="122" spans="2:26" x14ac:dyDescent="0.25">
      <c r="E122" s="165"/>
    </row>
    <row r="123" spans="2:26" x14ac:dyDescent="0.25">
      <c r="C123" s="192"/>
      <c r="D123" s="192"/>
      <c r="E123" s="192"/>
    </row>
    <row r="124" spans="2:26" x14ac:dyDescent="0.25">
      <c r="E124" s="165"/>
      <c r="I124" s="65"/>
    </row>
    <row r="125" spans="2:26" x14ac:dyDescent="0.25">
      <c r="C125" s="192"/>
      <c r="D125" s="192"/>
      <c r="E125" s="192"/>
      <c r="F125" s="17"/>
      <c r="T125" s="23"/>
    </row>
    <row r="126" spans="2:26" x14ac:dyDescent="0.25">
      <c r="B126" s="1" t="s">
        <v>202</v>
      </c>
      <c r="E126" s="165"/>
      <c r="I126" s="65"/>
    </row>
    <row r="127" spans="2:26" x14ac:dyDescent="0.25">
      <c r="C127" s="192"/>
      <c r="D127" s="192"/>
      <c r="E127" s="192"/>
      <c r="F127" s="3"/>
    </row>
    <row r="129" spans="2:28" x14ac:dyDescent="0.25">
      <c r="F129" s="17"/>
    </row>
    <row r="132" spans="2:28" s="2" customFormat="1" x14ac:dyDescent="0.25">
      <c r="B132" s="1"/>
      <c r="C132" s="3"/>
      <c r="D132" s="1"/>
      <c r="E132" s="61"/>
      <c r="F132" s="1"/>
      <c r="H132" s="1"/>
      <c r="I132" s="1"/>
      <c r="J132" s="1"/>
      <c r="K132" s="1"/>
      <c r="L132" s="1"/>
      <c r="M132" s="1"/>
      <c r="N132" s="1"/>
      <c r="O132" s="1"/>
      <c r="P132" s="4"/>
      <c r="Q132" s="4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s="2" customFormat="1" x14ac:dyDescent="0.25">
      <c r="B133" s="1"/>
      <c r="C133" s="1"/>
      <c r="D133" s="1"/>
      <c r="E133" s="1"/>
      <c r="F133" s="20"/>
      <c r="H133" s="1"/>
      <c r="I133" s="1"/>
      <c r="J133" s="1"/>
      <c r="K133" s="1"/>
      <c r="L133" s="1"/>
      <c r="M133" s="1"/>
      <c r="N133" s="1"/>
      <c r="O133" s="1"/>
      <c r="P133" s="4"/>
      <c r="Q133" s="4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s="2" customFormat="1" x14ac:dyDescent="0.25">
      <c r="B134" s="1"/>
      <c r="C134" s="20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4"/>
      <c r="Q134" s="4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s="2" customFormat="1" x14ac:dyDescent="0.25">
      <c r="B135" s="1"/>
      <c r="C135" s="66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4"/>
      <c r="Q135" s="4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</row>
  </sheetData>
  <mergeCells count="8">
    <mergeCell ref="C125:E125"/>
    <mergeCell ref="C127:E127"/>
    <mergeCell ref="B2:M6"/>
    <mergeCell ref="S12:T12"/>
    <mergeCell ref="X12:Y12"/>
    <mergeCell ref="E116:F116"/>
    <mergeCell ref="C121:E121"/>
    <mergeCell ref="C123:E12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3AAA-DC3F-44D9-A928-F47F1E87A2D9}">
  <sheetPr>
    <tabColor theme="4" tint="0.39997558519241921"/>
  </sheetPr>
  <dimension ref="A1:AB135"/>
  <sheetViews>
    <sheetView topLeftCell="I1" zoomScale="85" zoomScaleNormal="70" workbookViewId="0">
      <selection activeCell="T9" sqref="T9"/>
    </sheetView>
  </sheetViews>
  <sheetFormatPr baseColWidth="10" defaultColWidth="10.81640625" defaultRowHeight="13" x14ac:dyDescent="0.25"/>
  <cols>
    <col min="1" max="1" width="4.453125" style="1" customWidth="1"/>
    <col min="2" max="2" width="19.54296875" style="1" customWidth="1"/>
    <col min="3" max="3" width="29.453125" style="1" customWidth="1"/>
    <col min="4" max="4" width="1.453125" style="1" customWidth="1"/>
    <col min="5" max="5" width="11.453125" style="1" customWidth="1"/>
    <col min="6" max="6" width="14.453125" style="1" customWidth="1"/>
    <col min="7" max="7" width="13.81640625" style="2" customWidth="1"/>
    <col min="8" max="8" width="13.453125" style="1" customWidth="1"/>
    <col min="9" max="9" width="12.453125" style="1" customWidth="1"/>
    <col min="10" max="11" width="11.453125" style="1" customWidth="1"/>
    <col min="12" max="12" width="8.26953125" style="1" customWidth="1"/>
    <col min="13" max="13" width="0.1796875" style="1" customWidth="1"/>
    <col min="14" max="14" width="19.453125" style="1" customWidth="1"/>
    <col min="15" max="15" width="0.1796875" style="1" customWidth="1"/>
    <col min="16" max="16" width="22.7265625" style="4" customWidth="1"/>
    <col min="17" max="17" width="15" style="4" customWidth="1"/>
    <col min="18" max="18" width="1.7265625" style="1" customWidth="1"/>
    <col min="19" max="19" width="17.26953125" style="5" bestFit="1" customWidth="1"/>
    <col min="20" max="20" width="17.54296875" style="1" customWidth="1"/>
    <col min="21" max="21" width="1.7265625" style="1" customWidth="1"/>
    <col min="22" max="22" width="13.1796875" style="1" customWidth="1"/>
    <col min="23" max="23" width="1.7265625" style="1" customWidth="1"/>
    <col min="24" max="24" width="14.453125" style="1" bestFit="1" customWidth="1"/>
    <col min="25" max="25" width="15.81640625" style="1" customWidth="1"/>
    <col min="26" max="26" width="14.26953125" style="1" customWidth="1"/>
    <col min="27" max="27" width="11.81640625" style="1" bestFit="1" customWidth="1"/>
    <col min="28" max="28" width="15.7265625" style="1" customWidth="1"/>
    <col min="29" max="16384" width="10.81640625" style="1"/>
  </cols>
  <sheetData>
    <row r="1" spans="2:28" ht="13.5" thickBot="1" x14ac:dyDescent="0.3">
      <c r="I1" s="3"/>
    </row>
    <row r="2" spans="2:28" ht="13.5" thickBot="1" x14ac:dyDescent="0.3">
      <c r="B2" s="193" t="s">
        <v>232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P2" s="6" t="s">
        <v>0</v>
      </c>
      <c r="Q2" s="7">
        <f>T10</f>
        <v>40413389.831818178</v>
      </c>
      <c r="R2" s="8"/>
      <c r="S2" s="9" t="s">
        <v>1</v>
      </c>
      <c r="T2" s="10">
        <f>519334.36+137332.91+33332.73</f>
        <v>690000</v>
      </c>
      <c r="U2" s="8"/>
      <c r="W2" s="8"/>
    </row>
    <row r="3" spans="2:28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8"/>
      <c r="O3" s="11" t="s">
        <v>2</v>
      </c>
      <c r="P3" s="12"/>
      <c r="Q3" s="13"/>
      <c r="S3" s="9" t="s">
        <v>3</v>
      </c>
      <c r="T3" s="10"/>
    </row>
    <row r="4" spans="2:28" x14ac:dyDescent="0.25"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8"/>
      <c r="O4" s="14" t="s">
        <v>4</v>
      </c>
      <c r="P4" s="15"/>
      <c r="Q4" s="16"/>
      <c r="S4" s="9" t="s">
        <v>5</v>
      </c>
      <c r="T4" s="17">
        <v>119150</v>
      </c>
    </row>
    <row r="5" spans="2:28" ht="14.5" x14ac:dyDescent="0.35">
      <c r="B5" s="196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8"/>
      <c r="O5" s="14" t="s">
        <v>6</v>
      </c>
      <c r="P5" s="18" t="s">
        <v>7</v>
      </c>
      <c r="Q5" s="19">
        <f>739202+352914.16</f>
        <v>1092116.1599999999</v>
      </c>
      <c r="S5" s="9" t="s">
        <v>8</v>
      </c>
      <c r="T5" s="17">
        <v>27642</v>
      </c>
      <c r="V5" s="20"/>
      <c r="Y5" s="21"/>
    </row>
    <row r="6" spans="2:28" ht="15" thickBot="1" x14ac:dyDescent="0.4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O6" s="14" t="s">
        <v>9</v>
      </c>
      <c r="P6" s="18" t="s">
        <v>220</v>
      </c>
      <c r="Q6" s="16">
        <v>4891971.71</v>
      </c>
      <c r="S6" s="9" t="s">
        <v>10</v>
      </c>
      <c r="T6" s="77">
        <v>3603000.02</v>
      </c>
      <c r="V6" s="22"/>
      <c r="Y6" s="149"/>
      <c r="AB6" s="22"/>
    </row>
    <row r="7" spans="2:28" ht="13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0"/>
      <c r="O7" s="14" t="s">
        <v>11</v>
      </c>
      <c r="P7" s="25" t="s">
        <v>12</v>
      </c>
      <c r="Q7" s="19">
        <v>199164</v>
      </c>
      <c r="S7" s="9" t="s">
        <v>13</v>
      </c>
      <c r="T7" s="17">
        <f>Premisas!D11</f>
        <v>1043597.8118181818</v>
      </c>
      <c r="V7" s="20"/>
      <c r="Y7" s="149"/>
    </row>
    <row r="8" spans="2:28" ht="13" customHeight="1" x14ac:dyDescent="0.25">
      <c r="B8" s="26" t="s">
        <v>14</v>
      </c>
      <c r="C8" s="102"/>
      <c r="D8" s="24"/>
      <c r="E8" s="24"/>
      <c r="F8" s="24"/>
      <c r="G8" s="24"/>
      <c r="H8" s="24"/>
      <c r="I8" s="24"/>
      <c r="J8" s="24"/>
      <c r="K8" s="24"/>
      <c r="L8" s="24"/>
      <c r="M8" s="24"/>
      <c r="O8" s="14" t="s">
        <v>15</v>
      </c>
      <c r="P8" s="18" t="s">
        <v>181</v>
      </c>
      <c r="Q8" s="16">
        <v>480877.38</v>
      </c>
      <c r="S8" s="9" t="s">
        <v>16</v>
      </c>
      <c r="T8" s="17">
        <v>600000</v>
      </c>
    </row>
    <row r="9" spans="2:28" ht="13" customHeight="1" thickBot="1" x14ac:dyDescent="0.3">
      <c r="B9" s="26" t="s">
        <v>17</v>
      </c>
      <c r="C9" s="95"/>
      <c r="D9" s="24"/>
      <c r="E9" s="24"/>
      <c r="F9" s="24"/>
      <c r="G9" s="24"/>
      <c r="H9" s="24"/>
      <c r="I9" s="24"/>
      <c r="J9" s="24"/>
      <c r="K9" s="24"/>
      <c r="L9" s="24"/>
      <c r="M9" s="24"/>
      <c r="O9" s="27" t="s">
        <v>18</v>
      </c>
      <c r="P9" s="28"/>
      <c r="Q9" s="29">
        <v>0</v>
      </c>
      <c r="S9" s="9"/>
      <c r="T9" s="30">
        <f>29380000+2350000+2600000</f>
        <v>34330000</v>
      </c>
      <c r="V9" s="31"/>
      <c r="W9" s="32"/>
      <c r="X9" s="150"/>
    </row>
    <row r="10" spans="2:28" ht="13.5" thickBot="1" x14ac:dyDescent="0.3">
      <c r="B10" s="26" t="s">
        <v>19</v>
      </c>
      <c r="C10" s="80"/>
      <c r="I10" s="3"/>
      <c r="P10" s="6" t="s">
        <v>20</v>
      </c>
      <c r="Q10" s="34">
        <f>Q2-Q3-Q4-Q5-Q6-Q7-Q8-Q9</f>
        <v>33749260.581818178</v>
      </c>
      <c r="S10" s="5" t="s">
        <v>21</v>
      </c>
      <c r="T10" s="17">
        <f>SUM(T2:T9)</f>
        <v>40413389.831818178</v>
      </c>
      <c r="V10" s="138"/>
      <c r="W10" s="32"/>
      <c r="X10" s="33"/>
      <c r="Z10" s="138"/>
    </row>
    <row r="11" spans="2:28" ht="13.5" thickBot="1" x14ac:dyDescent="0.3">
      <c r="I11" s="3"/>
    </row>
    <row r="12" spans="2:28" ht="26.5" thickBot="1" x14ac:dyDescent="0.3">
      <c r="B12" s="119" t="s">
        <v>22</v>
      </c>
      <c r="C12" s="120" t="s">
        <v>23</v>
      </c>
      <c r="E12" s="119" t="s">
        <v>24</v>
      </c>
      <c r="F12" s="121" t="s">
        <v>25</v>
      </c>
      <c r="G12" s="122" t="s">
        <v>26</v>
      </c>
      <c r="H12" s="123" t="s">
        <v>27</v>
      </c>
      <c r="I12" s="124" t="s">
        <v>28</v>
      </c>
      <c r="J12" s="121" t="s">
        <v>29</v>
      </c>
      <c r="K12" s="121" t="s">
        <v>30</v>
      </c>
      <c r="L12" s="120" t="s">
        <v>31</v>
      </c>
      <c r="M12" s="125"/>
      <c r="N12" s="180" t="s">
        <v>32</v>
      </c>
      <c r="O12" s="125"/>
      <c r="P12" s="126">
        <f>+Q10</f>
        <v>33749260.581818178</v>
      </c>
      <c r="Q12" s="127" t="s">
        <v>33</v>
      </c>
      <c r="S12" s="202" t="s">
        <v>241</v>
      </c>
      <c r="T12" s="203"/>
      <c r="V12" s="128" t="s">
        <v>34</v>
      </c>
      <c r="X12" s="202" t="s">
        <v>35</v>
      </c>
      <c r="Y12" s="203"/>
    </row>
    <row r="13" spans="2:28" ht="7" customHeight="1" thickBot="1" x14ac:dyDescent="0.3">
      <c r="I13" s="3"/>
      <c r="X13" s="5"/>
    </row>
    <row r="14" spans="2:28" x14ac:dyDescent="0.25">
      <c r="B14" s="160" t="s">
        <v>36</v>
      </c>
      <c r="C14" s="161" t="s">
        <v>198</v>
      </c>
      <c r="D14" s="94"/>
      <c r="E14" s="162">
        <v>211</v>
      </c>
      <c r="F14" s="163">
        <v>0.9</v>
      </c>
      <c r="G14" s="37">
        <v>1</v>
      </c>
      <c r="H14" s="38">
        <f t="shared" ref="H14:H85" si="0">ROUND(E14*G14*F14,2)</f>
        <v>189.9</v>
      </c>
      <c r="I14" s="36">
        <v>0</v>
      </c>
      <c r="J14" s="36">
        <v>1</v>
      </c>
      <c r="K14" s="36">
        <f t="shared" ref="K14:K84" si="1">ROUND(I14*J14,2)</f>
        <v>0</v>
      </c>
      <c r="L14" s="153">
        <f t="shared" ref="L14:L84" si="2">H14+K14</f>
        <v>189.9</v>
      </c>
      <c r="N14" s="181">
        <f t="shared" ref="N14:N77" si="3">ROUND((L14/$L$115)*100,4)</f>
        <v>2.2827999999999999</v>
      </c>
      <c r="P14" s="152">
        <f t="shared" ref="P14:P85" si="4">($P$12*N14)/100</f>
        <v>770428.12056174537</v>
      </c>
      <c r="Q14" s="154">
        <f t="shared" ref="Q14:Q85" si="5">P14/E14</f>
        <v>3651.318106927703</v>
      </c>
      <c r="R14" s="2"/>
      <c r="S14" s="152">
        <v>733304.18920086534</v>
      </c>
      <c r="T14" s="154">
        <v>3475.3753042695039</v>
      </c>
      <c r="U14" s="2"/>
      <c r="V14" s="155">
        <f t="shared" ref="V14:V78" si="6">(P14/S14)-1</f>
        <v>5.0625554725572508E-2</v>
      </c>
      <c r="W14" s="2"/>
      <c r="X14" s="152">
        <v>43179.58</v>
      </c>
      <c r="Y14" s="154">
        <f t="shared" ref="Y14:Y48" si="7">+P14-X14</f>
        <v>727248.54056174541</v>
      </c>
      <c r="Z14" s="4"/>
    </row>
    <row r="15" spans="2:28" x14ac:dyDescent="0.25">
      <c r="B15" s="96" t="s">
        <v>37</v>
      </c>
      <c r="C15" s="97" t="s">
        <v>38</v>
      </c>
      <c r="D15" s="98"/>
      <c r="E15" s="99">
        <f>140.4+64.1</f>
        <v>204.5</v>
      </c>
      <c r="F15" s="100">
        <v>1</v>
      </c>
      <c r="G15" s="39">
        <v>1</v>
      </c>
      <c r="H15" s="40">
        <f t="shared" si="0"/>
        <v>204.5</v>
      </c>
      <c r="I15" s="41">
        <v>0</v>
      </c>
      <c r="J15" s="41">
        <v>1</v>
      </c>
      <c r="K15" s="41">
        <f t="shared" si="1"/>
        <v>0</v>
      </c>
      <c r="L15" s="85">
        <f t="shared" si="2"/>
        <v>204.5</v>
      </c>
      <c r="N15" s="86">
        <f t="shared" si="3"/>
        <v>2.4582999999999999</v>
      </c>
      <c r="P15" s="84">
        <f t="shared" si="4"/>
        <v>829658.07288283634</v>
      </c>
      <c r="Q15" s="91">
        <f t="shared" si="5"/>
        <v>4057.0076913586131</v>
      </c>
      <c r="S15" s="84">
        <v>789680.08073965623</v>
      </c>
      <c r="T15" s="91">
        <v>3861.5162872354827</v>
      </c>
      <c r="V15" s="88">
        <f t="shared" si="6"/>
        <v>5.062555472557273E-2</v>
      </c>
      <c r="X15" s="84">
        <v>26671.86</v>
      </c>
      <c r="Y15" s="87">
        <f t="shared" si="7"/>
        <v>802986.21288283635</v>
      </c>
      <c r="Z15" s="4"/>
    </row>
    <row r="16" spans="2:28" x14ac:dyDescent="0.25">
      <c r="B16" s="96" t="s">
        <v>39</v>
      </c>
      <c r="C16" s="97" t="s">
        <v>40</v>
      </c>
      <c r="D16" s="98"/>
      <c r="E16" s="99">
        <v>81.3</v>
      </c>
      <c r="F16" s="100">
        <v>1</v>
      </c>
      <c r="G16" s="39">
        <v>1</v>
      </c>
      <c r="H16" s="40">
        <f t="shared" si="0"/>
        <v>81.3</v>
      </c>
      <c r="I16" s="41">
        <v>0</v>
      </c>
      <c r="J16" s="41">
        <v>1</v>
      </c>
      <c r="K16" s="41">
        <f t="shared" si="1"/>
        <v>0</v>
      </c>
      <c r="L16" s="85">
        <f t="shared" si="2"/>
        <v>81.3</v>
      </c>
      <c r="N16" s="86">
        <f t="shared" si="3"/>
        <v>0.97729999999999995</v>
      </c>
      <c r="P16" s="84">
        <f t="shared" si="4"/>
        <v>329831.52366610902</v>
      </c>
      <c r="Q16" s="91">
        <f t="shared" si="5"/>
        <v>4056.9683107762489</v>
      </c>
      <c r="S16" s="84">
        <v>313938.22678552906</v>
      </c>
      <c r="T16" s="91">
        <v>3861.47880425005</v>
      </c>
      <c r="V16" s="88">
        <f t="shared" si="6"/>
        <v>5.0625554725572508E-2</v>
      </c>
      <c r="X16" s="84">
        <v>15444.87</v>
      </c>
      <c r="Y16" s="87">
        <f t="shared" si="7"/>
        <v>314386.65366610902</v>
      </c>
      <c r="Z16" s="4"/>
    </row>
    <row r="17" spans="1:26" x14ac:dyDescent="0.25">
      <c r="B17" s="96" t="s">
        <v>41</v>
      </c>
      <c r="C17" s="97" t="s">
        <v>42</v>
      </c>
      <c r="D17" s="98"/>
      <c r="E17" s="99">
        <v>56.6</v>
      </c>
      <c r="F17" s="100">
        <v>1</v>
      </c>
      <c r="G17" s="39">
        <v>1</v>
      </c>
      <c r="H17" s="40">
        <f t="shared" si="0"/>
        <v>56.6</v>
      </c>
      <c r="I17" s="41">
        <v>0</v>
      </c>
      <c r="J17" s="41">
        <v>1</v>
      </c>
      <c r="K17" s="41">
        <f t="shared" si="1"/>
        <v>0</v>
      </c>
      <c r="L17" s="85">
        <f t="shared" si="2"/>
        <v>56.6</v>
      </c>
      <c r="N17" s="86">
        <f t="shared" si="3"/>
        <v>0.6804</v>
      </c>
      <c r="P17" s="84">
        <f t="shared" si="4"/>
        <v>229629.96899869089</v>
      </c>
      <c r="Q17" s="91">
        <f t="shared" si="5"/>
        <v>4057.0665900828781</v>
      </c>
      <c r="S17" s="84">
        <v>218564.9948888509</v>
      </c>
      <c r="T17" s="91">
        <v>3861.5723478595564</v>
      </c>
      <c r="V17" s="88">
        <f t="shared" si="6"/>
        <v>5.0625554725572508E-2</v>
      </c>
      <c r="X17" s="84">
        <v>10752.68</v>
      </c>
      <c r="Y17" s="87">
        <f t="shared" si="7"/>
        <v>218877.2889986909</v>
      </c>
      <c r="Z17" s="4"/>
    </row>
    <row r="18" spans="1:26" x14ac:dyDescent="0.25">
      <c r="A18" s="1" t="s">
        <v>230</v>
      </c>
      <c r="B18" s="96" t="s">
        <v>43</v>
      </c>
      <c r="C18" s="97" t="s">
        <v>129</v>
      </c>
      <c r="D18" s="98"/>
      <c r="E18" s="99">
        <v>24.35</v>
      </c>
      <c r="F18" s="100">
        <v>1</v>
      </c>
      <c r="G18" s="39">
        <v>1</v>
      </c>
      <c r="H18" s="40">
        <f t="shared" si="0"/>
        <v>24.35</v>
      </c>
      <c r="I18" s="41">
        <v>0</v>
      </c>
      <c r="J18" s="41">
        <v>1</v>
      </c>
      <c r="K18" s="41">
        <f t="shared" si="1"/>
        <v>0</v>
      </c>
      <c r="L18" s="85">
        <f t="shared" si="2"/>
        <v>24.35</v>
      </c>
      <c r="N18" s="86">
        <f t="shared" si="3"/>
        <v>0.29270000000000002</v>
      </c>
      <c r="P18" s="84">
        <f t="shared" si="4"/>
        <v>98784.085722981821</v>
      </c>
      <c r="Q18" s="91">
        <f t="shared" si="5"/>
        <v>4056.8413027918609</v>
      </c>
      <c r="S18" s="84">
        <v>94024.065261561816</v>
      </c>
      <c r="T18" s="91">
        <v>3861.357916285906</v>
      </c>
      <c r="V18" s="88">
        <f t="shared" si="6"/>
        <v>5.0625554725572508E-2</v>
      </c>
      <c r="X18" s="84">
        <v>4625.1400000000003</v>
      </c>
      <c r="Y18" s="87">
        <f t="shared" si="7"/>
        <v>94158.945722981822</v>
      </c>
      <c r="Z18" s="4"/>
    </row>
    <row r="19" spans="1:26" x14ac:dyDescent="0.25">
      <c r="B19" s="96" t="s">
        <v>44</v>
      </c>
      <c r="C19" s="97" t="s">
        <v>45</v>
      </c>
      <c r="D19" s="98"/>
      <c r="E19" s="99">
        <v>55.25</v>
      </c>
      <c r="F19" s="100">
        <v>1</v>
      </c>
      <c r="G19" s="39">
        <v>1</v>
      </c>
      <c r="H19" s="40">
        <f t="shared" si="0"/>
        <v>55.25</v>
      </c>
      <c r="I19" s="41">
        <v>0</v>
      </c>
      <c r="J19" s="41">
        <v>1</v>
      </c>
      <c r="K19" s="41">
        <f t="shared" si="1"/>
        <v>0</v>
      </c>
      <c r="L19" s="85">
        <f t="shared" si="2"/>
        <v>55.25</v>
      </c>
      <c r="N19" s="86">
        <f t="shared" si="3"/>
        <v>0.66420000000000001</v>
      </c>
      <c r="P19" s="84">
        <f t="shared" si="4"/>
        <v>224162.58878443635</v>
      </c>
      <c r="Q19" s="87">
        <f t="shared" si="5"/>
        <v>4057.2414259626489</v>
      </c>
      <c r="S19" s="84">
        <v>213361.06643911634</v>
      </c>
      <c r="T19" s="87">
        <v>3861.738759079029</v>
      </c>
      <c r="V19" s="88">
        <f t="shared" si="6"/>
        <v>5.0625554725572508E-2</v>
      </c>
      <c r="X19" s="84">
        <v>10495.66</v>
      </c>
      <c r="Y19" s="87">
        <f t="shared" si="7"/>
        <v>213666.92878443634</v>
      </c>
      <c r="Z19" s="4"/>
    </row>
    <row r="20" spans="1:26" x14ac:dyDescent="0.25">
      <c r="B20" s="101" t="s">
        <v>46</v>
      </c>
      <c r="C20" s="97" t="s">
        <v>123</v>
      </c>
      <c r="D20" s="98"/>
      <c r="E20" s="99">
        <v>48.9</v>
      </c>
      <c r="F20" s="100">
        <v>1</v>
      </c>
      <c r="G20" s="39">
        <v>1</v>
      </c>
      <c r="H20" s="40">
        <f t="shared" si="0"/>
        <v>48.9</v>
      </c>
      <c r="I20" s="41">
        <v>0</v>
      </c>
      <c r="J20" s="41">
        <v>1</v>
      </c>
      <c r="K20" s="41">
        <f t="shared" si="1"/>
        <v>0</v>
      </c>
      <c r="L20" s="85">
        <f t="shared" si="2"/>
        <v>48.9</v>
      </c>
      <c r="N20" s="86">
        <f t="shared" si="3"/>
        <v>0.58779999999999999</v>
      </c>
      <c r="P20" s="84">
        <f t="shared" si="4"/>
        <v>198378.15369992726</v>
      </c>
      <c r="Q20" s="87">
        <f t="shared" si="5"/>
        <v>4056.8129590987173</v>
      </c>
      <c r="S20" s="84">
        <v>188819.08288604725</v>
      </c>
      <c r="T20" s="87">
        <v>3861.3309383649748</v>
      </c>
      <c r="V20" s="88">
        <f t="shared" si="6"/>
        <v>5.0625554725572508E-2</v>
      </c>
      <c r="X20" s="84">
        <v>9290.02</v>
      </c>
      <c r="Y20" s="87">
        <f t="shared" si="7"/>
        <v>189088.13369992728</v>
      </c>
      <c r="Z20" s="4"/>
    </row>
    <row r="21" spans="1:26" x14ac:dyDescent="0.25">
      <c r="B21" s="101" t="s">
        <v>47</v>
      </c>
      <c r="C21" s="97" t="s">
        <v>123</v>
      </c>
      <c r="D21" s="98"/>
      <c r="E21" s="99">
        <v>48.7</v>
      </c>
      <c r="F21" s="100">
        <v>1</v>
      </c>
      <c r="G21" s="39">
        <v>1</v>
      </c>
      <c r="H21" s="40">
        <f t="shared" si="0"/>
        <v>48.7</v>
      </c>
      <c r="I21" s="41">
        <v>0</v>
      </c>
      <c r="J21" s="41">
        <v>1</v>
      </c>
      <c r="K21" s="41">
        <f t="shared" si="1"/>
        <v>0</v>
      </c>
      <c r="L21" s="85">
        <f t="shared" si="2"/>
        <v>48.7</v>
      </c>
      <c r="N21" s="86">
        <f t="shared" si="3"/>
        <v>0.58540000000000003</v>
      </c>
      <c r="P21" s="84">
        <f t="shared" si="4"/>
        <v>197568.17144596364</v>
      </c>
      <c r="Q21" s="87">
        <f t="shared" si="5"/>
        <v>4056.8413027918609</v>
      </c>
      <c r="S21" s="84">
        <v>188048.13052312363</v>
      </c>
      <c r="T21" s="87">
        <v>3861.357916285906</v>
      </c>
      <c r="V21" s="88">
        <f t="shared" si="6"/>
        <v>5.0625554725572508E-2</v>
      </c>
      <c r="X21" s="84">
        <v>9251.5300000000007</v>
      </c>
      <c r="Y21" s="87">
        <f t="shared" si="7"/>
        <v>188316.64144596364</v>
      </c>
      <c r="Z21" s="4"/>
    </row>
    <row r="22" spans="1:26" x14ac:dyDescent="0.25">
      <c r="B22" s="101" t="s">
        <v>48</v>
      </c>
      <c r="C22" s="97" t="s">
        <v>124</v>
      </c>
      <c r="D22" s="98"/>
      <c r="E22" s="99">
        <v>43.65</v>
      </c>
      <c r="F22" s="100">
        <v>1</v>
      </c>
      <c r="G22" s="39">
        <v>1</v>
      </c>
      <c r="H22" s="40">
        <f t="shared" si="0"/>
        <v>43.65</v>
      </c>
      <c r="I22" s="41">
        <v>0</v>
      </c>
      <c r="J22" s="41">
        <v>1</v>
      </c>
      <c r="K22" s="41">
        <f t="shared" si="1"/>
        <v>0</v>
      </c>
      <c r="L22" s="85">
        <f t="shared" si="2"/>
        <v>43.65</v>
      </c>
      <c r="N22" s="86">
        <f t="shared" si="3"/>
        <v>0.52470000000000006</v>
      </c>
      <c r="P22" s="84">
        <f t="shared" si="4"/>
        <v>177082.37027279998</v>
      </c>
      <c r="Q22" s="87">
        <f t="shared" si="5"/>
        <v>4056.8698802474223</v>
      </c>
      <c r="S22" s="84">
        <v>168549.46034417997</v>
      </c>
      <c r="T22" s="87">
        <v>3861.3851167051539</v>
      </c>
      <c r="V22" s="88">
        <f t="shared" si="6"/>
        <v>5.0625554725572508E-2</v>
      </c>
      <c r="X22" s="84">
        <v>8291.73</v>
      </c>
      <c r="Y22" s="87">
        <f t="shared" si="7"/>
        <v>168790.64027279997</v>
      </c>
      <c r="Z22" s="4"/>
    </row>
    <row r="23" spans="1:26" x14ac:dyDescent="0.25">
      <c r="B23" s="96" t="s">
        <v>49</v>
      </c>
      <c r="C23" s="97" t="s">
        <v>51</v>
      </c>
      <c r="D23" s="98"/>
      <c r="E23" s="99">
        <v>44.85</v>
      </c>
      <c r="F23" s="100">
        <v>1</v>
      </c>
      <c r="G23" s="39">
        <v>1</v>
      </c>
      <c r="H23" s="40">
        <f t="shared" si="0"/>
        <v>44.85</v>
      </c>
      <c r="I23" s="41">
        <v>0</v>
      </c>
      <c r="J23" s="41">
        <v>1</v>
      </c>
      <c r="K23" s="41">
        <f t="shared" si="1"/>
        <v>0</v>
      </c>
      <c r="L23" s="85">
        <f t="shared" si="2"/>
        <v>44.85</v>
      </c>
      <c r="N23" s="86">
        <f t="shared" si="3"/>
        <v>0.53910000000000002</v>
      </c>
      <c r="P23" s="84">
        <f t="shared" si="4"/>
        <v>181942.2637965818</v>
      </c>
      <c r="Q23" s="87">
        <f t="shared" si="5"/>
        <v>4056.6836966907867</v>
      </c>
      <c r="R23" s="92"/>
      <c r="S23" s="84">
        <v>173175.17452172178</v>
      </c>
      <c r="T23" s="87">
        <v>3861.2079046091812</v>
      </c>
      <c r="U23" s="92"/>
      <c r="V23" s="88">
        <f t="shared" si="6"/>
        <v>5.062555472557273E-2</v>
      </c>
      <c r="W23" s="92"/>
      <c r="X23" s="84">
        <v>8520.19</v>
      </c>
      <c r="Y23" s="87">
        <f t="shared" si="7"/>
        <v>173422.0737965818</v>
      </c>
      <c r="Z23" s="4"/>
    </row>
    <row r="24" spans="1:26" x14ac:dyDescent="0.25">
      <c r="B24" s="96" t="s">
        <v>50</v>
      </c>
      <c r="C24" s="97" t="s">
        <v>51</v>
      </c>
      <c r="D24" s="98"/>
      <c r="E24" s="99">
        <v>55.65</v>
      </c>
      <c r="F24" s="100">
        <v>1</v>
      </c>
      <c r="G24" s="39">
        <v>1</v>
      </c>
      <c r="H24" s="40">
        <f t="shared" si="0"/>
        <v>55.65</v>
      </c>
      <c r="I24" s="41">
        <v>0</v>
      </c>
      <c r="J24" s="41">
        <v>1</v>
      </c>
      <c r="K24" s="41">
        <f t="shared" si="1"/>
        <v>0</v>
      </c>
      <c r="L24" s="85">
        <f t="shared" si="2"/>
        <v>55.65</v>
      </c>
      <c r="N24" s="86">
        <f t="shared" si="3"/>
        <v>0.66900000000000004</v>
      </c>
      <c r="P24" s="84">
        <f t="shared" si="4"/>
        <v>225782.55329236362</v>
      </c>
      <c r="Q24" s="87">
        <f t="shared" si="5"/>
        <v>4057.1887384072529</v>
      </c>
      <c r="S24" s="84">
        <v>214902.97116496362</v>
      </c>
      <c r="T24" s="87">
        <v>3861.6886103317811</v>
      </c>
      <c r="V24" s="88">
        <f t="shared" si="6"/>
        <v>5.0625554725572508E-2</v>
      </c>
      <c r="X24" s="84">
        <v>10571.4</v>
      </c>
      <c r="Y24" s="87">
        <f t="shared" si="7"/>
        <v>215211.15329236363</v>
      </c>
      <c r="Z24" s="4"/>
    </row>
    <row r="25" spans="1:26" x14ac:dyDescent="0.25">
      <c r="B25" s="101" t="s">
        <v>52</v>
      </c>
      <c r="C25" s="97" t="s">
        <v>53</v>
      </c>
      <c r="D25" s="98"/>
      <c r="E25" s="99">
        <v>55.65</v>
      </c>
      <c r="F25" s="100">
        <v>1</v>
      </c>
      <c r="G25" s="39">
        <v>1</v>
      </c>
      <c r="H25" s="40">
        <f t="shared" si="0"/>
        <v>55.65</v>
      </c>
      <c r="I25" s="41">
        <v>0</v>
      </c>
      <c r="J25" s="41">
        <v>1</v>
      </c>
      <c r="K25" s="41">
        <f t="shared" si="1"/>
        <v>0</v>
      </c>
      <c r="L25" s="85">
        <f t="shared" si="2"/>
        <v>55.65</v>
      </c>
      <c r="M25" s="80"/>
      <c r="N25" s="86">
        <f t="shared" si="3"/>
        <v>0.66900000000000004</v>
      </c>
      <c r="O25" s="80"/>
      <c r="P25" s="84">
        <f t="shared" si="4"/>
        <v>225782.55329236362</v>
      </c>
      <c r="Q25" s="87">
        <f t="shared" si="5"/>
        <v>4057.1887384072529</v>
      </c>
      <c r="S25" s="84">
        <v>214902.97116496362</v>
      </c>
      <c r="T25" s="87">
        <v>3861.6886103317811</v>
      </c>
      <c r="V25" s="88">
        <f t="shared" si="6"/>
        <v>5.0625554725572508E-2</v>
      </c>
      <c r="X25" s="84">
        <v>10571.4</v>
      </c>
      <c r="Y25" s="87">
        <f t="shared" si="7"/>
        <v>215211.15329236363</v>
      </c>
      <c r="Z25" s="4"/>
    </row>
    <row r="26" spans="1:26" x14ac:dyDescent="0.25">
      <c r="B26" s="101" t="s">
        <v>54</v>
      </c>
      <c r="C26" s="97" t="s">
        <v>55</v>
      </c>
      <c r="D26" s="98"/>
      <c r="E26" s="103">
        <f>44.85+43.5</f>
        <v>88.35</v>
      </c>
      <c r="F26" s="100">
        <v>1</v>
      </c>
      <c r="G26" s="39">
        <v>1</v>
      </c>
      <c r="H26" s="40">
        <f t="shared" si="0"/>
        <v>88.35</v>
      </c>
      <c r="I26" s="41">
        <v>0</v>
      </c>
      <c r="J26" s="41">
        <v>1</v>
      </c>
      <c r="K26" s="41">
        <f t="shared" si="1"/>
        <v>0</v>
      </c>
      <c r="L26" s="85">
        <f t="shared" si="2"/>
        <v>88.35</v>
      </c>
      <c r="N26" s="86">
        <f t="shared" si="3"/>
        <v>1.0621</v>
      </c>
      <c r="P26" s="84">
        <f t="shared" si="4"/>
        <v>358450.89663949085</v>
      </c>
      <c r="Q26" s="87">
        <f t="shared" si="5"/>
        <v>4057.1691753196478</v>
      </c>
      <c r="S26" s="84">
        <v>341178.54360883089</v>
      </c>
      <c r="T26" s="87">
        <v>3861.6699899131963</v>
      </c>
      <c r="V26" s="88">
        <f t="shared" si="6"/>
        <v>5.0625554725572286E-2</v>
      </c>
      <c r="X26" s="84">
        <v>16783.37</v>
      </c>
      <c r="Y26" s="87">
        <f t="shared" si="7"/>
        <v>341667.52663949085</v>
      </c>
      <c r="Z26" s="4"/>
    </row>
    <row r="27" spans="1:26" x14ac:dyDescent="0.25">
      <c r="B27" s="101" t="s">
        <v>211</v>
      </c>
      <c r="C27" s="97" t="s">
        <v>45</v>
      </c>
      <c r="D27" s="98"/>
      <c r="E27" s="103">
        <v>52.8</v>
      </c>
      <c r="F27" s="100">
        <v>1</v>
      </c>
      <c r="G27" s="39">
        <v>1</v>
      </c>
      <c r="H27" s="40">
        <f t="shared" si="0"/>
        <v>52.8</v>
      </c>
      <c r="I27" s="41">
        <v>0</v>
      </c>
      <c r="J27" s="41">
        <v>1</v>
      </c>
      <c r="K27" s="41">
        <v>0</v>
      </c>
      <c r="L27" s="85">
        <f t="shared" si="2"/>
        <v>52.8</v>
      </c>
      <c r="N27" s="86">
        <f t="shared" si="3"/>
        <v>0.63470000000000004</v>
      </c>
      <c r="P27" s="84">
        <f t="shared" si="4"/>
        <v>214206.55691280001</v>
      </c>
      <c r="Q27" s="87">
        <f t="shared" si="5"/>
        <v>4056.9423657727275</v>
      </c>
      <c r="S27" s="84">
        <v>203884.77697817999</v>
      </c>
      <c r="T27" s="87">
        <v>3861.4541094352271</v>
      </c>
      <c r="V27" s="88">
        <f t="shared" si="6"/>
        <v>5.0625554725572508E-2</v>
      </c>
      <c r="X27" s="84">
        <v>16783.37</v>
      </c>
      <c r="Y27" s="87">
        <f t="shared" si="7"/>
        <v>197423.18691280001</v>
      </c>
      <c r="Z27" s="66"/>
    </row>
    <row r="28" spans="1:26" x14ac:dyDescent="0.25">
      <c r="B28" s="101" t="s">
        <v>212</v>
      </c>
      <c r="C28" s="97" t="s">
        <v>208</v>
      </c>
      <c r="D28" s="98"/>
      <c r="E28" s="103">
        <v>133.85</v>
      </c>
      <c r="F28" s="100">
        <v>1</v>
      </c>
      <c r="G28" s="39">
        <v>1</v>
      </c>
      <c r="H28" s="40">
        <f t="shared" si="0"/>
        <v>133.85</v>
      </c>
      <c r="I28" s="41">
        <v>0</v>
      </c>
      <c r="J28" s="41">
        <v>1</v>
      </c>
      <c r="K28" s="41">
        <f t="shared" si="1"/>
        <v>0</v>
      </c>
      <c r="L28" s="85">
        <f t="shared" si="2"/>
        <v>133.85</v>
      </c>
      <c r="M28" s="80"/>
      <c r="N28" s="86">
        <f t="shared" si="3"/>
        <v>1.609</v>
      </c>
      <c r="O28" s="80"/>
      <c r="P28" s="84">
        <f t="shared" si="4"/>
        <v>543025.60276145453</v>
      </c>
      <c r="Q28" s="87">
        <f t="shared" si="5"/>
        <v>4056.9712570896868</v>
      </c>
      <c r="S28" s="84">
        <v>516859.31331005448</v>
      </c>
      <c r="T28" s="87">
        <v>3861.4816085921143</v>
      </c>
      <c r="V28" s="88">
        <f t="shared" si="6"/>
        <v>5.062555472557273E-2</v>
      </c>
      <c r="X28" s="84">
        <v>31563.96</v>
      </c>
      <c r="Y28" s="87">
        <f t="shared" si="7"/>
        <v>511461.64276145451</v>
      </c>
      <c r="Z28" s="4"/>
    </row>
    <row r="29" spans="1:26" x14ac:dyDescent="0.25">
      <c r="B29" s="101" t="s">
        <v>56</v>
      </c>
      <c r="C29" s="97" t="s">
        <v>57</v>
      </c>
      <c r="D29" s="98"/>
      <c r="E29" s="103">
        <v>232.05</v>
      </c>
      <c r="F29" s="100">
        <v>1</v>
      </c>
      <c r="G29" s="39">
        <v>1</v>
      </c>
      <c r="H29" s="40">
        <f t="shared" si="0"/>
        <v>232.05</v>
      </c>
      <c r="I29" s="41">
        <v>0</v>
      </c>
      <c r="J29" s="41">
        <v>1</v>
      </c>
      <c r="K29" s="41">
        <f t="shared" si="1"/>
        <v>0</v>
      </c>
      <c r="L29" s="85">
        <f t="shared" si="2"/>
        <v>232.05</v>
      </c>
      <c r="N29" s="86">
        <f t="shared" si="3"/>
        <v>2.7894999999999999</v>
      </c>
      <c r="P29" s="84">
        <f t="shared" si="4"/>
        <v>941435.62392981793</v>
      </c>
      <c r="Q29" s="87">
        <f t="shared" si="5"/>
        <v>4057.0378105141904</v>
      </c>
      <c r="S29" s="84">
        <v>896071.50682311808</v>
      </c>
      <c r="T29" s="87">
        <v>3861.5449550662274</v>
      </c>
      <c r="V29" s="88">
        <f t="shared" si="6"/>
        <v>5.0625554725572286E-2</v>
      </c>
      <c r="X29" s="84">
        <v>44082.26</v>
      </c>
      <c r="Y29" s="87">
        <f t="shared" si="7"/>
        <v>897353.36392981792</v>
      </c>
      <c r="Z29" s="4"/>
    </row>
    <row r="30" spans="1:26" x14ac:dyDescent="0.25">
      <c r="B30" s="101" t="s">
        <v>58</v>
      </c>
      <c r="C30" s="97" t="s">
        <v>59</v>
      </c>
      <c r="D30" s="98"/>
      <c r="E30" s="103">
        <f>69.8+54.8</f>
        <v>124.6</v>
      </c>
      <c r="F30" s="100">
        <v>1</v>
      </c>
      <c r="G30" s="39">
        <v>1</v>
      </c>
      <c r="H30" s="40">
        <f t="shared" si="0"/>
        <v>124.6</v>
      </c>
      <c r="I30" s="41">
        <v>0</v>
      </c>
      <c r="J30" s="41">
        <v>1</v>
      </c>
      <c r="K30" s="41">
        <f t="shared" si="1"/>
        <v>0</v>
      </c>
      <c r="L30" s="85">
        <f t="shared" si="2"/>
        <v>124.6</v>
      </c>
      <c r="N30" s="86">
        <f t="shared" si="3"/>
        <v>1.4978</v>
      </c>
      <c r="P30" s="84">
        <f t="shared" si="4"/>
        <v>505496.42499447271</v>
      </c>
      <c r="Q30" s="87">
        <f t="shared" si="5"/>
        <v>4056.953651641033</v>
      </c>
      <c r="S30" s="84">
        <v>481138.52049459261</v>
      </c>
      <c r="T30" s="87">
        <v>3861.4648514814817</v>
      </c>
      <c r="V30" s="88">
        <f t="shared" si="6"/>
        <v>5.062555472557273E-2</v>
      </c>
      <c r="X30" s="84">
        <v>23670.79</v>
      </c>
      <c r="Y30" s="87">
        <f t="shared" si="7"/>
        <v>481825.63499447273</v>
      </c>
      <c r="Z30" s="4"/>
    </row>
    <row r="31" spans="1:26" x14ac:dyDescent="0.25">
      <c r="B31" s="96" t="s">
        <v>60</v>
      </c>
      <c r="C31" s="97" t="s">
        <v>61</v>
      </c>
      <c r="D31" s="98"/>
      <c r="E31" s="103">
        <v>89.65</v>
      </c>
      <c r="F31" s="100">
        <v>1</v>
      </c>
      <c r="G31" s="39">
        <v>1</v>
      </c>
      <c r="H31" s="40">
        <f t="shared" si="0"/>
        <v>89.65</v>
      </c>
      <c r="I31" s="41">
        <v>0</v>
      </c>
      <c r="J31" s="41">
        <v>1</v>
      </c>
      <c r="K31" s="41">
        <f t="shared" si="1"/>
        <v>0</v>
      </c>
      <c r="L31" s="85">
        <f t="shared" si="2"/>
        <v>89.65</v>
      </c>
      <c r="N31" s="86">
        <f t="shared" si="3"/>
        <v>1.0777000000000001</v>
      </c>
      <c r="P31" s="84">
        <f t="shared" si="4"/>
        <v>363715.7812902545</v>
      </c>
      <c r="Q31" s="87">
        <f t="shared" si="5"/>
        <v>4057.0639296180088</v>
      </c>
      <c r="S31" s="84">
        <v>346189.73396783456</v>
      </c>
      <c r="T31" s="87">
        <v>3861.5698155921309</v>
      </c>
      <c r="V31" s="88">
        <f t="shared" si="6"/>
        <v>5.0625554725572286E-2</v>
      </c>
      <c r="X31" s="84">
        <v>17030.46</v>
      </c>
      <c r="Y31" s="87">
        <f t="shared" si="7"/>
        <v>346685.32129025448</v>
      </c>
      <c r="Z31" s="4"/>
    </row>
    <row r="32" spans="1:26" x14ac:dyDescent="0.25">
      <c r="B32" s="96" t="s">
        <v>62</v>
      </c>
      <c r="C32" s="97" t="s">
        <v>213</v>
      </c>
      <c r="D32" s="98"/>
      <c r="E32" s="103">
        <v>57.85</v>
      </c>
      <c r="F32" s="100">
        <v>1</v>
      </c>
      <c r="G32" s="39">
        <v>1</v>
      </c>
      <c r="H32" s="40">
        <f t="shared" si="0"/>
        <v>57.85</v>
      </c>
      <c r="I32" s="41">
        <v>0</v>
      </c>
      <c r="J32" s="41">
        <v>1</v>
      </c>
      <c r="K32" s="41">
        <f t="shared" si="1"/>
        <v>0</v>
      </c>
      <c r="L32" s="85">
        <f t="shared" si="2"/>
        <v>57.85</v>
      </c>
      <c r="N32" s="86">
        <f t="shared" si="3"/>
        <v>0.69540000000000002</v>
      </c>
      <c r="P32" s="84">
        <f t="shared" si="4"/>
        <v>234692.35808596361</v>
      </c>
      <c r="Q32" s="87">
        <f t="shared" si="5"/>
        <v>4056.9119807426728</v>
      </c>
      <c r="S32" s="84">
        <v>223383.44715712362</v>
      </c>
      <c r="T32" s="87">
        <v>3861.4251885414628</v>
      </c>
      <c r="V32" s="88">
        <f t="shared" si="6"/>
        <v>5.0625554725572508E-2</v>
      </c>
      <c r="X32" s="84">
        <v>10989.83</v>
      </c>
      <c r="Y32" s="87">
        <f t="shared" si="7"/>
        <v>223702.52808596363</v>
      </c>
      <c r="Z32" s="4"/>
    </row>
    <row r="33" spans="2:26" x14ac:dyDescent="0.25">
      <c r="B33" s="101" t="s">
        <v>63</v>
      </c>
      <c r="C33" s="97" t="s">
        <v>125</v>
      </c>
      <c r="D33" s="98"/>
      <c r="E33" s="103">
        <v>51.5</v>
      </c>
      <c r="F33" s="100">
        <v>1</v>
      </c>
      <c r="G33" s="39">
        <v>1</v>
      </c>
      <c r="H33" s="40">
        <f t="shared" si="0"/>
        <v>51.5</v>
      </c>
      <c r="I33" s="41">
        <v>0</v>
      </c>
      <c r="J33" s="41">
        <v>1</v>
      </c>
      <c r="K33" s="41">
        <f t="shared" si="1"/>
        <v>0</v>
      </c>
      <c r="L33" s="85">
        <f t="shared" si="2"/>
        <v>51.5</v>
      </c>
      <c r="N33" s="86">
        <f t="shared" si="3"/>
        <v>0.61909999999999998</v>
      </c>
      <c r="P33" s="84">
        <f t="shared" si="4"/>
        <v>208941.67226203636</v>
      </c>
      <c r="Q33" s="87">
        <f t="shared" si="5"/>
        <v>4057.1198497482787</v>
      </c>
      <c r="S33" s="84">
        <v>198873.58661917635</v>
      </c>
      <c r="T33" s="87">
        <v>3861.6230411490551</v>
      </c>
      <c r="V33" s="88">
        <f t="shared" si="6"/>
        <v>5.0625554725572508E-2</v>
      </c>
      <c r="X33" s="84">
        <v>9782.9500000000007</v>
      </c>
      <c r="Y33" s="87">
        <f t="shared" si="7"/>
        <v>199158.72226203635</v>
      </c>
      <c r="Z33" s="4"/>
    </row>
    <row r="34" spans="2:26" x14ac:dyDescent="0.25">
      <c r="B34" s="101" t="s">
        <v>64</v>
      </c>
      <c r="C34" s="104" t="s">
        <v>163</v>
      </c>
      <c r="D34" s="98"/>
      <c r="E34" s="103">
        <v>49.85</v>
      </c>
      <c r="F34" s="100">
        <v>1</v>
      </c>
      <c r="G34" s="39">
        <v>1</v>
      </c>
      <c r="H34" s="40">
        <f t="shared" si="0"/>
        <v>49.85</v>
      </c>
      <c r="I34" s="41">
        <v>0</v>
      </c>
      <c r="J34" s="41">
        <v>1</v>
      </c>
      <c r="K34" s="41">
        <f t="shared" si="1"/>
        <v>0</v>
      </c>
      <c r="L34" s="85">
        <f t="shared" si="2"/>
        <v>49.85</v>
      </c>
      <c r="N34" s="86">
        <f t="shared" si="3"/>
        <v>0.59930000000000005</v>
      </c>
      <c r="P34" s="84">
        <f t="shared" si="4"/>
        <v>202259.31866683636</v>
      </c>
      <c r="Q34" s="87">
        <f t="shared" si="5"/>
        <v>4057.3584486827754</v>
      </c>
      <c r="S34" s="84">
        <v>192513.22962505635</v>
      </c>
      <c r="T34" s="87">
        <v>3861.8501429299167</v>
      </c>
      <c r="V34" s="88">
        <f t="shared" si="6"/>
        <v>5.0625554725572508E-2</v>
      </c>
      <c r="X34" s="84">
        <v>9470.06</v>
      </c>
      <c r="Y34" s="87">
        <f t="shared" si="7"/>
        <v>192789.25866683637</v>
      </c>
      <c r="Z34" s="4"/>
    </row>
    <row r="35" spans="2:26" x14ac:dyDescent="0.25">
      <c r="B35" s="101" t="s">
        <v>65</v>
      </c>
      <c r="C35" s="104" t="s">
        <v>183</v>
      </c>
      <c r="D35" s="98"/>
      <c r="E35" s="103">
        <v>75.400000000000006</v>
      </c>
      <c r="F35" s="100">
        <v>1</v>
      </c>
      <c r="G35" s="39">
        <v>1</v>
      </c>
      <c r="H35" s="40">
        <f t="shared" si="0"/>
        <v>75.400000000000006</v>
      </c>
      <c r="I35" s="41">
        <v>0</v>
      </c>
      <c r="J35" s="41">
        <v>1</v>
      </c>
      <c r="K35" s="41">
        <f>ROUND(I35*J35,2)</f>
        <v>0</v>
      </c>
      <c r="L35" s="85">
        <f>H35+K35</f>
        <v>75.400000000000006</v>
      </c>
      <c r="N35" s="86">
        <f t="shared" si="3"/>
        <v>0.90639999999999998</v>
      </c>
      <c r="P35" s="84">
        <f t="shared" si="4"/>
        <v>305903.29791359993</v>
      </c>
      <c r="Q35" s="87">
        <f t="shared" si="5"/>
        <v>4057.0729166259935</v>
      </c>
      <c r="S35" s="84">
        <v>291163.00906415994</v>
      </c>
      <c r="T35" s="87">
        <v>3861.5783695511927</v>
      </c>
      <c r="V35" s="88">
        <f t="shared" si="6"/>
        <v>5.0625554725572508E-2</v>
      </c>
      <c r="X35" s="84">
        <v>14322.66</v>
      </c>
      <c r="Y35" s="87">
        <f t="shared" si="7"/>
        <v>291580.63791359996</v>
      </c>
      <c r="Z35" s="4"/>
    </row>
    <row r="36" spans="2:26" x14ac:dyDescent="0.25">
      <c r="B36" s="101" t="s">
        <v>66</v>
      </c>
      <c r="C36" s="104" t="s">
        <v>126</v>
      </c>
      <c r="D36" s="98"/>
      <c r="E36" s="103">
        <v>45.15</v>
      </c>
      <c r="F36" s="100">
        <v>1</v>
      </c>
      <c r="G36" s="39">
        <v>1</v>
      </c>
      <c r="H36" s="40">
        <f t="shared" si="0"/>
        <v>45.15</v>
      </c>
      <c r="I36" s="41">
        <v>0</v>
      </c>
      <c r="J36" s="41">
        <v>1</v>
      </c>
      <c r="K36" s="41">
        <f t="shared" si="1"/>
        <v>0</v>
      </c>
      <c r="L36" s="85">
        <f t="shared" si="2"/>
        <v>45.15</v>
      </c>
      <c r="N36" s="86">
        <f t="shared" si="3"/>
        <v>0.54279999999999995</v>
      </c>
      <c r="P36" s="84">
        <f t="shared" si="4"/>
        <v>183190.98643810904</v>
      </c>
      <c r="Q36" s="87">
        <f t="shared" si="5"/>
        <v>4057.3861891054053</v>
      </c>
      <c r="S36" s="84">
        <v>174363.72608122905</v>
      </c>
      <c r="T36" s="87">
        <v>3861.8765466495915</v>
      </c>
      <c r="V36" s="88">
        <f t="shared" si="6"/>
        <v>5.0625554725572508E-2</v>
      </c>
      <c r="X36" s="84">
        <v>8577.31</v>
      </c>
      <c r="Y36" s="87">
        <f t="shared" si="7"/>
        <v>174613.67643810905</v>
      </c>
      <c r="Z36" s="4"/>
    </row>
    <row r="37" spans="2:26" x14ac:dyDescent="0.25">
      <c r="B37" s="96" t="s">
        <v>68</v>
      </c>
      <c r="C37" s="97" t="s">
        <v>224</v>
      </c>
      <c r="D37" s="98"/>
      <c r="E37" s="103">
        <v>43.85</v>
      </c>
      <c r="F37" s="100">
        <v>1</v>
      </c>
      <c r="G37" s="39">
        <v>1</v>
      </c>
      <c r="H37" s="40">
        <f t="shared" si="0"/>
        <v>43.85</v>
      </c>
      <c r="I37" s="41">
        <v>0</v>
      </c>
      <c r="J37" s="41">
        <v>1</v>
      </c>
      <c r="K37" s="41">
        <f t="shared" si="1"/>
        <v>0</v>
      </c>
      <c r="L37" s="85">
        <f t="shared" si="2"/>
        <v>43.85</v>
      </c>
      <c r="N37" s="86">
        <f t="shared" si="3"/>
        <v>0.52710000000000001</v>
      </c>
      <c r="P37" s="84">
        <f t="shared" si="4"/>
        <v>177892.35252676363</v>
      </c>
      <c r="Q37" s="87">
        <f t="shared" si="5"/>
        <v>4056.8381420014507</v>
      </c>
      <c r="S37" s="84">
        <v>169320.41270710359</v>
      </c>
      <c r="T37" s="87">
        <v>3861.3549078016781</v>
      </c>
      <c r="V37" s="88">
        <f t="shared" si="6"/>
        <v>5.062555472557273E-2</v>
      </c>
      <c r="X37" s="84">
        <v>8330.2199999999993</v>
      </c>
      <c r="Y37" s="87">
        <f t="shared" si="7"/>
        <v>169562.13252676363</v>
      </c>
      <c r="Z37" s="4"/>
    </row>
    <row r="38" spans="2:26" x14ac:dyDescent="0.25">
      <c r="B38" s="101" t="s">
        <v>69</v>
      </c>
      <c r="C38" s="97" t="s">
        <v>225</v>
      </c>
      <c r="D38" s="98"/>
      <c r="E38" s="103">
        <v>55.4</v>
      </c>
      <c r="F38" s="100">
        <v>1</v>
      </c>
      <c r="G38" s="39">
        <v>1</v>
      </c>
      <c r="H38" s="40">
        <f t="shared" si="0"/>
        <v>55.4</v>
      </c>
      <c r="I38" s="41">
        <v>0</v>
      </c>
      <c r="J38" s="41">
        <v>1</v>
      </c>
      <c r="K38" s="41">
        <f t="shared" si="1"/>
        <v>0</v>
      </c>
      <c r="L38" s="85">
        <f t="shared" si="2"/>
        <v>55.4</v>
      </c>
      <c r="N38" s="86">
        <f t="shared" si="3"/>
        <v>0.66600000000000004</v>
      </c>
      <c r="P38" s="84">
        <f t="shared" si="4"/>
        <v>224770.0754749091</v>
      </c>
      <c r="Q38" s="87">
        <f t="shared" si="5"/>
        <v>4057.2215789694783</v>
      </c>
      <c r="S38" s="84">
        <v>213939.28071130908</v>
      </c>
      <c r="T38" s="87">
        <v>3861.719868435182</v>
      </c>
      <c r="V38" s="88">
        <f t="shared" si="6"/>
        <v>5.0625554725572508E-2</v>
      </c>
      <c r="X38" s="84">
        <v>10524.22</v>
      </c>
      <c r="Y38" s="87">
        <f t="shared" si="7"/>
        <v>214245.8554749091</v>
      </c>
      <c r="Z38" s="4"/>
    </row>
    <row r="39" spans="2:26" x14ac:dyDescent="0.25">
      <c r="B39" s="189" t="s">
        <v>70</v>
      </c>
      <c r="C39" s="79" t="s">
        <v>71</v>
      </c>
      <c r="D39" s="80"/>
      <c r="E39" s="81">
        <v>135.75</v>
      </c>
      <c r="F39" s="82">
        <v>1</v>
      </c>
      <c r="G39" s="166">
        <v>1</v>
      </c>
      <c r="H39" s="167">
        <f t="shared" si="0"/>
        <v>135.75</v>
      </c>
      <c r="I39" s="82">
        <v>0</v>
      </c>
      <c r="J39" s="82">
        <v>1</v>
      </c>
      <c r="K39" s="82">
        <f t="shared" si="1"/>
        <v>0</v>
      </c>
      <c r="L39" s="168">
        <f t="shared" si="2"/>
        <v>135.75</v>
      </c>
      <c r="M39" s="80"/>
      <c r="N39" s="190">
        <f t="shared" si="3"/>
        <v>1.6318999999999999</v>
      </c>
      <c r="O39" s="80"/>
      <c r="P39" s="169">
        <f t="shared" si="4"/>
        <v>550754.18343469081</v>
      </c>
      <c r="Q39" s="87">
        <f t="shared" si="5"/>
        <v>4057.1210566091404</v>
      </c>
      <c r="S39" s="84">
        <v>524215.48377295083</v>
      </c>
      <c r="T39" s="87">
        <v>3861.6241898559915</v>
      </c>
      <c r="V39" s="88">
        <f t="shared" si="6"/>
        <v>5.0625554725572508E-2</v>
      </c>
      <c r="X39" s="84">
        <v>21922.55</v>
      </c>
      <c r="Y39" s="87">
        <f t="shared" si="7"/>
        <v>528831.63343469077</v>
      </c>
      <c r="Z39" s="4"/>
    </row>
    <row r="40" spans="2:26" x14ac:dyDescent="0.25">
      <c r="B40" s="189" t="s">
        <v>72</v>
      </c>
      <c r="C40" s="79" t="s">
        <v>71</v>
      </c>
      <c r="D40" s="80"/>
      <c r="E40" s="81">
        <v>21.6</v>
      </c>
      <c r="F40" s="82">
        <v>1</v>
      </c>
      <c r="G40" s="166">
        <v>1</v>
      </c>
      <c r="H40" s="167">
        <f t="shared" si="0"/>
        <v>21.6</v>
      </c>
      <c r="I40" s="82">
        <v>0</v>
      </c>
      <c r="J40" s="82">
        <v>1</v>
      </c>
      <c r="K40" s="82">
        <f t="shared" si="1"/>
        <v>0</v>
      </c>
      <c r="L40" s="168">
        <f t="shared" si="2"/>
        <v>21.6</v>
      </c>
      <c r="M40" s="80"/>
      <c r="N40" s="190">
        <f t="shared" si="3"/>
        <v>0.25969999999999999</v>
      </c>
      <c r="O40" s="80"/>
      <c r="P40" s="169">
        <f t="shared" si="4"/>
        <v>87646.829730981815</v>
      </c>
      <c r="Q40" s="87">
        <f t="shared" si="5"/>
        <v>4057.7235986565652</v>
      </c>
      <c r="S40" s="84">
        <v>83423.470271361803</v>
      </c>
      <c r="T40" s="87">
        <v>3862.1976977482313</v>
      </c>
      <c r="V40" s="88">
        <f t="shared" si="6"/>
        <v>5.062555472557273E-2</v>
      </c>
      <c r="X40" s="84">
        <v>21922.55</v>
      </c>
      <c r="Y40" s="87">
        <f t="shared" si="7"/>
        <v>65724.279730981812</v>
      </c>
      <c r="Z40" s="4"/>
    </row>
    <row r="41" spans="2:26" x14ac:dyDescent="0.25">
      <c r="B41" s="189" t="s">
        <v>214</v>
      </c>
      <c r="C41" s="79" t="s">
        <v>200</v>
      </c>
      <c r="D41" s="80"/>
      <c r="E41" s="81">
        <v>70</v>
      </c>
      <c r="F41" s="82">
        <v>1</v>
      </c>
      <c r="G41" s="166">
        <v>1</v>
      </c>
      <c r="H41" s="167">
        <f t="shared" si="0"/>
        <v>70</v>
      </c>
      <c r="I41" s="82">
        <v>0</v>
      </c>
      <c r="J41" s="82">
        <v>1</v>
      </c>
      <c r="K41" s="82">
        <f t="shared" si="1"/>
        <v>0</v>
      </c>
      <c r="L41" s="168">
        <f t="shared" si="2"/>
        <v>70</v>
      </c>
      <c r="M41" s="80"/>
      <c r="N41" s="190">
        <f t="shared" si="3"/>
        <v>0.84150000000000003</v>
      </c>
      <c r="O41" s="80"/>
      <c r="P41" s="169">
        <f t="shared" si="4"/>
        <v>284000.02779600001</v>
      </c>
      <c r="Q41" s="87">
        <f t="shared" si="5"/>
        <v>4057.1432542285715</v>
      </c>
      <c r="S41" s="84">
        <v>270315.17225009995</v>
      </c>
      <c r="T41" s="87">
        <v>3861.6453178585707</v>
      </c>
      <c r="V41" s="88">
        <f t="shared" si="6"/>
        <v>5.062555472557273E-2</v>
      </c>
      <c r="X41" s="84">
        <v>8377.4</v>
      </c>
      <c r="Y41" s="87">
        <f t="shared" si="7"/>
        <v>275622.62779599999</v>
      </c>
      <c r="Z41" s="4"/>
    </row>
    <row r="42" spans="2:26" x14ac:dyDescent="0.25">
      <c r="B42" s="96" t="s">
        <v>215</v>
      </c>
      <c r="C42" s="104" t="s">
        <v>179</v>
      </c>
      <c r="D42" s="98"/>
      <c r="E42" s="103">
        <v>74.25</v>
      </c>
      <c r="F42" s="100">
        <v>1</v>
      </c>
      <c r="G42" s="39">
        <v>1</v>
      </c>
      <c r="H42" s="40">
        <f t="shared" si="0"/>
        <v>74.25</v>
      </c>
      <c r="I42" s="41">
        <v>0</v>
      </c>
      <c r="J42" s="41">
        <v>1</v>
      </c>
      <c r="K42" s="41">
        <f t="shared" si="1"/>
        <v>0</v>
      </c>
      <c r="L42" s="85">
        <f t="shared" si="2"/>
        <v>74.25</v>
      </c>
      <c r="N42" s="86">
        <f t="shared" si="3"/>
        <v>0.89259999999999995</v>
      </c>
      <c r="P42" s="84">
        <f t="shared" si="4"/>
        <v>301245.89995330904</v>
      </c>
      <c r="Q42" s="87">
        <f t="shared" si="5"/>
        <v>4057.1838377550039</v>
      </c>
      <c r="S42" s="84">
        <v>286730.03297734907</v>
      </c>
      <c r="T42" s="87">
        <v>3861.6839458228828</v>
      </c>
      <c r="V42" s="88">
        <f t="shared" si="6"/>
        <v>5.0625554725572508E-2</v>
      </c>
      <c r="X42" s="84">
        <v>25456.28</v>
      </c>
      <c r="Y42" s="87">
        <f t="shared" si="7"/>
        <v>275789.61995330907</v>
      </c>
      <c r="Z42" s="4"/>
    </row>
    <row r="43" spans="2:26" x14ac:dyDescent="0.25">
      <c r="B43" s="118" t="s">
        <v>73</v>
      </c>
      <c r="C43" s="117" t="s">
        <v>195</v>
      </c>
      <c r="D43" s="94"/>
      <c r="E43" s="115">
        <v>506.75</v>
      </c>
      <c r="F43" s="115">
        <v>0.75</v>
      </c>
      <c r="G43" s="39">
        <v>1</v>
      </c>
      <c r="H43" s="40">
        <f t="shared" si="0"/>
        <v>380.06</v>
      </c>
      <c r="I43" s="41">
        <v>0</v>
      </c>
      <c r="J43" s="41">
        <v>1</v>
      </c>
      <c r="K43" s="41">
        <f t="shared" si="1"/>
        <v>0</v>
      </c>
      <c r="L43" s="85">
        <f t="shared" si="2"/>
        <v>380.06</v>
      </c>
      <c r="N43" s="86">
        <f t="shared" si="3"/>
        <v>4.5686999999999998</v>
      </c>
      <c r="P43" s="84">
        <f t="shared" si="4"/>
        <v>1541902.4682015269</v>
      </c>
      <c r="Q43" s="87">
        <f t="shared" si="5"/>
        <v>3042.7281069591058</v>
      </c>
      <c r="S43" s="84">
        <v>1467604.1918705071</v>
      </c>
      <c r="T43" s="87">
        <v>2896.1108867696244</v>
      </c>
      <c r="V43" s="88">
        <f t="shared" si="6"/>
        <v>5.0625554725572508E-2</v>
      </c>
      <c r="X43" s="84">
        <v>78940.31</v>
      </c>
      <c r="Y43" s="87">
        <f t="shared" si="7"/>
        <v>1462962.1582015269</v>
      </c>
      <c r="Z43" s="4"/>
    </row>
    <row r="44" spans="2:26" x14ac:dyDescent="0.25">
      <c r="B44" s="116" t="s">
        <v>74</v>
      </c>
      <c r="C44" s="117" t="s">
        <v>231</v>
      </c>
      <c r="D44" s="94"/>
      <c r="E44" s="115">
        <f>244</f>
        <v>244</v>
      </c>
      <c r="F44" s="111">
        <v>1</v>
      </c>
      <c r="G44" s="39">
        <v>1</v>
      </c>
      <c r="H44" s="40">
        <f t="shared" si="0"/>
        <v>244</v>
      </c>
      <c r="I44" s="41">
        <v>0</v>
      </c>
      <c r="J44" s="41">
        <v>1</v>
      </c>
      <c r="K44" s="41">
        <f t="shared" si="1"/>
        <v>0</v>
      </c>
      <c r="L44" s="85">
        <f t="shared" si="2"/>
        <v>244</v>
      </c>
      <c r="N44" s="86">
        <f t="shared" si="3"/>
        <v>2.9331999999999998</v>
      </c>
      <c r="P44" s="84">
        <f t="shared" si="4"/>
        <v>989933.3113858907</v>
      </c>
      <c r="Q44" s="87">
        <f t="shared" si="5"/>
        <v>4057.1037351880768</v>
      </c>
      <c r="S44" s="84">
        <v>942232.27955317067</v>
      </c>
      <c r="T44" s="87">
        <v>3861.607703086765</v>
      </c>
      <c r="V44" s="88">
        <f t="shared" si="6"/>
        <v>5.0625554725572508E-2</v>
      </c>
      <c r="X44" s="84">
        <v>23936.51</v>
      </c>
      <c r="Y44" s="87">
        <f t="shared" si="7"/>
        <v>965996.80138589069</v>
      </c>
      <c r="Z44" s="4"/>
    </row>
    <row r="45" spans="2:26" x14ac:dyDescent="0.25">
      <c r="B45" s="116" t="s">
        <v>75</v>
      </c>
      <c r="C45" s="117" t="s">
        <v>76</v>
      </c>
      <c r="D45" s="94"/>
      <c r="E45" s="115">
        <f>221.7-69.3</f>
        <v>152.39999999999998</v>
      </c>
      <c r="F45" s="111">
        <v>0.75</v>
      </c>
      <c r="G45" s="39">
        <v>1</v>
      </c>
      <c r="H45" s="40">
        <f t="shared" si="0"/>
        <v>114.3</v>
      </c>
      <c r="I45" s="41">
        <v>0</v>
      </c>
      <c r="J45" s="41">
        <v>1</v>
      </c>
      <c r="K45" s="41">
        <f t="shared" si="1"/>
        <v>0</v>
      </c>
      <c r="L45" s="85">
        <f t="shared" si="2"/>
        <v>114.3</v>
      </c>
      <c r="N45" s="86">
        <f t="shared" si="3"/>
        <v>1.3740000000000001</v>
      </c>
      <c r="P45" s="84">
        <f t="shared" si="4"/>
        <v>463714.84039418184</v>
      </c>
      <c r="Q45" s="87">
        <f t="shared" si="5"/>
        <v>3042.7482965497502</v>
      </c>
      <c r="S45" s="84">
        <v>441370.22777378181</v>
      </c>
      <c r="T45" s="87">
        <v>2896.1301035025058</v>
      </c>
      <c r="V45" s="88">
        <f t="shared" si="6"/>
        <v>5.0625554725572508E-2</v>
      </c>
      <c r="X45" s="84">
        <v>31587.55</v>
      </c>
      <c r="Y45" s="87">
        <f t="shared" si="7"/>
        <v>432127.29039418185</v>
      </c>
      <c r="Z45" s="4"/>
    </row>
    <row r="46" spans="2:26" x14ac:dyDescent="0.25">
      <c r="B46" s="116" t="s">
        <v>75</v>
      </c>
      <c r="C46" s="117" t="s">
        <v>190</v>
      </c>
      <c r="D46" s="94"/>
      <c r="E46" s="115">
        <v>69.3</v>
      </c>
      <c r="F46" s="111">
        <v>0</v>
      </c>
      <c r="G46" s="39">
        <v>0</v>
      </c>
      <c r="H46" s="40">
        <f t="shared" si="0"/>
        <v>0</v>
      </c>
      <c r="I46" s="41">
        <v>0</v>
      </c>
      <c r="J46" s="41">
        <v>1</v>
      </c>
      <c r="K46" s="41">
        <f t="shared" si="1"/>
        <v>0</v>
      </c>
      <c r="L46" s="85">
        <f t="shared" si="2"/>
        <v>0</v>
      </c>
      <c r="N46" s="86">
        <f t="shared" si="3"/>
        <v>0</v>
      </c>
      <c r="P46" s="84">
        <f t="shared" si="4"/>
        <v>0</v>
      </c>
      <c r="Q46" s="87">
        <f t="shared" si="5"/>
        <v>0</v>
      </c>
      <c r="S46" s="84">
        <v>0</v>
      </c>
      <c r="T46" s="87">
        <v>0</v>
      </c>
      <c r="V46" s="88" t="e">
        <f t="shared" si="6"/>
        <v>#DIV/0!</v>
      </c>
      <c r="X46" s="84">
        <v>0</v>
      </c>
      <c r="Y46" s="87">
        <f t="shared" si="7"/>
        <v>0</v>
      </c>
      <c r="Z46" s="4"/>
    </row>
    <row r="47" spans="2:26" x14ac:dyDescent="0.25">
      <c r="B47" s="116" t="s">
        <v>77</v>
      </c>
      <c r="C47" s="117" t="s">
        <v>78</v>
      </c>
      <c r="D47" s="94"/>
      <c r="E47" s="115">
        <f>109.55-35.65</f>
        <v>73.900000000000006</v>
      </c>
      <c r="F47" s="111">
        <v>0.75</v>
      </c>
      <c r="G47" s="39">
        <v>1</v>
      </c>
      <c r="H47" s="40">
        <f t="shared" si="0"/>
        <v>55.43</v>
      </c>
      <c r="I47" s="41">
        <v>0</v>
      </c>
      <c r="J47" s="41">
        <v>1</v>
      </c>
      <c r="K47" s="41">
        <f t="shared" si="1"/>
        <v>0</v>
      </c>
      <c r="L47" s="85">
        <f t="shared" si="2"/>
        <v>55.43</v>
      </c>
      <c r="N47" s="86">
        <f t="shared" si="3"/>
        <v>0.6663</v>
      </c>
      <c r="P47" s="84">
        <f t="shared" si="4"/>
        <v>224871.32325665452</v>
      </c>
      <c r="Q47" s="87">
        <f t="shared" si="5"/>
        <v>3042.9137111861232</v>
      </c>
      <c r="S47" s="84">
        <v>214035.64975667451</v>
      </c>
      <c r="T47" s="87">
        <v>2896.2875474516168</v>
      </c>
      <c r="V47" s="88">
        <f t="shared" si="6"/>
        <v>5.0625554725572508E-2</v>
      </c>
      <c r="X47" s="84">
        <v>15607.53</v>
      </c>
      <c r="Y47" s="87">
        <f t="shared" si="7"/>
        <v>209263.79325665452</v>
      </c>
      <c r="Z47" s="4"/>
    </row>
    <row r="48" spans="2:26" x14ac:dyDescent="0.25">
      <c r="B48" s="116" t="s">
        <v>79</v>
      </c>
      <c r="C48" s="117" t="s">
        <v>209</v>
      </c>
      <c r="D48" s="94"/>
      <c r="E48" s="115">
        <f>219.1+35.65-106.95</f>
        <v>147.80000000000001</v>
      </c>
      <c r="F48" s="111">
        <v>0.75</v>
      </c>
      <c r="G48" s="39">
        <v>1</v>
      </c>
      <c r="H48" s="40">
        <f t="shared" si="0"/>
        <v>110.85</v>
      </c>
      <c r="I48" s="41">
        <v>0</v>
      </c>
      <c r="J48" s="41">
        <v>1</v>
      </c>
      <c r="K48" s="41">
        <f t="shared" si="1"/>
        <v>0</v>
      </c>
      <c r="L48" s="85">
        <f t="shared" si="2"/>
        <v>110.85</v>
      </c>
      <c r="N48" s="86">
        <f t="shared" si="3"/>
        <v>1.3325</v>
      </c>
      <c r="P48" s="84">
        <f t="shared" si="4"/>
        <v>449708.89725272724</v>
      </c>
      <c r="Q48" s="87">
        <f t="shared" si="5"/>
        <v>3042.6853670685196</v>
      </c>
      <c r="S48" s="84">
        <v>428039.17649822717</v>
      </c>
      <c r="T48" s="87">
        <v>2896.0702063479507</v>
      </c>
      <c r="V48" s="88">
        <f t="shared" si="6"/>
        <v>5.062555472557273E-2</v>
      </c>
      <c r="X48" s="84">
        <v>31217.54</v>
      </c>
      <c r="Y48" s="87">
        <f t="shared" si="7"/>
        <v>418491.35725272726</v>
      </c>
      <c r="Z48" s="66"/>
    </row>
    <row r="49" spans="2:26" x14ac:dyDescent="0.25">
      <c r="B49" s="116" t="s">
        <v>79</v>
      </c>
      <c r="C49" s="117" t="s">
        <v>209</v>
      </c>
      <c r="D49" s="94"/>
      <c r="E49" s="115">
        <v>106.95</v>
      </c>
      <c r="F49" s="111">
        <v>0</v>
      </c>
      <c r="G49" s="39">
        <v>1</v>
      </c>
      <c r="H49" s="40">
        <f t="shared" si="0"/>
        <v>0</v>
      </c>
      <c r="I49" s="41">
        <v>0</v>
      </c>
      <c r="J49" s="41">
        <v>1</v>
      </c>
      <c r="K49" s="41">
        <f t="shared" si="1"/>
        <v>0</v>
      </c>
      <c r="L49" s="85">
        <f t="shared" si="2"/>
        <v>0</v>
      </c>
      <c r="N49" s="86">
        <f t="shared" si="3"/>
        <v>0</v>
      </c>
      <c r="P49" s="84">
        <f t="shared" si="4"/>
        <v>0</v>
      </c>
      <c r="Q49" s="87">
        <f t="shared" si="5"/>
        <v>0</v>
      </c>
      <c r="S49" s="84">
        <v>0</v>
      </c>
      <c r="T49" s="87">
        <v>0</v>
      </c>
      <c r="V49" s="88" t="e">
        <f t="shared" si="6"/>
        <v>#DIV/0!</v>
      </c>
      <c r="X49" s="84"/>
      <c r="Y49" s="87"/>
      <c r="Z49" s="66"/>
    </row>
    <row r="50" spans="2:26" x14ac:dyDescent="0.25">
      <c r="B50" s="116" t="s">
        <v>80</v>
      </c>
      <c r="C50" s="117" t="s">
        <v>210</v>
      </c>
      <c r="D50" s="94"/>
      <c r="E50" s="115">
        <f>219.1-71.3</f>
        <v>147.80000000000001</v>
      </c>
      <c r="F50" s="111">
        <v>0.75</v>
      </c>
      <c r="G50" s="39">
        <v>1</v>
      </c>
      <c r="H50" s="40">
        <f t="shared" si="0"/>
        <v>110.85</v>
      </c>
      <c r="I50" s="41">
        <v>0</v>
      </c>
      <c r="J50" s="41">
        <v>1</v>
      </c>
      <c r="K50" s="41">
        <f t="shared" si="1"/>
        <v>0</v>
      </c>
      <c r="L50" s="85">
        <f t="shared" si="2"/>
        <v>110.85</v>
      </c>
      <c r="N50" s="86">
        <f t="shared" si="3"/>
        <v>1.3325</v>
      </c>
      <c r="P50" s="84">
        <f t="shared" si="4"/>
        <v>449708.89725272724</v>
      </c>
      <c r="Q50" s="87">
        <f t="shared" si="5"/>
        <v>3042.6853670685196</v>
      </c>
      <c r="S50" s="84">
        <v>428039.17649822717</v>
      </c>
      <c r="T50" s="87">
        <v>2896.0702063479507</v>
      </c>
      <c r="V50" s="88">
        <f t="shared" si="6"/>
        <v>5.062555472557273E-2</v>
      </c>
      <c r="X50" s="84">
        <v>31217.54</v>
      </c>
      <c r="Y50" s="87">
        <f t="shared" ref="Y50:Y89" si="8">+P50-X50</f>
        <v>418491.35725272726</v>
      </c>
      <c r="Z50" s="4"/>
    </row>
    <row r="51" spans="2:26" x14ac:dyDescent="0.25">
      <c r="B51" s="116" t="s">
        <v>80</v>
      </c>
      <c r="C51" s="117" t="s">
        <v>210</v>
      </c>
      <c r="D51" s="94"/>
      <c r="E51" s="115">
        <v>71.3</v>
      </c>
      <c r="F51" s="111">
        <v>0</v>
      </c>
      <c r="G51" s="39">
        <v>0</v>
      </c>
      <c r="H51" s="40">
        <f t="shared" si="0"/>
        <v>0</v>
      </c>
      <c r="I51" s="41">
        <v>0</v>
      </c>
      <c r="J51" s="41">
        <v>1</v>
      </c>
      <c r="K51" s="41">
        <f t="shared" si="1"/>
        <v>0</v>
      </c>
      <c r="L51" s="85">
        <f t="shared" si="2"/>
        <v>0</v>
      </c>
      <c r="N51" s="86">
        <f t="shared" si="3"/>
        <v>0</v>
      </c>
      <c r="P51" s="84">
        <f t="shared" si="4"/>
        <v>0</v>
      </c>
      <c r="Q51" s="87">
        <f t="shared" si="5"/>
        <v>0</v>
      </c>
      <c r="S51" s="84">
        <v>0</v>
      </c>
      <c r="T51" s="87">
        <v>0</v>
      </c>
      <c r="V51" s="88"/>
      <c r="X51" s="84"/>
      <c r="Y51" s="87"/>
      <c r="Z51" s="4"/>
    </row>
    <row r="52" spans="2:26" x14ac:dyDescent="0.25">
      <c r="B52" s="116" t="s">
        <v>81</v>
      </c>
      <c r="C52" s="117" t="s">
        <v>82</v>
      </c>
      <c r="D52" s="94"/>
      <c r="E52" s="115">
        <f>168.85-50.65</f>
        <v>118.19999999999999</v>
      </c>
      <c r="F52" s="111">
        <v>0.75</v>
      </c>
      <c r="G52" s="39">
        <v>1</v>
      </c>
      <c r="H52" s="40">
        <f t="shared" si="0"/>
        <v>88.65</v>
      </c>
      <c r="I52" s="41">
        <v>0</v>
      </c>
      <c r="J52" s="41">
        <v>1</v>
      </c>
      <c r="K52" s="41">
        <f t="shared" si="1"/>
        <v>0</v>
      </c>
      <c r="L52" s="85">
        <f t="shared" si="2"/>
        <v>88.65</v>
      </c>
      <c r="N52" s="86">
        <f t="shared" si="3"/>
        <v>1.0657000000000001</v>
      </c>
      <c r="P52" s="84">
        <f t="shared" si="4"/>
        <v>359665.87002043636</v>
      </c>
      <c r="Q52" s="87">
        <f t="shared" si="5"/>
        <v>3042.8584604097832</v>
      </c>
      <c r="S52" s="84">
        <v>342334.97215321637</v>
      </c>
      <c r="T52" s="87">
        <v>2896.2349589950627</v>
      </c>
      <c r="V52" s="88">
        <f t="shared" si="6"/>
        <v>5.0625554725572508E-2</v>
      </c>
      <c r="X52" s="84">
        <v>23972.51</v>
      </c>
      <c r="Y52" s="87">
        <f t="shared" si="8"/>
        <v>335693.36002043635</v>
      </c>
      <c r="Z52" s="4"/>
    </row>
    <row r="53" spans="2:26" x14ac:dyDescent="0.25">
      <c r="B53" s="116" t="s">
        <v>81</v>
      </c>
      <c r="C53" s="117" t="s">
        <v>192</v>
      </c>
      <c r="D53" s="94"/>
      <c r="E53" s="115">
        <v>50.65</v>
      </c>
      <c r="F53" s="111">
        <v>0</v>
      </c>
      <c r="G53" s="39">
        <v>0</v>
      </c>
      <c r="H53" s="40">
        <f t="shared" si="0"/>
        <v>0</v>
      </c>
      <c r="I53" s="41">
        <v>0</v>
      </c>
      <c r="J53" s="41">
        <v>1</v>
      </c>
      <c r="K53" s="41">
        <f t="shared" si="1"/>
        <v>0</v>
      </c>
      <c r="L53" s="85">
        <f t="shared" si="2"/>
        <v>0</v>
      </c>
      <c r="N53" s="86">
        <f t="shared" si="3"/>
        <v>0</v>
      </c>
      <c r="P53" s="84">
        <f t="shared" si="4"/>
        <v>0</v>
      </c>
      <c r="Q53" s="87">
        <f t="shared" si="5"/>
        <v>0</v>
      </c>
      <c r="S53" s="84">
        <v>0</v>
      </c>
      <c r="T53" s="87">
        <v>0</v>
      </c>
      <c r="V53" s="88"/>
      <c r="X53" s="84"/>
      <c r="Y53" s="87"/>
      <c r="Z53" s="4"/>
    </row>
    <row r="54" spans="2:26" x14ac:dyDescent="0.25">
      <c r="B54" s="116" t="s">
        <v>83</v>
      </c>
      <c r="C54" s="117" t="s">
        <v>171</v>
      </c>
      <c r="D54" s="94"/>
      <c r="E54" s="115">
        <f>149.55-11.9</f>
        <v>137.65</v>
      </c>
      <c r="F54" s="111">
        <v>0.75</v>
      </c>
      <c r="G54" s="39">
        <v>1</v>
      </c>
      <c r="H54" s="40">
        <f t="shared" si="0"/>
        <v>103.24</v>
      </c>
      <c r="I54" s="41">
        <v>0</v>
      </c>
      <c r="J54" s="41">
        <v>1</v>
      </c>
      <c r="K54" s="41">
        <f t="shared" si="1"/>
        <v>0</v>
      </c>
      <c r="L54" s="85">
        <f t="shared" si="2"/>
        <v>103.24</v>
      </c>
      <c r="N54" s="86">
        <f t="shared" si="3"/>
        <v>1.2411000000000001</v>
      </c>
      <c r="P54" s="84">
        <f t="shared" si="4"/>
        <v>418862.07308094547</v>
      </c>
      <c r="Q54" s="87">
        <f t="shared" si="5"/>
        <v>3042.9500405444637</v>
      </c>
      <c r="S54" s="84">
        <v>398678.74067688541</v>
      </c>
      <c r="T54" s="87">
        <v>2896.3221262396323</v>
      </c>
      <c r="V54" s="88">
        <f t="shared" si="6"/>
        <v>5.062555472557273E-2</v>
      </c>
      <c r="X54" s="84">
        <v>21306.69</v>
      </c>
      <c r="Y54" s="87">
        <f t="shared" si="8"/>
        <v>397555.38308094547</v>
      </c>
      <c r="Z54" s="4"/>
    </row>
    <row r="55" spans="2:26" x14ac:dyDescent="0.25">
      <c r="B55" s="116" t="s">
        <v>83</v>
      </c>
      <c r="C55" s="117" t="s">
        <v>193</v>
      </c>
      <c r="D55" s="94"/>
      <c r="E55" s="115">
        <v>11.9</v>
      </c>
      <c r="F55" s="111">
        <v>0</v>
      </c>
      <c r="G55" s="39">
        <v>0</v>
      </c>
      <c r="H55" s="40">
        <f t="shared" si="0"/>
        <v>0</v>
      </c>
      <c r="I55" s="41">
        <v>0</v>
      </c>
      <c r="J55" s="41">
        <v>1</v>
      </c>
      <c r="K55" s="41">
        <f t="shared" si="1"/>
        <v>0</v>
      </c>
      <c r="L55" s="85">
        <f t="shared" si="2"/>
        <v>0</v>
      </c>
      <c r="N55" s="86">
        <f t="shared" si="3"/>
        <v>0</v>
      </c>
      <c r="P55" s="84">
        <f t="shared" si="4"/>
        <v>0</v>
      </c>
      <c r="Q55" s="87">
        <f t="shared" si="5"/>
        <v>0</v>
      </c>
      <c r="S55" s="84">
        <v>0</v>
      </c>
      <c r="T55" s="87">
        <v>0</v>
      </c>
      <c r="V55" s="88"/>
      <c r="X55" s="84"/>
      <c r="Y55" s="87"/>
      <c r="Z55" s="4"/>
    </row>
    <row r="56" spans="2:26" x14ac:dyDescent="0.25">
      <c r="B56" s="78" t="s">
        <v>218</v>
      </c>
      <c r="C56" s="79" t="s">
        <v>219</v>
      </c>
      <c r="D56" s="80"/>
      <c r="E56" s="81">
        <v>612.85</v>
      </c>
      <c r="F56" s="82">
        <v>0.3</v>
      </c>
      <c r="G56" s="166">
        <v>1</v>
      </c>
      <c r="H56" s="167">
        <f t="shared" si="0"/>
        <v>183.86</v>
      </c>
      <c r="I56" s="82">
        <v>0</v>
      </c>
      <c r="J56" s="82">
        <v>1</v>
      </c>
      <c r="K56" s="82">
        <f t="shared" si="1"/>
        <v>0</v>
      </c>
      <c r="L56" s="168">
        <f t="shared" si="2"/>
        <v>183.86</v>
      </c>
      <c r="N56" s="86">
        <f t="shared" si="3"/>
        <v>2.2101999999999999</v>
      </c>
      <c r="P56" s="169">
        <f t="shared" si="4"/>
        <v>745926.15737934527</v>
      </c>
      <c r="Q56" s="170">
        <f t="shared" si="5"/>
        <v>1217.1431139419847</v>
      </c>
      <c r="R56" s="80"/>
      <c r="S56" s="169">
        <v>709982.88022242533</v>
      </c>
      <c r="T56" s="170">
        <v>1158.4937263970389</v>
      </c>
      <c r="U56" s="80"/>
      <c r="V56" s="171">
        <f t="shared" si="6"/>
        <v>5.0625554725572508E-2</v>
      </c>
      <c r="W56" s="80"/>
      <c r="X56" s="169"/>
      <c r="Y56" s="170">
        <f t="shared" si="8"/>
        <v>745926.15737934527</v>
      </c>
      <c r="Z56" s="4"/>
    </row>
    <row r="57" spans="2:26" x14ac:dyDescent="0.25">
      <c r="B57" s="101" t="s">
        <v>84</v>
      </c>
      <c r="C57" s="97" t="s">
        <v>222</v>
      </c>
      <c r="D57" s="98"/>
      <c r="E57" s="103">
        <v>30.05</v>
      </c>
      <c r="F57" s="100">
        <v>1</v>
      </c>
      <c r="G57" s="39">
        <v>1</v>
      </c>
      <c r="H57" s="40">
        <f t="shared" si="0"/>
        <v>30.05</v>
      </c>
      <c r="I57" s="41">
        <v>0</v>
      </c>
      <c r="J57" s="41">
        <v>1</v>
      </c>
      <c r="K57" s="41">
        <f>ROUND(I57*J57,2)</f>
        <v>0</v>
      </c>
      <c r="L57" s="85">
        <f>H57+K57</f>
        <v>30.05</v>
      </c>
      <c r="N57" s="86">
        <f t="shared" si="3"/>
        <v>0.36120000000000002</v>
      </c>
      <c r="P57" s="84">
        <f t="shared" si="4"/>
        <v>121902.32922152727</v>
      </c>
      <c r="Q57" s="87">
        <f t="shared" si="5"/>
        <v>4056.6498908994099</v>
      </c>
      <c r="S57" s="84">
        <v>116028.33062000727</v>
      </c>
      <c r="T57" s="87">
        <v>3861.1757277872634</v>
      </c>
      <c r="V57" s="88">
        <f t="shared" si="6"/>
        <v>5.0625554725572508E-2</v>
      </c>
      <c r="X57" s="84">
        <v>5709.1</v>
      </c>
      <c r="Y57" s="87">
        <f t="shared" si="8"/>
        <v>116193.22922152726</v>
      </c>
      <c r="Z57" s="4"/>
    </row>
    <row r="58" spans="2:26" x14ac:dyDescent="0.25">
      <c r="B58" s="116"/>
      <c r="C58" s="117" t="s">
        <v>85</v>
      </c>
      <c r="D58" s="94"/>
      <c r="E58" s="115">
        <v>1934.81</v>
      </c>
      <c r="F58" s="111">
        <v>0.08</v>
      </c>
      <c r="G58" s="39">
        <v>1</v>
      </c>
      <c r="H58" s="40">
        <f t="shared" si="0"/>
        <v>154.78</v>
      </c>
      <c r="I58" s="41">
        <v>0</v>
      </c>
      <c r="J58" s="41">
        <v>1</v>
      </c>
      <c r="K58" s="41">
        <f>ROUND(I58*J58,2)</f>
        <v>0</v>
      </c>
      <c r="L58" s="85">
        <f>H58+K58</f>
        <v>154.78</v>
      </c>
      <c r="N58" s="86">
        <f t="shared" si="3"/>
        <v>1.8606</v>
      </c>
      <c r="P58" s="84">
        <f t="shared" si="4"/>
        <v>627938.74238530907</v>
      </c>
      <c r="Q58" s="87">
        <f t="shared" si="5"/>
        <v>324.54801369917931</v>
      </c>
      <c r="S58" s="84">
        <v>597680.81935654907</v>
      </c>
      <c r="T58" s="87">
        <v>308.90930859182509</v>
      </c>
      <c r="V58" s="88">
        <f t="shared" si="6"/>
        <v>5.0625554725572508E-2</v>
      </c>
      <c r="X58" s="84">
        <v>24417.02</v>
      </c>
      <c r="Y58" s="87">
        <f t="shared" si="8"/>
        <v>603521.72238530905</v>
      </c>
      <c r="Z58" s="4"/>
    </row>
    <row r="59" spans="2:26" x14ac:dyDescent="0.25">
      <c r="B59" s="78" t="s">
        <v>86</v>
      </c>
      <c r="C59" s="79" t="s">
        <v>87</v>
      </c>
      <c r="D59" s="80"/>
      <c r="E59" s="81">
        <v>565</v>
      </c>
      <c r="F59" s="83">
        <v>0.5</v>
      </c>
      <c r="G59" s="166">
        <v>1</v>
      </c>
      <c r="H59" s="167">
        <f t="shared" si="0"/>
        <v>282.5</v>
      </c>
      <c r="I59" s="82">
        <v>0</v>
      </c>
      <c r="J59" s="82">
        <v>1</v>
      </c>
      <c r="K59" s="82">
        <f t="shared" si="1"/>
        <v>0</v>
      </c>
      <c r="L59" s="168">
        <f t="shared" si="2"/>
        <v>282.5</v>
      </c>
      <c r="N59" s="86">
        <f t="shared" si="3"/>
        <v>3.3959999999999999</v>
      </c>
      <c r="P59" s="169">
        <f t="shared" si="4"/>
        <v>1146124.8893585452</v>
      </c>
      <c r="Q59" s="170">
        <f t="shared" si="5"/>
        <v>2028.5396271832658</v>
      </c>
      <c r="R59" s="80"/>
      <c r="S59" s="169">
        <v>1090897.5935369453</v>
      </c>
      <c r="T59" s="170">
        <v>1930.7922009503457</v>
      </c>
      <c r="U59" s="80"/>
      <c r="V59" s="171">
        <f t="shared" si="6"/>
        <v>5.0625554725572508E-2</v>
      </c>
      <c r="W59" s="80"/>
      <c r="X59" s="169"/>
      <c r="Y59" s="170">
        <f t="shared" si="8"/>
        <v>1146124.8893585452</v>
      </c>
      <c r="Z59" s="4"/>
    </row>
    <row r="60" spans="2:26" x14ac:dyDescent="0.25">
      <c r="B60" s="101" t="s">
        <v>186</v>
      </c>
      <c r="C60" s="97" t="s">
        <v>199</v>
      </c>
      <c r="D60" s="98"/>
      <c r="E60" s="103">
        <v>31</v>
      </c>
      <c r="F60" s="100">
        <v>1</v>
      </c>
      <c r="G60" s="39">
        <v>1</v>
      </c>
      <c r="H60" s="40">
        <f t="shared" si="0"/>
        <v>31</v>
      </c>
      <c r="I60" s="41">
        <v>0</v>
      </c>
      <c r="J60" s="41">
        <v>1</v>
      </c>
      <c r="K60" s="41">
        <f t="shared" si="1"/>
        <v>0</v>
      </c>
      <c r="L60" s="85">
        <f t="shared" si="2"/>
        <v>31</v>
      </c>
      <c r="N60" s="86">
        <f t="shared" si="3"/>
        <v>0.37269999999999998</v>
      </c>
      <c r="P60" s="84">
        <f t="shared" si="4"/>
        <v>125783.49418843635</v>
      </c>
      <c r="Q60" s="87">
        <f t="shared" si="5"/>
        <v>4057.5320705947211</v>
      </c>
      <c r="S60" s="84">
        <v>119722.47735901634</v>
      </c>
      <c r="T60" s="87">
        <v>3862.0153986779465</v>
      </c>
      <c r="V60" s="88">
        <f t="shared" si="6"/>
        <v>5.062555472557273E-2</v>
      </c>
      <c r="X60" s="84"/>
      <c r="Y60" s="87">
        <f t="shared" si="8"/>
        <v>125783.49418843635</v>
      </c>
      <c r="Z60" s="4"/>
    </row>
    <row r="61" spans="2:26" x14ac:dyDescent="0.25">
      <c r="B61" s="101" t="s">
        <v>187</v>
      </c>
      <c r="C61" s="97" t="s">
        <v>188</v>
      </c>
      <c r="D61" s="98"/>
      <c r="E61" s="103">
        <v>45.3</v>
      </c>
      <c r="F61" s="100">
        <v>1</v>
      </c>
      <c r="G61" s="39">
        <v>1</v>
      </c>
      <c r="H61" s="40">
        <f>ROUND(E61*G61*F61,2)</f>
        <v>45.3</v>
      </c>
      <c r="I61" s="41">
        <v>0</v>
      </c>
      <c r="J61" s="41">
        <v>1</v>
      </c>
      <c r="K61" s="41">
        <f>ROUND(I61*J61,2)</f>
        <v>0</v>
      </c>
      <c r="L61" s="85">
        <f>H61+K61</f>
        <v>45.3</v>
      </c>
      <c r="N61" s="86">
        <f t="shared" si="3"/>
        <v>0.54459999999999997</v>
      </c>
      <c r="P61" s="84">
        <f>($P$12*N61)/100</f>
        <v>183798.4731285818</v>
      </c>
      <c r="Q61" s="87">
        <f>P61/E61</f>
        <v>4057.3614377170379</v>
      </c>
      <c r="S61" s="84">
        <v>174941.94035342179</v>
      </c>
      <c r="T61" s="87">
        <v>3861.8529879342559</v>
      </c>
      <c r="V61" s="88">
        <f t="shared" si="6"/>
        <v>5.0625554725572508E-2</v>
      </c>
      <c r="X61" s="84"/>
      <c r="Y61" s="87">
        <f t="shared" si="8"/>
        <v>183798.4731285818</v>
      </c>
      <c r="Z61" s="4"/>
    </row>
    <row r="62" spans="2:26" x14ac:dyDescent="0.25">
      <c r="B62" s="101" t="s">
        <v>88</v>
      </c>
      <c r="C62" s="97" t="s">
        <v>89</v>
      </c>
      <c r="D62" s="98"/>
      <c r="E62" s="103">
        <v>39.799999999999997</v>
      </c>
      <c r="F62" s="100">
        <v>1</v>
      </c>
      <c r="G62" s="39">
        <v>1</v>
      </c>
      <c r="H62" s="40">
        <f t="shared" si="0"/>
        <v>39.799999999999997</v>
      </c>
      <c r="I62" s="41">
        <v>0</v>
      </c>
      <c r="J62" s="41">
        <v>1</v>
      </c>
      <c r="K62" s="41">
        <f t="shared" si="1"/>
        <v>0</v>
      </c>
      <c r="L62" s="85">
        <f t="shared" si="2"/>
        <v>39.799999999999997</v>
      </c>
      <c r="N62" s="86">
        <f t="shared" si="3"/>
        <v>0.47839999999999999</v>
      </c>
      <c r="P62" s="84">
        <f t="shared" si="4"/>
        <v>161456.46262341816</v>
      </c>
      <c r="Q62" s="87">
        <f t="shared" si="5"/>
        <v>4056.6950407894014</v>
      </c>
      <c r="S62" s="84">
        <v>153676.50434277815</v>
      </c>
      <c r="T62" s="87">
        <v>3861.2187020798533</v>
      </c>
      <c r="V62" s="88">
        <f t="shared" si="6"/>
        <v>5.062555472557273E-2</v>
      </c>
      <c r="X62" s="84">
        <v>7560.4</v>
      </c>
      <c r="Y62" s="87">
        <f t="shared" si="8"/>
        <v>153896.06262341817</v>
      </c>
      <c r="Z62" s="4"/>
    </row>
    <row r="63" spans="2:26" x14ac:dyDescent="0.25">
      <c r="B63" s="101" t="s">
        <v>161</v>
      </c>
      <c r="C63" s="97" t="s">
        <v>194</v>
      </c>
      <c r="D63" s="98"/>
      <c r="E63" s="103">
        <v>43.5</v>
      </c>
      <c r="F63" s="100">
        <v>1</v>
      </c>
      <c r="G63" s="39">
        <v>1</v>
      </c>
      <c r="H63" s="40">
        <f t="shared" si="0"/>
        <v>43.5</v>
      </c>
      <c r="I63" s="41">
        <v>0</v>
      </c>
      <c r="J63" s="41">
        <v>1</v>
      </c>
      <c r="K63" s="41">
        <f t="shared" si="1"/>
        <v>0</v>
      </c>
      <c r="L63" s="85">
        <f t="shared" si="2"/>
        <v>43.5</v>
      </c>
      <c r="N63" s="86">
        <f t="shared" si="3"/>
        <v>0.52290000000000003</v>
      </c>
      <c r="P63" s="84">
        <f t="shared" si="4"/>
        <v>176474.88358232725</v>
      </c>
      <c r="Q63" s="87">
        <f t="shared" si="5"/>
        <v>4056.8938754557989</v>
      </c>
      <c r="R63" s="2"/>
      <c r="S63" s="84">
        <v>167971.24607198726</v>
      </c>
      <c r="T63" s="87">
        <v>3861.4079556778679</v>
      </c>
      <c r="U63" s="2"/>
      <c r="V63" s="88">
        <f t="shared" si="6"/>
        <v>5.0625554725572508E-2</v>
      </c>
      <c r="W63" s="2"/>
      <c r="X63" s="84">
        <v>7551.71</v>
      </c>
      <c r="Y63" s="87">
        <f t="shared" si="8"/>
        <v>168923.17358232726</v>
      </c>
      <c r="Z63" s="4"/>
    </row>
    <row r="64" spans="2:26" x14ac:dyDescent="0.25">
      <c r="B64" s="101" t="s">
        <v>162</v>
      </c>
      <c r="C64" s="97" t="s">
        <v>216</v>
      </c>
      <c r="D64" s="98"/>
      <c r="E64" s="100">
        <f>(39.75+33.85+33.8+43.4)*0.85+(23.65/2)</f>
        <v>140.00499999999997</v>
      </c>
      <c r="F64" s="100">
        <v>1</v>
      </c>
      <c r="G64" s="39">
        <v>1</v>
      </c>
      <c r="H64" s="40">
        <f t="shared" si="0"/>
        <v>140.01</v>
      </c>
      <c r="I64" s="41">
        <v>0</v>
      </c>
      <c r="J64" s="41">
        <v>1</v>
      </c>
      <c r="K64" s="41">
        <f t="shared" si="1"/>
        <v>0</v>
      </c>
      <c r="L64" s="85">
        <f t="shared" si="2"/>
        <v>140.01</v>
      </c>
      <c r="N64" s="86">
        <f t="shared" si="3"/>
        <v>1.6831</v>
      </c>
      <c r="P64" s="84">
        <f t="shared" si="4"/>
        <v>568033.80485258182</v>
      </c>
      <c r="Q64" s="87">
        <f t="shared" si="5"/>
        <v>4057.2394189677652</v>
      </c>
      <c r="R64" s="93"/>
      <c r="S64" s="84">
        <v>540662.4675153218</v>
      </c>
      <c r="T64" s="87">
        <v>3861.7368487934141</v>
      </c>
      <c r="U64" s="93"/>
      <c r="V64" s="88">
        <f t="shared" si="6"/>
        <v>5.0625554725572508E-2</v>
      </c>
      <c r="W64" s="93"/>
      <c r="X64" s="84">
        <v>27406.92</v>
      </c>
      <c r="Y64" s="87">
        <f t="shared" si="8"/>
        <v>540626.88485258177</v>
      </c>
      <c r="Z64" s="4"/>
    </row>
    <row r="65" spans="2:26" x14ac:dyDescent="0.25">
      <c r="B65" s="116" t="s">
        <v>90</v>
      </c>
      <c r="C65" s="117" t="s">
        <v>127</v>
      </c>
      <c r="D65" s="94"/>
      <c r="E65" s="115">
        <f>150.45+23.65-23.65</f>
        <v>150.44999999999999</v>
      </c>
      <c r="F65" s="111">
        <v>0.8</v>
      </c>
      <c r="G65" s="39">
        <v>1</v>
      </c>
      <c r="H65" s="40">
        <f t="shared" si="0"/>
        <v>120.36</v>
      </c>
      <c r="I65" s="41">
        <v>0</v>
      </c>
      <c r="J65" s="41">
        <v>1</v>
      </c>
      <c r="K65" s="41">
        <f t="shared" si="1"/>
        <v>0</v>
      </c>
      <c r="L65" s="85">
        <f t="shared" si="2"/>
        <v>120.36</v>
      </c>
      <c r="N65" s="86">
        <f t="shared" si="3"/>
        <v>1.4469000000000001</v>
      </c>
      <c r="P65" s="84">
        <f t="shared" si="4"/>
        <v>488318.05135832727</v>
      </c>
      <c r="Q65" s="87">
        <f t="shared" si="5"/>
        <v>3245.7165261437508</v>
      </c>
      <c r="S65" s="84">
        <v>464787.90579758724</v>
      </c>
      <c r="T65" s="87">
        <v>3089.3180843973896</v>
      </c>
      <c r="V65" s="88">
        <f t="shared" si="6"/>
        <v>5.0625554725572508E-2</v>
      </c>
      <c r="X65" s="84">
        <v>29766.05</v>
      </c>
      <c r="Y65" s="87">
        <f t="shared" si="8"/>
        <v>458552.00135832728</v>
      </c>
      <c r="Z65" s="4"/>
    </row>
    <row r="66" spans="2:26" x14ac:dyDescent="0.25">
      <c r="B66" s="101" t="s">
        <v>91</v>
      </c>
      <c r="C66" s="97" t="s">
        <v>181</v>
      </c>
      <c r="D66" s="98"/>
      <c r="E66" s="103">
        <v>0</v>
      </c>
      <c r="F66" s="100">
        <v>1</v>
      </c>
      <c r="G66" s="39">
        <v>1</v>
      </c>
      <c r="H66" s="40">
        <f t="shared" si="0"/>
        <v>0</v>
      </c>
      <c r="I66" s="41">
        <v>0</v>
      </c>
      <c r="J66" s="41">
        <v>1</v>
      </c>
      <c r="K66" s="41">
        <f t="shared" si="1"/>
        <v>0</v>
      </c>
      <c r="L66" s="85">
        <f t="shared" si="2"/>
        <v>0</v>
      </c>
      <c r="N66" s="86">
        <f t="shared" si="3"/>
        <v>0</v>
      </c>
      <c r="P66" s="84">
        <f t="shared" si="4"/>
        <v>0</v>
      </c>
      <c r="Q66" s="87" t="e">
        <f t="shared" si="5"/>
        <v>#DIV/0!</v>
      </c>
      <c r="S66" s="84">
        <v>0</v>
      </c>
      <c r="T66" s="87" t="e">
        <v>#DIV/0!</v>
      </c>
      <c r="V66" s="88" t="e">
        <f t="shared" si="6"/>
        <v>#DIV/0!</v>
      </c>
      <c r="X66" s="84">
        <v>26253.42</v>
      </c>
      <c r="Y66" s="87">
        <f t="shared" si="8"/>
        <v>-26253.42</v>
      </c>
      <c r="Z66" s="4"/>
    </row>
    <row r="67" spans="2:26" x14ac:dyDescent="0.25">
      <c r="B67" s="101" t="s">
        <v>92</v>
      </c>
      <c r="C67" s="97" t="s">
        <v>181</v>
      </c>
      <c r="D67" s="98"/>
      <c r="E67" s="103">
        <v>0</v>
      </c>
      <c r="F67" s="100">
        <v>1</v>
      </c>
      <c r="G67" s="39">
        <v>1</v>
      </c>
      <c r="H67" s="40">
        <f t="shared" si="0"/>
        <v>0</v>
      </c>
      <c r="I67" s="41">
        <v>0</v>
      </c>
      <c r="J67" s="41">
        <v>1</v>
      </c>
      <c r="K67" s="41">
        <f t="shared" si="1"/>
        <v>0</v>
      </c>
      <c r="L67" s="85">
        <f t="shared" si="2"/>
        <v>0</v>
      </c>
      <c r="N67" s="86">
        <f t="shared" si="3"/>
        <v>0</v>
      </c>
      <c r="P67" s="84">
        <f t="shared" si="4"/>
        <v>0</v>
      </c>
      <c r="Q67" s="87" t="e">
        <f t="shared" si="5"/>
        <v>#DIV/0!</v>
      </c>
      <c r="S67" s="84">
        <v>0</v>
      </c>
      <c r="T67" s="87" t="e">
        <v>#DIV/0!</v>
      </c>
      <c r="V67" s="88" t="e">
        <f t="shared" si="6"/>
        <v>#DIV/0!</v>
      </c>
      <c r="X67" s="84">
        <v>7750.37</v>
      </c>
      <c r="Y67" s="87">
        <f t="shared" si="8"/>
        <v>-7750.37</v>
      </c>
      <c r="Z67" s="4"/>
    </row>
    <row r="68" spans="2:26" x14ac:dyDescent="0.25">
      <c r="B68" s="116" t="s">
        <v>93</v>
      </c>
      <c r="C68" s="109" t="s">
        <v>95</v>
      </c>
      <c r="D68" s="94"/>
      <c r="E68" s="115">
        <v>39.200000000000003</v>
      </c>
      <c r="F68" s="111">
        <v>0.8</v>
      </c>
      <c r="G68" s="39">
        <v>1</v>
      </c>
      <c r="H68" s="40">
        <f t="shared" si="0"/>
        <v>31.36</v>
      </c>
      <c r="I68" s="41">
        <v>0</v>
      </c>
      <c r="J68" s="41">
        <v>1</v>
      </c>
      <c r="K68" s="41">
        <f t="shared" si="1"/>
        <v>0</v>
      </c>
      <c r="L68" s="85">
        <f t="shared" si="2"/>
        <v>31.36</v>
      </c>
      <c r="N68" s="86">
        <f t="shared" si="3"/>
        <v>0.377</v>
      </c>
      <c r="P68" s="84">
        <f t="shared" si="4"/>
        <v>127234.71239345454</v>
      </c>
      <c r="Q68" s="87">
        <f t="shared" si="5"/>
        <v>3245.7834794248606</v>
      </c>
      <c r="S68" s="84">
        <v>121103.76700925453</v>
      </c>
      <c r="T68" s="87">
        <v>3089.3818114605747</v>
      </c>
      <c r="V68" s="88">
        <f t="shared" si="6"/>
        <v>5.0625554725572508E-2</v>
      </c>
      <c r="X68" s="84">
        <v>7447.41</v>
      </c>
      <c r="Y68" s="87">
        <f t="shared" si="8"/>
        <v>119787.30239345453</v>
      </c>
      <c r="Z68" s="4"/>
    </row>
    <row r="69" spans="2:26" x14ac:dyDescent="0.25">
      <c r="B69" s="108" t="s">
        <v>94</v>
      </c>
      <c r="C69" s="109" t="s">
        <v>95</v>
      </c>
      <c r="D69" s="94"/>
      <c r="E69" s="115">
        <v>179.3</v>
      </c>
      <c r="F69" s="111">
        <v>0.8</v>
      </c>
      <c r="G69" s="39">
        <v>1</v>
      </c>
      <c r="H69" s="40">
        <f t="shared" si="0"/>
        <v>143.44</v>
      </c>
      <c r="I69" s="41">
        <v>0</v>
      </c>
      <c r="J69" s="41">
        <v>1</v>
      </c>
      <c r="K69" s="41">
        <f t="shared" si="1"/>
        <v>0</v>
      </c>
      <c r="L69" s="85">
        <f t="shared" si="2"/>
        <v>143.44</v>
      </c>
      <c r="N69" s="86">
        <f t="shared" si="3"/>
        <v>1.7242999999999999</v>
      </c>
      <c r="P69" s="84">
        <f t="shared" si="4"/>
        <v>581938.50021229079</v>
      </c>
      <c r="Q69" s="87">
        <f t="shared" si="5"/>
        <v>3245.6134981165128</v>
      </c>
      <c r="S69" s="84">
        <v>553897.14974551077</v>
      </c>
      <c r="T69" s="87">
        <v>3089.2200208896306</v>
      </c>
      <c r="V69" s="88">
        <f t="shared" si="6"/>
        <v>5.0625554725572508E-2</v>
      </c>
      <c r="X69" s="84">
        <v>26481.89</v>
      </c>
      <c r="Y69" s="87">
        <f t="shared" si="8"/>
        <v>555456.61021229078</v>
      </c>
      <c r="Z69" s="4"/>
    </row>
    <row r="70" spans="2:26" x14ac:dyDescent="0.25">
      <c r="B70" s="105" t="s">
        <v>96</v>
      </c>
      <c r="C70" s="106" t="s">
        <v>97</v>
      </c>
      <c r="D70" s="98"/>
      <c r="E70" s="103">
        <v>58</v>
      </c>
      <c r="F70" s="100">
        <v>1</v>
      </c>
      <c r="G70" s="39">
        <v>1</v>
      </c>
      <c r="H70" s="40">
        <f t="shared" si="0"/>
        <v>58</v>
      </c>
      <c r="I70" s="41">
        <v>0</v>
      </c>
      <c r="J70" s="41">
        <v>1</v>
      </c>
      <c r="K70" s="41">
        <f>ROUND(I70*J70,2)</f>
        <v>0</v>
      </c>
      <c r="L70" s="85">
        <f>H70+K70</f>
        <v>58</v>
      </c>
      <c r="N70" s="86">
        <f t="shared" si="3"/>
        <v>0.69720000000000004</v>
      </c>
      <c r="P70" s="84">
        <f t="shared" si="4"/>
        <v>235299.84477643634</v>
      </c>
      <c r="Q70" s="87">
        <f t="shared" si="5"/>
        <v>4056.8938754557989</v>
      </c>
      <c r="S70" s="84">
        <v>223961.66142931636</v>
      </c>
      <c r="T70" s="87">
        <v>3861.4079556778684</v>
      </c>
      <c r="V70" s="88">
        <f t="shared" si="6"/>
        <v>5.0625554725572508E-2</v>
      </c>
      <c r="X70" s="84">
        <v>11018.39</v>
      </c>
      <c r="Y70" s="87">
        <f t="shared" si="8"/>
        <v>224281.45477643632</v>
      </c>
      <c r="Z70" s="4"/>
    </row>
    <row r="71" spans="2:26" x14ac:dyDescent="0.25">
      <c r="B71" s="105" t="s">
        <v>100</v>
      </c>
      <c r="C71" s="106" t="s">
        <v>128</v>
      </c>
      <c r="D71" s="98"/>
      <c r="E71" s="103">
        <v>33.200000000000003</v>
      </c>
      <c r="F71" s="100">
        <v>1</v>
      </c>
      <c r="G71" s="39">
        <v>1</v>
      </c>
      <c r="H71" s="40">
        <f t="shared" si="0"/>
        <v>33.200000000000003</v>
      </c>
      <c r="I71" s="41">
        <v>0</v>
      </c>
      <c r="J71" s="41">
        <v>1</v>
      </c>
      <c r="K71" s="41">
        <f t="shared" si="1"/>
        <v>0</v>
      </c>
      <c r="L71" s="85">
        <f t="shared" si="2"/>
        <v>33.200000000000003</v>
      </c>
      <c r="N71" s="86">
        <f t="shared" si="3"/>
        <v>0.39910000000000001</v>
      </c>
      <c r="P71" s="84">
        <f t="shared" si="4"/>
        <v>134693.29898203636</v>
      </c>
      <c r="Q71" s="87">
        <f t="shared" si="5"/>
        <v>4057.0270777721789</v>
      </c>
      <c r="S71" s="84">
        <v>128202.95335117634</v>
      </c>
      <c r="T71" s="87">
        <v>3861.5347394932633</v>
      </c>
      <c r="V71" s="88">
        <f t="shared" si="6"/>
        <v>5.062555472557273E-2</v>
      </c>
      <c r="X71" s="84">
        <v>8513.99</v>
      </c>
      <c r="Y71" s="87">
        <f t="shared" si="8"/>
        <v>126179.30898203635</v>
      </c>
      <c r="Z71" s="4"/>
    </row>
    <row r="72" spans="2:26" x14ac:dyDescent="0.25">
      <c r="B72" s="105" t="s">
        <v>99</v>
      </c>
      <c r="C72" s="106" t="s">
        <v>164</v>
      </c>
      <c r="D72" s="98"/>
      <c r="E72" s="103">
        <v>43</v>
      </c>
      <c r="F72" s="100">
        <v>1</v>
      </c>
      <c r="G72" s="39">
        <v>1</v>
      </c>
      <c r="H72" s="40">
        <f t="shared" si="0"/>
        <v>43</v>
      </c>
      <c r="I72" s="41">
        <v>0</v>
      </c>
      <c r="J72" s="41">
        <v>1</v>
      </c>
      <c r="K72" s="41">
        <f>ROUND(I72*J72,2)</f>
        <v>0</v>
      </c>
      <c r="L72" s="85">
        <f>H72+K72</f>
        <v>43</v>
      </c>
      <c r="N72" s="86">
        <f t="shared" si="3"/>
        <v>0.51690000000000003</v>
      </c>
      <c r="P72" s="84">
        <f t="shared" si="4"/>
        <v>174449.92794741818</v>
      </c>
      <c r="Q72" s="87">
        <f t="shared" si="5"/>
        <v>4056.9750685446088</v>
      </c>
      <c r="S72" s="84">
        <v>166043.86516467817</v>
      </c>
      <c r="T72" s="87">
        <v>3861.4852363878645</v>
      </c>
      <c r="V72" s="88">
        <f t="shared" si="6"/>
        <v>5.062555472557273E-2</v>
      </c>
      <c r="X72" s="84">
        <v>8168.81</v>
      </c>
      <c r="Y72" s="87">
        <f t="shared" si="8"/>
        <v>166281.11794741818</v>
      </c>
      <c r="Z72" s="4"/>
    </row>
    <row r="73" spans="2:26" x14ac:dyDescent="0.25">
      <c r="B73" s="105" t="s">
        <v>98</v>
      </c>
      <c r="C73" s="106" t="s">
        <v>165</v>
      </c>
      <c r="D73" s="98"/>
      <c r="E73" s="103">
        <v>43</v>
      </c>
      <c r="F73" s="100">
        <v>1</v>
      </c>
      <c r="G73" s="39">
        <v>1</v>
      </c>
      <c r="H73" s="40">
        <f t="shared" si="0"/>
        <v>43</v>
      </c>
      <c r="I73" s="41">
        <v>0</v>
      </c>
      <c r="J73" s="41">
        <v>1</v>
      </c>
      <c r="K73" s="41">
        <f>ROUND(I73*J73,2)</f>
        <v>0</v>
      </c>
      <c r="L73" s="85">
        <f>H73+K73</f>
        <v>43</v>
      </c>
      <c r="N73" s="86">
        <f t="shared" si="3"/>
        <v>0.51690000000000003</v>
      </c>
      <c r="P73" s="84">
        <f t="shared" si="4"/>
        <v>174449.92794741818</v>
      </c>
      <c r="Q73" s="87">
        <f t="shared" si="5"/>
        <v>4056.9750685446088</v>
      </c>
      <c r="S73" s="84">
        <v>166043.86516467817</v>
      </c>
      <c r="T73" s="87">
        <v>3861.4852363878645</v>
      </c>
      <c r="V73" s="88">
        <f t="shared" si="6"/>
        <v>5.062555472557273E-2</v>
      </c>
      <c r="X73" s="84">
        <v>8168.81</v>
      </c>
      <c r="Y73" s="87">
        <f t="shared" si="8"/>
        <v>166281.11794741818</v>
      </c>
      <c r="Z73" s="4"/>
    </row>
    <row r="74" spans="2:26" x14ac:dyDescent="0.25">
      <c r="B74" s="108" t="s">
        <v>170</v>
      </c>
      <c r="C74" s="109" t="s">
        <v>180</v>
      </c>
      <c r="D74" s="94"/>
      <c r="E74" s="115">
        <v>101.8</v>
      </c>
      <c r="F74" s="111">
        <v>0.7</v>
      </c>
      <c r="G74" s="39">
        <v>1</v>
      </c>
      <c r="H74" s="40">
        <f t="shared" si="0"/>
        <v>71.260000000000005</v>
      </c>
      <c r="I74" s="41">
        <v>0</v>
      </c>
      <c r="J74" s="41">
        <v>1</v>
      </c>
      <c r="K74" s="41">
        <f t="shared" si="1"/>
        <v>0</v>
      </c>
      <c r="L74" s="85">
        <f t="shared" si="2"/>
        <v>71.260000000000005</v>
      </c>
      <c r="N74" s="86">
        <f t="shared" si="3"/>
        <v>0.85660000000000003</v>
      </c>
      <c r="P74" s="84">
        <f t="shared" si="4"/>
        <v>289096.1661438545</v>
      </c>
      <c r="Q74" s="87">
        <f t="shared" si="5"/>
        <v>2839.8444611380601</v>
      </c>
      <c r="S74" s="84">
        <v>275165.74753349455</v>
      </c>
      <c r="T74" s="87">
        <v>2703.0034138850151</v>
      </c>
      <c r="V74" s="88">
        <f t="shared" si="6"/>
        <v>5.0625554725572286E-2</v>
      </c>
      <c r="X74" s="84">
        <v>32553.55</v>
      </c>
      <c r="Y74" s="87">
        <f t="shared" si="8"/>
        <v>256542.61614385451</v>
      </c>
      <c r="Z74" s="4"/>
    </row>
    <row r="75" spans="2:26" x14ac:dyDescent="0.25">
      <c r="B75" s="108" t="s">
        <v>169</v>
      </c>
      <c r="C75" s="109" t="s">
        <v>108</v>
      </c>
      <c r="D75" s="94"/>
      <c r="E75" s="115">
        <v>88.6</v>
      </c>
      <c r="F75" s="111">
        <v>0.7</v>
      </c>
      <c r="G75" s="39">
        <v>1</v>
      </c>
      <c r="H75" s="40">
        <f t="shared" si="0"/>
        <v>62.02</v>
      </c>
      <c r="I75" s="41">
        <v>0</v>
      </c>
      <c r="J75" s="41">
        <v>1</v>
      </c>
      <c r="K75" s="41">
        <f t="shared" si="1"/>
        <v>0</v>
      </c>
      <c r="L75" s="85">
        <f t="shared" si="2"/>
        <v>62.02</v>
      </c>
      <c r="N75" s="86">
        <f t="shared" si="3"/>
        <v>0.74550000000000005</v>
      </c>
      <c r="P75" s="84">
        <f t="shared" si="4"/>
        <v>251600.73763745453</v>
      </c>
      <c r="Q75" s="87">
        <f t="shared" si="5"/>
        <v>2839.7374451179971</v>
      </c>
      <c r="S75" s="84">
        <v>239477.07773315453</v>
      </c>
      <c r="T75" s="87">
        <v>2702.9015545502771</v>
      </c>
      <c r="V75" s="88">
        <f t="shared" si="6"/>
        <v>5.0625554725572508E-2</v>
      </c>
      <c r="X75" s="84">
        <v>32553.55</v>
      </c>
      <c r="Y75" s="87">
        <f t="shared" si="8"/>
        <v>219047.18763745454</v>
      </c>
      <c r="Z75" s="4"/>
    </row>
    <row r="76" spans="2:26" x14ac:dyDescent="0.25">
      <c r="B76" s="105" t="s">
        <v>101</v>
      </c>
      <c r="C76" s="106" t="s">
        <v>223</v>
      </c>
      <c r="D76" s="98"/>
      <c r="E76" s="103">
        <f>93.1+30.25</f>
        <v>123.35</v>
      </c>
      <c r="F76" s="100">
        <v>1</v>
      </c>
      <c r="G76" s="39">
        <v>1</v>
      </c>
      <c r="H76" s="40">
        <f t="shared" si="0"/>
        <v>123.35</v>
      </c>
      <c r="I76" s="41">
        <v>0</v>
      </c>
      <c r="J76" s="41">
        <v>1</v>
      </c>
      <c r="K76" s="41">
        <f t="shared" si="1"/>
        <v>0</v>
      </c>
      <c r="L76" s="85">
        <f t="shared" si="2"/>
        <v>123.35</v>
      </c>
      <c r="N76" s="86">
        <f t="shared" si="3"/>
        <v>1.4827999999999999</v>
      </c>
      <c r="P76" s="84">
        <f t="shared" si="4"/>
        <v>500434.0359071999</v>
      </c>
      <c r="Q76" s="87">
        <f t="shared" si="5"/>
        <v>4057.0250174884468</v>
      </c>
      <c r="S76" s="84">
        <v>476320.06822631991</v>
      </c>
      <c r="T76" s="87">
        <v>3861.5327784865822</v>
      </c>
      <c r="V76" s="88">
        <f t="shared" si="6"/>
        <v>5.0625554725572508E-2</v>
      </c>
      <c r="X76" s="84">
        <v>0</v>
      </c>
      <c r="Y76" s="87">
        <f t="shared" si="8"/>
        <v>500434.0359071999</v>
      </c>
      <c r="Z76" s="4"/>
    </row>
    <row r="77" spans="2:26" x14ac:dyDescent="0.25">
      <c r="B77" s="105" t="s">
        <v>102</v>
      </c>
      <c r="C77" s="106" t="s">
        <v>223</v>
      </c>
      <c r="D77" s="98"/>
      <c r="E77" s="103">
        <v>95.65</v>
      </c>
      <c r="F77" s="100">
        <v>1</v>
      </c>
      <c r="G77" s="39">
        <v>1</v>
      </c>
      <c r="H77" s="40">
        <f t="shared" si="0"/>
        <v>95.65</v>
      </c>
      <c r="I77" s="41">
        <v>0</v>
      </c>
      <c r="J77" s="41">
        <v>1</v>
      </c>
      <c r="K77" s="41">
        <f t="shared" si="1"/>
        <v>0</v>
      </c>
      <c r="L77" s="85">
        <f t="shared" si="2"/>
        <v>95.65</v>
      </c>
      <c r="N77" s="86">
        <f t="shared" si="3"/>
        <v>1.1497999999999999</v>
      </c>
      <c r="P77" s="84">
        <f t="shared" si="4"/>
        <v>388048.99816974538</v>
      </c>
      <c r="Q77" s="87">
        <f t="shared" si="5"/>
        <v>4056.9680937767416</v>
      </c>
      <c r="S77" s="84">
        <v>369350.42787066544</v>
      </c>
      <c r="T77" s="87">
        <v>3861.4785977069046</v>
      </c>
      <c r="V77" s="88">
        <f t="shared" si="6"/>
        <v>5.0625554725572286E-2</v>
      </c>
      <c r="X77" s="84"/>
      <c r="Y77" s="87">
        <f t="shared" si="8"/>
        <v>388048.99816974538</v>
      </c>
      <c r="Z77" s="4"/>
    </row>
    <row r="78" spans="2:26" x14ac:dyDescent="0.25">
      <c r="B78" s="105" t="s">
        <v>103</v>
      </c>
      <c r="C78" s="106" t="s">
        <v>104</v>
      </c>
      <c r="D78" s="98"/>
      <c r="E78" s="103">
        <v>60.65</v>
      </c>
      <c r="F78" s="100">
        <v>1</v>
      </c>
      <c r="G78" s="39">
        <v>1</v>
      </c>
      <c r="H78" s="40">
        <f t="shared" si="0"/>
        <v>60.65</v>
      </c>
      <c r="I78" s="41">
        <v>0</v>
      </c>
      <c r="J78" s="41">
        <v>1</v>
      </c>
      <c r="K78" s="41">
        <f t="shared" si="1"/>
        <v>0</v>
      </c>
      <c r="L78" s="85">
        <f t="shared" si="2"/>
        <v>60.65</v>
      </c>
      <c r="N78" s="86">
        <f t="shared" ref="N78:N89" si="9">ROUND((L78/$L$115)*100,4)</f>
        <v>0.72909999999999997</v>
      </c>
      <c r="P78" s="84">
        <f t="shared" si="4"/>
        <v>246065.85890203633</v>
      </c>
      <c r="Q78" s="87">
        <f t="shared" si="5"/>
        <v>4057.1452415834515</v>
      </c>
      <c r="S78" s="84">
        <v>234208.90325317634</v>
      </c>
      <c r="T78" s="87">
        <v>3861.647209450558</v>
      </c>
      <c r="V78" s="88">
        <f t="shared" si="6"/>
        <v>5.0625554725572508E-2</v>
      </c>
      <c r="X78" s="84">
        <v>11521.26</v>
      </c>
      <c r="Y78" s="87">
        <f t="shared" si="8"/>
        <v>234544.59890203632</v>
      </c>
      <c r="Z78" s="4"/>
    </row>
    <row r="79" spans="2:26" x14ac:dyDescent="0.25">
      <c r="B79" s="105" t="s">
        <v>204</v>
      </c>
      <c r="C79" s="106" t="s">
        <v>205</v>
      </c>
      <c r="D79" s="98"/>
      <c r="E79" s="103">
        <v>97.55</v>
      </c>
      <c r="F79" s="100">
        <v>0.8</v>
      </c>
      <c r="G79" s="172">
        <v>1</v>
      </c>
      <c r="H79" s="173">
        <f t="shared" si="0"/>
        <v>78.040000000000006</v>
      </c>
      <c r="I79" s="174">
        <v>0</v>
      </c>
      <c r="J79" s="174">
        <v>1</v>
      </c>
      <c r="K79" s="174">
        <f t="shared" si="1"/>
        <v>0</v>
      </c>
      <c r="L79" s="175">
        <f t="shared" si="2"/>
        <v>78.040000000000006</v>
      </c>
      <c r="M79" s="80"/>
      <c r="N79" s="86">
        <f t="shared" si="9"/>
        <v>0.93810000000000004</v>
      </c>
      <c r="O79" s="80"/>
      <c r="P79" s="84">
        <f t="shared" si="4"/>
        <v>316601.81351803633</v>
      </c>
      <c r="Q79" s="87">
        <f t="shared" si="5"/>
        <v>3245.5337111023714</v>
      </c>
      <c r="S79" s="84">
        <v>301346.00485777634</v>
      </c>
      <c r="T79" s="87">
        <v>3089.1440785010391</v>
      </c>
      <c r="V79" s="88">
        <f t="shared" ref="V79:V86" si="10">(P79/S79)-1</f>
        <v>5.0625554725572508E-2</v>
      </c>
      <c r="X79" s="84">
        <v>18700.47</v>
      </c>
      <c r="Y79" s="87">
        <f t="shared" si="8"/>
        <v>297901.3435180363</v>
      </c>
      <c r="Z79" s="4"/>
    </row>
    <row r="80" spans="2:26" x14ac:dyDescent="0.25">
      <c r="B80" s="105" t="s">
        <v>207</v>
      </c>
      <c r="C80" s="106" t="s">
        <v>206</v>
      </c>
      <c r="D80" s="98"/>
      <c r="E80" s="103">
        <v>33.700000000000003</v>
      </c>
      <c r="F80" s="100">
        <v>0.8</v>
      </c>
      <c r="G80" s="172">
        <v>1</v>
      </c>
      <c r="H80" s="173">
        <f t="shared" si="0"/>
        <v>26.96</v>
      </c>
      <c r="I80" s="174">
        <v>0</v>
      </c>
      <c r="J80" s="174">
        <v>1</v>
      </c>
      <c r="K80" s="174">
        <f t="shared" si="1"/>
        <v>0</v>
      </c>
      <c r="L80" s="175">
        <f t="shared" si="2"/>
        <v>26.96</v>
      </c>
      <c r="M80" s="80"/>
      <c r="N80" s="86">
        <f t="shared" si="9"/>
        <v>0.3241</v>
      </c>
      <c r="O80" s="80"/>
      <c r="P80" s="84">
        <f t="shared" si="4"/>
        <v>109381.35354567271</v>
      </c>
      <c r="Q80" s="87">
        <f t="shared" si="5"/>
        <v>3245.7374939368756</v>
      </c>
      <c r="S80" s="84">
        <v>104110.6920098127</v>
      </c>
      <c r="T80" s="87">
        <v>3089.3380418342044</v>
      </c>
      <c r="V80" s="88">
        <f t="shared" si="10"/>
        <v>5.062555472557273E-2</v>
      </c>
      <c r="X80" s="84">
        <v>18700.47</v>
      </c>
      <c r="Y80" s="87">
        <f t="shared" si="8"/>
        <v>90680.88354567271</v>
      </c>
      <c r="Z80" s="4"/>
    </row>
    <row r="81" spans="2:26" x14ac:dyDescent="0.25">
      <c r="B81" s="105" t="s">
        <v>105</v>
      </c>
      <c r="C81" s="106" t="s">
        <v>227</v>
      </c>
      <c r="D81" s="98"/>
      <c r="E81" s="103">
        <v>96.05</v>
      </c>
      <c r="F81" s="100">
        <v>1</v>
      </c>
      <c r="G81" s="172">
        <v>1</v>
      </c>
      <c r="H81" s="173">
        <f t="shared" si="0"/>
        <v>96.05</v>
      </c>
      <c r="I81" s="174">
        <v>0</v>
      </c>
      <c r="J81" s="174">
        <v>1</v>
      </c>
      <c r="K81" s="174">
        <f t="shared" si="1"/>
        <v>0</v>
      </c>
      <c r="L81" s="175">
        <f t="shared" si="2"/>
        <v>96.05</v>
      </c>
      <c r="N81" s="86">
        <f t="shared" si="9"/>
        <v>1.1546000000000001</v>
      </c>
      <c r="P81" s="84">
        <f t="shared" si="4"/>
        <v>389668.96267767274</v>
      </c>
      <c r="Q81" s="87">
        <f t="shared" si="5"/>
        <v>4056.9387056498986</v>
      </c>
      <c r="S81" s="84">
        <v>370892.33259651274</v>
      </c>
      <c r="T81" s="87">
        <v>3861.4506256794666</v>
      </c>
      <c r="V81" s="88">
        <f t="shared" si="10"/>
        <v>5.0625554725572508E-2</v>
      </c>
      <c r="X81" s="84">
        <v>18246.03</v>
      </c>
      <c r="Y81" s="87">
        <f t="shared" si="8"/>
        <v>371422.93267767271</v>
      </c>
      <c r="Z81" s="4"/>
    </row>
    <row r="82" spans="2:26" x14ac:dyDescent="0.25">
      <c r="B82" s="105" t="s">
        <v>106</v>
      </c>
      <c r="C82" s="106" t="s">
        <v>184</v>
      </c>
      <c r="D82" s="98"/>
      <c r="E82" s="103">
        <v>66.8</v>
      </c>
      <c r="F82" s="100">
        <v>1</v>
      </c>
      <c r="G82" s="172">
        <v>1</v>
      </c>
      <c r="H82" s="173">
        <f t="shared" si="0"/>
        <v>66.8</v>
      </c>
      <c r="I82" s="174">
        <v>0</v>
      </c>
      <c r="J82" s="174">
        <v>1</v>
      </c>
      <c r="K82" s="174">
        <f t="shared" si="1"/>
        <v>0</v>
      </c>
      <c r="L82" s="175">
        <f t="shared" si="2"/>
        <v>66.8</v>
      </c>
      <c r="N82" s="86">
        <f t="shared" si="9"/>
        <v>0.80300000000000005</v>
      </c>
      <c r="P82" s="84">
        <f t="shared" si="4"/>
        <v>271006.56247199996</v>
      </c>
      <c r="Q82" s="87">
        <f t="shared" si="5"/>
        <v>4056.9844681437121</v>
      </c>
      <c r="S82" s="84">
        <v>257947.81142819996</v>
      </c>
      <c r="T82" s="87">
        <v>3861.494183056886</v>
      </c>
      <c r="V82" s="88">
        <f t="shared" si="10"/>
        <v>5.0625554725572508E-2</v>
      </c>
      <c r="X82" s="84"/>
      <c r="Y82" s="87">
        <f t="shared" si="8"/>
        <v>271006.56247199996</v>
      </c>
      <c r="Z82" s="4"/>
    </row>
    <row r="83" spans="2:26" x14ac:dyDescent="0.25">
      <c r="B83" s="105" t="s">
        <v>185</v>
      </c>
      <c r="C83" s="106" t="s">
        <v>197</v>
      </c>
      <c r="D83" s="98"/>
      <c r="E83" s="103">
        <v>42.8</v>
      </c>
      <c r="F83" s="100">
        <v>1</v>
      </c>
      <c r="G83" s="172">
        <v>1</v>
      </c>
      <c r="H83" s="173">
        <f t="shared" si="0"/>
        <v>42.8</v>
      </c>
      <c r="I83" s="174">
        <v>0</v>
      </c>
      <c r="J83" s="174">
        <v>1</v>
      </c>
      <c r="K83" s="174">
        <f t="shared" si="1"/>
        <v>0</v>
      </c>
      <c r="L83" s="175">
        <f t="shared" si="2"/>
        <v>42.8</v>
      </c>
      <c r="N83" s="86">
        <f t="shared" si="9"/>
        <v>0.51449999999999996</v>
      </c>
      <c r="P83" s="84">
        <f t="shared" si="4"/>
        <v>173639.94569345453</v>
      </c>
      <c r="Q83" s="87">
        <f t="shared" si="5"/>
        <v>4057.0080769498727</v>
      </c>
      <c r="S83" s="84">
        <v>165272.91280175452</v>
      </c>
      <c r="T83" s="87">
        <v>3861.5166542466009</v>
      </c>
      <c r="V83" s="88">
        <f t="shared" si="10"/>
        <v>5.062555472557273E-2</v>
      </c>
      <c r="X83" s="84"/>
      <c r="Y83" s="87"/>
      <c r="Z83" s="4"/>
    </row>
    <row r="84" spans="2:26" x14ac:dyDescent="0.25">
      <c r="B84" s="105" t="s">
        <v>177</v>
      </c>
      <c r="C84" s="106" t="s">
        <v>107</v>
      </c>
      <c r="D84" s="98"/>
      <c r="E84" s="103">
        <f>95.65+95.65+95.2+200.8</f>
        <v>487.3</v>
      </c>
      <c r="F84" s="100">
        <v>1</v>
      </c>
      <c r="G84" s="172">
        <v>1</v>
      </c>
      <c r="H84" s="173">
        <f t="shared" si="0"/>
        <v>487.3</v>
      </c>
      <c r="I84" s="174">
        <v>0</v>
      </c>
      <c r="J84" s="174">
        <v>1</v>
      </c>
      <c r="K84" s="174">
        <f t="shared" si="1"/>
        <v>0</v>
      </c>
      <c r="L84" s="175">
        <f t="shared" si="2"/>
        <v>487.3</v>
      </c>
      <c r="N84" s="86">
        <f t="shared" si="9"/>
        <v>5.8578999999999999</v>
      </c>
      <c r="P84" s="84">
        <f t="shared" si="4"/>
        <v>1976997.935622327</v>
      </c>
      <c r="Q84" s="87">
        <f t="shared" si="5"/>
        <v>4057.0448094035028</v>
      </c>
      <c r="S84" s="84">
        <v>1881734.1028209871</v>
      </c>
      <c r="T84" s="87">
        <v>3861.5516167063147</v>
      </c>
      <c r="V84" s="88">
        <f t="shared" si="10"/>
        <v>5.0625554725572508E-2</v>
      </c>
      <c r="X84" s="84">
        <v>54426.44</v>
      </c>
      <c r="Y84" s="87">
        <f t="shared" si="8"/>
        <v>1922571.4956223271</v>
      </c>
      <c r="Z84" s="4"/>
    </row>
    <row r="85" spans="2:26" x14ac:dyDescent="0.25">
      <c r="B85" s="116" t="s">
        <v>109</v>
      </c>
      <c r="C85" s="109" t="s">
        <v>172</v>
      </c>
      <c r="D85" s="94"/>
      <c r="E85" s="115">
        <f>89</f>
        <v>89</v>
      </c>
      <c r="F85" s="111">
        <v>1</v>
      </c>
      <c r="G85" s="172">
        <v>1</v>
      </c>
      <c r="H85" s="173">
        <f t="shared" si="0"/>
        <v>89</v>
      </c>
      <c r="I85" s="174">
        <v>0</v>
      </c>
      <c r="J85" s="174">
        <v>1</v>
      </c>
      <c r="K85" s="174">
        <f>ROUND(I85*J85,2)</f>
        <v>0</v>
      </c>
      <c r="L85" s="175">
        <f>H85+K85</f>
        <v>89</v>
      </c>
      <c r="N85" s="86">
        <f t="shared" si="9"/>
        <v>1.0699000000000001</v>
      </c>
      <c r="P85" s="84">
        <f t="shared" si="4"/>
        <v>361083.33896487276</v>
      </c>
      <c r="Q85" s="87">
        <f t="shared" si="5"/>
        <v>4057.1161681446379</v>
      </c>
      <c r="S85" s="84">
        <v>343684.1387883327</v>
      </c>
      <c r="T85" s="87">
        <v>3861.6195369475586</v>
      </c>
      <c r="V85" s="88">
        <f t="shared" si="10"/>
        <v>5.062555472557273E-2</v>
      </c>
      <c r="X85" s="84">
        <v>16242.01</v>
      </c>
      <c r="Y85" s="87">
        <f t="shared" si="8"/>
        <v>344841.32896487275</v>
      </c>
      <c r="Z85" s="4"/>
    </row>
    <row r="86" spans="2:26" x14ac:dyDescent="0.25">
      <c r="B86" s="116" t="s">
        <v>189</v>
      </c>
      <c r="C86" s="109" t="s">
        <v>191</v>
      </c>
      <c r="D86" s="94"/>
      <c r="E86" s="115">
        <v>19.600000000000001</v>
      </c>
      <c r="F86" s="111">
        <v>0</v>
      </c>
      <c r="G86" s="172">
        <v>0</v>
      </c>
      <c r="H86" s="173">
        <f>ROUND(E86*G86*F86,2)</f>
        <v>0</v>
      </c>
      <c r="I86" s="174">
        <v>0</v>
      </c>
      <c r="J86" s="174">
        <v>1</v>
      </c>
      <c r="K86" s="174">
        <f>ROUND(I86*J86,2)</f>
        <v>0</v>
      </c>
      <c r="L86" s="175">
        <f>H86+K86</f>
        <v>0</v>
      </c>
      <c r="N86" s="86">
        <f t="shared" si="9"/>
        <v>0</v>
      </c>
      <c r="P86" s="84">
        <f>($P$12*N86)/100</f>
        <v>0</v>
      </c>
      <c r="Q86" s="87">
        <f>P86/E86</f>
        <v>0</v>
      </c>
      <c r="S86" s="84">
        <v>0</v>
      </c>
      <c r="T86" s="87">
        <v>0</v>
      </c>
      <c r="V86" s="88" t="e">
        <f t="shared" si="10"/>
        <v>#DIV/0!</v>
      </c>
      <c r="X86" s="84">
        <v>0</v>
      </c>
      <c r="Y86" s="87">
        <f t="shared" si="8"/>
        <v>0</v>
      </c>
      <c r="Z86" s="4"/>
    </row>
    <row r="87" spans="2:26" x14ac:dyDescent="0.25">
      <c r="B87" s="105" t="s">
        <v>110</v>
      </c>
      <c r="C87" s="106" t="s">
        <v>173</v>
      </c>
      <c r="D87" s="98"/>
      <c r="E87" s="103">
        <v>89.6</v>
      </c>
      <c r="F87" s="100">
        <v>1</v>
      </c>
      <c r="G87" s="172">
        <v>1</v>
      </c>
      <c r="H87" s="173">
        <f>ROUND(E87*G87*F87,2)</f>
        <v>89.6</v>
      </c>
      <c r="I87" s="174">
        <v>0</v>
      </c>
      <c r="J87" s="174">
        <v>1</v>
      </c>
      <c r="K87" s="174">
        <f>ROUND(I87*J87,2)</f>
        <v>0</v>
      </c>
      <c r="L87" s="175">
        <f>H87+K87</f>
        <v>89.6</v>
      </c>
      <c r="N87" s="86">
        <f t="shared" si="9"/>
        <v>1.0770999999999999</v>
      </c>
      <c r="P87" s="84">
        <f>($P$12*N87)/100</f>
        <v>363513.2857267636</v>
      </c>
      <c r="Q87" s="87">
        <f>P87/E87</f>
        <v>4057.0679210576295</v>
      </c>
      <c r="S87" s="84">
        <v>345996.99587710359</v>
      </c>
      <c r="T87" s="87">
        <v>3861.573614699817</v>
      </c>
      <c r="V87" s="88">
        <f>(P87/S87)-1</f>
        <v>5.0625554725572508E-2</v>
      </c>
      <c r="X87" s="84">
        <v>17021.759999999998</v>
      </c>
      <c r="Y87" s="87">
        <f t="shared" si="8"/>
        <v>346491.52572676359</v>
      </c>
      <c r="Z87" s="4"/>
    </row>
    <row r="88" spans="2:26" x14ac:dyDescent="0.25">
      <c r="B88" s="184"/>
      <c r="C88" s="185" t="s">
        <v>234</v>
      </c>
      <c r="D88" s="98"/>
      <c r="E88" s="186">
        <v>68</v>
      </c>
      <c r="F88" s="100">
        <v>1</v>
      </c>
      <c r="G88" s="172">
        <v>1</v>
      </c>
      <c r="H88" s="173">
        <f>ROUND(E88*G88*F88,2)</f>
        <v>68</v>
      </c>
      <c r="I88" s="174">
        <v>0</v>
      </c>
      <c r="J88" s="174">
        <v>1</v>
      </c>
      <c r="K88" s="174">
        <f>ROUND(I88*J88,2)</f>
        <v>0</v>
      </c>
      <c r="L88" s="175">
        <f>H88+K88</f>
        <v>68</v>
      </c>
      <c r="N88" s="86">
        <f t="shared" si="9"/>
        <v>0.81740000000000002</v>
      </c>
      <c r="P88" s="84">
        <f>($P$12*N88)/100</f>
        <v>275866.45599578181</v>
      </c>
      <c r="Q88" s="87">
        <f>P88/E88</f>
        <v>4056.8596469967915</v>
      </c>
      <c r="S88" s="84">
        <v>262573.52560574177</v>
      </c>
      <c r="T88" s="87">
        <v>3861.3753765550259</v>
      </c>
      <c r="V88" s="88">
        <f>(P88/S88)-1</f>
        <v>5.062555472557273E-2</v>
      </c>
      <c r="X88" s="187"/>
      <c r="Y88" s="188"/>
      <c r="Z88" s="4"/>
    </row>
    <row r="89" spans="2:26" ht="13.5" thickBot="1" x14ac:dyDescent="0.3">
      <c r="B89" s="144" t="s">
        <v>178</v>
      </c>
      <c r="C89" s="145" t="s">
        <v>221</v>
      </c>
      <c r="D89" s="98"/>
      <c r="E89" s="164">
        <v>76</v>
      </c>
      <c r="F89" s="148">
        <v>1</v>
      </c>
      <c r="G89" s="176">
        <v>1</v>
      </c>
      <c r="H89" s="177">
        <f>ROUND(E89*G89*F89,2)</f>
        <v>76</v>
      </c>
      <c r="I89" s="178">
        <v>0</v>
      </c>
      <c r="J89" s="178">
        <v>1</v>
      </c>
      <c r="K89" s="178">
        <f>ROUND(I89*J89,2)</f>
        <v>0</v>
      </c>
      <c r="L89" s="179">
        <f>H89+K89</f>
        <v>76</v>
      </c>
      <c r="M89" s="80"/>
      <c r="N89" s="182">
        <f t="shared" si="9"/>
        <v>0.91359999999999997</v>
      </c>
      <c r="O89" s="80"/>
      <c r="P89" s="146">
        <f>($P$12*N89)/100</f>
        <v>308333.24467549083</v>
      </c>
      <c r="Q89" s="89">
        <f>P89/E89</f>
        <v>4057.0163773090899</v>
      </c>
      <c r="S89" s="146">
        <v>293475.86615293083</v>
      </c>
      <c r="T89" s="89">
        <v>3861.5245546438268</v>
      </c>
      <c r="V89" s="90">
        <f>(P89/S89)-1</f>
        <v>5.0625554725572508E-2</v>
      </c>
      <c r="X89" s="146">
        <v>15437.42</v>
      </c>
      <c r="Y89" s="89">
        <f t="shared" si="8"/>
        <v>292895.82467549085</v>
      </c>
      <c r="Z89" s="4"/>
    </row>
    <row r="90" spans="2:26" ht="13.5" thickBot="1" x14ac:dyDescent="0.3">
      <c r="B90" s="42"/>
      <c r="C90" s="43"/>
      <c r="E90" s="44"/>
      <c r="F90" s="44"/>
      <c r="G90" s="45"/>
      <c r="H90" s="46"/>
      <c r="I90" s="44"/>
      <c r="J90" s="44"/>
      <c r="K90" s="44"/>
      <c r="L90" s="44"/>
      <c r="N90" s="47"/>
      <c r="P90" s="48"/>
      <c r="Q90" s="48"/>
      <c r="S90" s="48"/>
      <c r="T90" s="48"/>
      <c r="V90" s="49"/>
      <c r="X90" s="48"/>
      <c r="Y90" s="48"/>
      <c r="Z90" s="66"/>
    </row>
    <row r="91" spans="2:26" ht="13.5" thickBot="1" x14ac:dyDescent="0.3">
      <c r="B91" s="139">
        <v>148</v>
      </c>
      <c r="C91" s="140" t="s">
        <v>111</v>
      </c>
      <c r="D91" s="98"/>
      <c r="E91" s="141">
        <v>20</v>
      </c>
      <c r="F91" s="142">
        <v>1</v>
      </c>
      <c r="G91" s="37">
        <v>1</v>
      </c>
      <c r="H91" s="38">
        <f t="shared" ref="H91:H113" si="11">ROUND(E91*G91*F91,2)</f>
        <v>20</v>
      </c>
      <c r="I91" s="36">
        <v>0</v>
      </c>
      <c r="J91" s="36">
        <v>1</v>
      </c>
      <c r="K91" s="36">
        <v>0</v>
      </c>
      <c r="L91" s="153">
        <f>H91+K91</f>
        <v>20</v>
      </c>
      <c r="N91" s="181">
        <f t="shared" ref="N91:N113" si="12">ROUND((L91/$L$115)*100,4)</f>
        <v>0.2404</v>
      </c>
      <c r="P91" s="152">
        <f t="shared" ref="P91:P113" si="13">($P$12*N91)/100</f>
        <v>81133.222438690907</v>
      </c>
      <c r="Q91" s="154">
        <f t="shared" ref="Q91:Q113" si="14">P91/E91</f>
        <v>4056.6611219345455</v>
      </c>
      <c r="S91" s="152">
        <v>77223.7283528509</v>
      </c>
      <c r="T91" s="154">
        <v>3861.1864176425452</v>
      </c>
      <c r="V91" s="90">
        <f t="shared" ref="V91:V113" si="15">(P91/S91)-1</f>
        <v>5.062555472557273E-2</v>
      </c>
      <c r="X91" s="48"/>
      <c r="Y91" s="48"/>
      <c r="Z91" s="66"/>
    </row>
    <row r="92" spans="2:26" ht="13.5" thickBot="1" x14ac:dyDescent="0.3">
      <c r="B92" s="105">
        <v>149</v>
      </c>
      <c r="C92" s="106" t="s">
        <v>112</v>
      </c>
      <c r="D92" s="98"/>
      <c r="E92" s="107">
        <v>28</v>
      </c>
      <c r="F92" s="100">
        <v>1</v>
      </c>
      <c r="G92" s="39">
        <v>1</v>
      </c>
      <c r="H92" s="40">
        <f t="shared" si="11"/>
        <v>28</v>
      </c>
      <c r="I92" s="41">
        <v>0</v>
      </c>
      <c r="J92" s="41">
        <v>1</v>
      </c>
      <c r="K92" s="41">
        <v>0</v>
      </c>
      <c r="L92" s="85">
        <f t="shared" ref="L92:L113" si="16">H92+K92</f>
        <v>28</v>
      </c>
      <c r="N92" s="86">
        <f t="shared" si="12"/>
        <v>0.33660000000000001</v>
      </c>
      <c r="P92" s="84">
        <f t="shared" si="13"/>
        <v>113600.01111839998</v>
      </c>
      <c r="Q92" s="87">
        <f t="shared" si="14"/>
        <v>4057.1432542285706</v>
      </c>
      <c r="S92" s="84">
        <v>108126.06890004</v>
      </c>
      <c r="T92" s="87">
        <v>3861.6453178585716</v>
      </c>
      <c r="V92" s="90">
        <f t="shared" si="15"/>
        <v>5.0625554725572286E-2</v>
      </c>
      <c r="X92" s="48"/>
      <c r="Y92" s="48"/>
      <c r="Z92" s="66"/>
    </row>
    <row r="93" spans="2:26" ht="13.5" thickBot="1" x14ac:dyDescent="0.3">
      <c r="B93" s="105">
        <v>150</v>
      </c>
      <c r="C93" s="106" t="s">
        <v>203</v>
      </c>
      <c r="D93" s="98"/>
      <c r="E93" s="107">
        <v>65</v>
      </c>
      <c r="F93" s="100">
        <v>1</v>
      </c>
      <c r="G93" s="39">
        <v>1</v>
      </c>
      <c r="H93" s="40">
        <f t="shared" si="11"/>
        <v>65</v>
      </c>
      <c r="I93" s="41">
        <v>0</v>
      </c>
      <c r="J93" s="41">
        <v>1</v>
      </c>
      <c r="K93" s="41">
        <v>0</v>
      </c>
      <c r="L93" s="85">
        <f t="shared" si="16"/>
        <v>65</v>
      </c>
      <c r="N93" s="86">
        <f t="shared" si="12"/>
        <v>0.78139999999999998</v>
      </c>
      <c r="P93" s="84">
        <f t="shared" si="13"/>
        <v>263716.72218632721</v>
      </c>
      <c r="Q93" s="87">
        <f t="shared" si="14"/>
        <v>4057.1803413281109</v>
      </c>
      <c r="S93" s="84">
        <v>251009.24016188722</v>
      </c>
      <c r="T93" s="87">
        <v>3861.6806178751881</v>
      </c>
      <c r="V93" s="90">
        <f t="shared" si="15"/>
        <v>5.0625554725572508E-2</v>
      </c>
      <c r="X93" s="48"/>
      <c r="Y93" s="48"/>
      <c r="Z93" s="66"/>
    </row>
    <row r="94" spans="2:26" ht="13.5" thickBot="1" x14ac:dyDescent="0.3">
      <c r="B94" s="105">
        <v>151</v>
      </c>
      <c r="C94" s="106" t="s">
        <v>174</v>
      </c>
      <c r="D94" s="98"/>
      <c r="E94" s="107">
        <v>67</v>
      </c>
      <c r="F94" s="100">
        <v>1</v>
      </c>
      <c r="G94" s="39">
        <v>1</v>
      </c>
      <c r="H94" s="40">
        <f t="shared" si="11"/>
        <v>67</v>
      </c>
      <c r="I94" s="41">
        <v>0</v>
      </c>
      <c r="J94" s="41">
        <v>1</v>
      </c>
      <c r="K94" s="41">
        <v>0</v>
      </c>
      <c r="L94" s="85">
        <f t="shared" si="16"/>
        <v>67</v>
      </c>
      <c r="N94" s="86">
        <f t="shared" si="12"/>
        <v>0.8054</v>
      </c>
      <c r="P94" s="84">
        <f t="shared" si="13"/>
        <v>271816.54472596361</v>
      </c>
      <c r="Q94" s="87">
        <f t="shared" si="14"/>
        <v>4056.96335411886</v>
      </c>
      <c r="S94" s="84">
        <v>258718.76379112358</v>
      </c>
      <c r="T94" s="87">
        <v>3861.4740864346804</v>
      </c>
      <c r="V94" s="90">
        <f t="shared" si="15"/>
        <v>5.062555472557273E-2</v>
      </c>
      <c r="X94" s="48"/>
      <c r="Y94" s="48"/>
      <c r="Z94" s="66"/>
    </row>
    <row r="95" spans="2:26" ht="13.5" thickBot="1" x14ac:dyDescent="0.3">
      <c r="B95" s="105">
        <v>152</v>
      </c>
      <c r="C95" s="106" t="s">
        <v>113</v>
      </c>
      <c r="D95" s="98"/>
      <c r="E95" s="107">
        <v>89</v>
      </c>
      <c r="F95" s="100">
        <v>1</v>
      </c>
      <c r="G95" s="39">
        <v>1</v>
      </c>
      <c r="H95" s="40">
        <f t="shared" si="11"/>
        <v>89</v>
      </c>
      <c r="I95" s="41">
        <v>0</v>
      </c>
      <c r="J95" s="41">
        <v>1</v>
      </c>
      <c r="K95" s="41">
        <v>0</v>
      </c>
      <c r="L95" s="85">
        <f t="shared" si="16"/>
        <v>89</v>
      </c>
      <c r="N95" s="86">
        <f t="shared" si="12"/>
        <v>1.0699000000000001</v>
      </c>
      <c r="P95" s="84">
        <f t="shared" si="13"/>
        <v>361083.33896487276</v>
      </c>
      <c r="Q95" s="87">
        <f t="shared" si="14"/>
        <v>4057.1161681446379</v>
      </c>
      <c r="S95" s="84">
        <v>343684.1387883327</v>
      </c>
      <c r="T95" s="87">
        <v>3861.6195369475586</v>
      </c>
      <c r="V95" s="90">
        <f t="shared" si="15"/>
        <v>5.062555472557273E-2</v>
      </c>
      <c r="X95" s="48"/>
      <c r="Y95" s="48"/>
      <c r="Z95" s="66"/>
    </row>
    <row r="96" spans="2:26" ht="13.5" thickBot="1" x14ac:dyDescent="0.3">
      <c r="B96" s="105">
        <v>153</v>
      </c>
      <c r="C96" s="106" t="s">
        <v>166</v>
      </c>
      <c r="D96" s="98"/>
      <c r="E96" s="107">
        <v>26</v>
      </c>
      <c r="F96" s="100">
        <v>1</v>
      </c>
      <c r="G96" s="39">
        <v>1</v>
      </c>
      <c r="H96" s="40">
        <f t="shared" si="11"/>
        <v>26</v>
      </c>
      <c r="I96" s="41">
        <v>0</v>
      </c>
      <c r="J96" s="41">
        <v>1</v>
      </c>
      <c r="K96" s="41">
        <v>0</v>
      </c>
      <c r="L96" s="85">
        <f t="shared" si="16"/>
        <v>26</v>
      </c>
      <c r="N96" s="86">
        <f t="shared" si="12"/>
        <v>0.3125</v>
      </c>
      <c r="P96" s="84">
        <f t="shared" si="13"/>
        <v>105466.4393181818</v>
      </c>
      <c r="Q96" s="87">
        <f t="shared" si="14"/>
        <v>4056.4015122377614</v>
      </c>
      <c r="S96" s="84">
        <v>100384.42225568181</v>
      </c>
      <c r="T96" s="87">
        <v>3860.9393175262235</v>
      </c>
      <c r="V96" s="90">
        <f t="shared" si="15"/>
        <v>5.0625554725572508E-2</v>
      </c>
      <c r="X96" s="48"/>
      <c r="Y96" s="48"/>
      <c r="Z96" s="66"/>
    </row>
    <row r="97" spans="2:26" ht="13.5" thickBot="1" x14ac:dyDescent="0.3">
      <c r="B97" s="105">
        <v>154</v>
      </c>
      <c r="C97" s="106" t="s">
        <v>167</v>
      </c>
      <c r="D97" s="98"/>
      <c r="E97" s="107">
        <v>14.19</v>
      </c>
      <c r="F97" s="100">
        <v>1</v>
      </c>
      <c r="G97" s="39">
        <v>1</v>
      </c>
      <c r="H97" s="40">
        <f t="shared" si="11"/>
        <v>14.19</v>
      </c>
      <c r="I97" s="41">
        <v>0</v>
      </c>
      <c r="J97" s="41">
        <v>1</v>
      </c>
      <c r="K97" s="41">
        <v>0</v>
      </c>
      <c r="L97" s="85">
        <f t="shared" si="16"/>
        <v>14.19</v>
      </c>
      <c r="N97" s="86">
        <f t="shared" si="12"/>
        <v>0.1706</v>
      </c>
      <c r="P97" s="84">
        <f t="shared" si="13"/>
        <v>57576.238552581817</v>
      </c>
      <c r="Q97" s="87">
        <f t="shared" si="14"/>
        <v>4057.5220967288105</v>
      </c>
      <c r="S97" s="84">
        <v>54801.86379782181</v>
      </c>
      <c r="T97" s="87">
        <v>3862.0059054137992</v>
      </c>
      <c r="V97" s="90">
        <f t="shared" si="15"/>
        <v>5.062555472557273E-2</v>
      </c>
      <c r="X97" s="48"/>
      <c r="Y97" s="48"/>
      <c r="Z97" s="66"/>
    </row>
    <row r="98" spans="2:26" ht="13.5" thickBot="1" x14ac:dyDescent="0.3">
      <c r="B98" s="105">
        <v>155</v>
      </c>
      <c r="C98" s="106" t="s">
        <v>114</v>
      </c>
      <c r="D98" s="98"/>
      <c r="E98" s="107">
        <v>134</v>
      </c>
      <c r="F98" s="100">
        <v>1</v>
      </c>
      <c r="G98" s="39">
        <v>1</v>
      </c>
      <c r="H98" s="40">
        <f t="shared" si="11"/>
        <v>134</v>
      </c>
      <c r="I98" s="41">
        <v>0</v>
      </c>
      <c r="J98" s="41">
        <v>1</v>
      </c>
      <c r="K98" s="41">
        <v>0</v>
      </c>
      <c r="L98" s="85">
        <f t="shared" si="16"/>
        <v>134</v>
      </c>
      <c r="N98" s="86">
        <f t="shared" si="12"/>
        <v>1.6108</v>
      </c>
      <c r="P98" s="84">
        <f t="shared" si="13"/>
        <v>543633.08945192723</v>
      </c>
      <c r="Q98" s="87">
        <f t="shared" si="14"/>
        <v>4056.96335411886</v>
      </c>
      <c r="S98" s="84">
        <v>517437.52758224716</v>
      </c>
      <c r="T98" s="87">
        <v>3861.4740864346804</v>
      </c>
      <c r="V98" s="90">
        <f t="shared" si="15"/>
        <v>5.062555472557273E-2</v>
      </c>
      <c r="X98" s="48"/>
      <c r="Y98" s="48"/>
      <c r="Z98" s="66"/>
    </row>
    <row r="99" spans="2:26" ht="13.5" thickBot="1" x14ac:dyDescent="0.3">
      <c r="B99" s="105">
        <v>156</v>
      </c>
      <c r="C99" s="106" t="s">
        <v>115</v>
      </c>
      <c r="D99" s="98"/>
      <c r="E99" s="107">
        <v>72</v>
      </c>
      <c r="F99" s="100">
        <v>1</v>
      </c>
      <c r="G99" s="39">
        <v>1</v>
      </c>
      <c r="H99" s="40">
        <f t="shared" si="11"/>
        <v>72</v>
      </c>
      <c r="I99" s="41">
        <v>0</v>
      </c>
      <c r="J99" s="41">
        <v>1</v>
      </c>
      <c r="K99" s="41">
        <v>0</v>
      </c>
      <c r="L99" s="85">
        <f t="shared" si="16"/>
        <v>72</v>
      </c>
      <c r="N99" s="86">
        <f t="shared" si="12"/>
        <v>0.86550000000000005</v>
      </c>
      <c r="P99" s="84">
        <f t="shared" si="13"/>
        <v>292099.85033563635</v>
      </c>
      <c r="Q99" s="87">
        <f t="shared" si="14"/>
        <v>4056.942365772727</v>
      </c>
      <c r="S99" s="84">
        <v>278024.69587933633</v>
      </c>
      <c r="T99" s="87">
        <v>3861.4541094352267</v>
      </c>
      <c r="V99" s="90">
        <f t="shared" si="15"/>
        <v>5.0625554725572508E-2</v>
      </c>
      <c r="X99" s="48"/>
      <c r="Y99" s="48"/>
      <c r="Z99" s="66"/>
    </row>
    <row r="100" spans="2:26" ht="13.5" thickBot="1" x14ac:dyDescent="0.3">
      <c r="B100" s="105">
        <v>157</v>
      </c>
      <c r="C100" s="106" t="s">
        <v>182</v>
      </c>
      <c r="D100" s="98"/>
      <c r="E100" s="107">
        <v>103</v>
      </c>
      <c r="F100" s="100">
        <v>1</v>
      </c>
      <c r="G100" s="39">
        <v>1</v>
      </c>
      <c r="H100" s="40">
        <f t="shared" si="11"/>
        <v>103</v>
      </c>
      <c r="I100" s="41">
        <v>0</v>
      </c>
      <c r="J100" s="41">
        <v>1</v>
      </c>
      <c r="K100" s="41">
        <v>0</v>
      </c>
      <c r="L100" s="85">
        <f t="shared" si="16"/>
        <v>103</v>
      </c>
      <c r="N100" s="86">
        <f t="shared" si="12"/>
        <v>1.2382</v>
      </c>
      <c r="P100" s="84">
        <f t="shared" si="13"/>
        <v>417883.34452407272</v>
      </c>
      <c r="Q100" s="87">
        <f t="shared" si="14"/>
        <v>4057.1198497482787</v>
      </c>
      <c r="S100" s="84">
        <v>397747.1732383527</v>
      </c>
      <c r="T100" s="87">
        <v>3861.6230411490551</v>
      </c>
      <c r="V100" s="90">
        <f t="shared" si="15"/>
        <v>5.0625554725572508E-2</v>
      </c>
      <c r="X100" s="48"/>
      <c r="Y100" s="48"/>
      <c r="Z100" s="66"/>
    </row>
    <row r="101" spans="2:26" ht="13.5" thickBot="1" x14ac:dyDescent="0.3">
      <c r="B101" s="105">
        <v>158</v>
      </c>
      <c r="C101" s="106" t="s">
        <v>201</v>
      </c>
      <c r="D101" s="98"/>
      <c r="E101" s="107">
        <v>45</v>
      </c>
      <c r="F101" s="100">
        <v>1</v>
      </c>
      <c r="G101" s="39">
        <v>1</v>
      </c>
      <c r="H101" s="40">
        <f t="shared" si="11"/>
        <v>45</v>
      </c>
      <c r="I101" s="41">
        <v>0</v>
      </c>
      <c r="J101" s="41">
        <v>1</v>
      </c>
      <c r="K101" s="41">
        <v>0</v>
      </c>
      <c r="L101" s="85">
        <f t="shared" si="16"/>
        <v>45</v>
      </c>
      <c r="N101" s="86">
        <f t="shared" si="12"/>
        <v>0.54090000000000005</v>
      </c>
      <c r="P101" s="84">
        <f t="shared" si="13"/>
        <v>182549.75048705455</v>
      </c>
      <c r="Q101" s="87">
        <f t="shared" si="14"/>
        <v>4056.6611219345455</v>
      </c>
      <c r="S101" s="84">
        <v>173753.38879391455</v>
      </c>
      <c r="T101" s="87">
        <v>3861.1864176425456</v>
      </c>
      <c r="V101" s="90">
        <f t="shared" si="15"/>
        <v>5.0625554725572508E-2</v>
      </c>
      <c r="X101" s="48"/>
      <c r="Y101" s="48"/>
      <c r="Z101" s="66"/>
    </row>
    <row r="102" spans="2:26" ht="13.5" thickBot="1" x14ac:dyDescent="0.3">
      <c r="B102" s="105">
        <v>159</v>
      </c>
      <c r="C102" s="106" t="s">
        <v>201</v>
      </c>
      <c r="D102" s="98"/>
      <c r="E102" s="107">
        <v>48</v>
      </c>
      <c r="F102" s="100">
        <v>1</v>
      </c>
      <c r="G102" s="39">
        <v>1</v>
      </c>
      <c r="H102" s="40">
        <f t="shared" si="11"/>
        <v>48</v>
      </c>
      <c r="I102" s="41">
        <v>0</v>
      </c>
      <c r="J102" s="41">
        <v>1</v>
      </c>
      <c r="K102" s="41">
        <v>0</v>
      </c>
      <c r="L102" s="85">
        <f t="shared" si="16"/>
        <v>48</v>
      </c>
      <c r="N102" s="86">
        <f t="shared" si="12"/>
        <v>0.57699999999999996</v>
      </c>
      <c r="P102" s="84">
        <f t="shared" si="13"/>
        <v>194733.23355709086</v>
      </c>
      <c r="Q102" s="87">
        <f t="shared" si="14"/>
        <v>4056.9423657727261</v>
      </c>
      <c r="S102" s="84">
        <v>185349.79725289089</v>
      </c>
      <c r="T102" s="87">
        <v>3861.4541094352267</v>
      </c>
      <c r="V102" s="90">
        <f t="shared" si="15"/>
        <v>5.0625554725572286E-2</v>
      </c>
      <c r="X102" s="48"/>
      <c r="Y102" s="48"/>
      <c r="Z102" s="66"/>
    </row>
    <row r="103" spans="2:26" ht="13.5" thickBot="1" x14ac:dyDescent="0.3">
      <c r="B103" s="105">
        <v>160</v>
      </c>
      <c r="C103" s="106" t="s">
        <v>196</v>
      </c>
      <c r="D103" s="98"/>
      <c r="E103" s="107">
        <v>79</v>
      </c>
      <c r="F103" s="100">
        <v>1</v>
      </c>
      <c r="G103" s="39">
        <v>1</v>
      </c>
      <c r="H103" s="40">
        <f t="shared" si="11"/>
        <v>79</v>
      </c>
      <c r="I103" s="41">
        <v>0</v>
      </c>
      <c r="J103" s="41">
        <v>1</v>
      </c>
      <c r="K103" s="41">
        <v>0</v>
      </c>
      <c r="L103" s="85">
        <f t="shared" si="16"/>
        <v>79</v>
      </c>
      <c r="N103" s="86">
        <f t="shared" si="12"/>
        <v>0.94969999999999999</v>
      </c>
      <c r="P103" s="84">
        <f t="shared" si="13"/>
        <v>320516.72774552723</v>
      </c>
      <c r="Q103" s="87">
        <f t="shared" si="14"/>
        <v>4057.1737689307242</v>
      </c>
      <c r="S103" s="84">
        <v>305072.27461190725</v>
      </c>
      <c r="T103" s="87">
        <v>3861.6743621760411</v>
      </c>
      <c r="V103" s="90">
        <f t="shared" si="15"/>
        <v>5.0625554725572508E-2</v>
      </c>
      <c r="X103" s="48"/>
      <c r="Y103" s="48"/>
      <c r="Z103" s="66"/>
    </row>
    <row r="104" spans="2:26" ht="13.5" thickBot="1" x14ac:dyDescent="0.3">
      <c r="B104" s="105">
        <v>161</v>
      </c>
      <c r="C104" s="106" t="s">
        <v>116</v>
      </c>
      <c r="D104" s="98"/>
      <c r="E104" s="107">
        <v>95</v>
      </c>
      <c r="F104" s="100">
        <v>1</v>
      </c>
      <c r="G104" s="39">
        <v>1</v>
      </c>
      <c r="H104" s="40">
        <f t="shared" si="11"/>
        <v>95</v>
      </c>
      <c r="I104" s="41">
        <v>0</v>
      </c>
      <c r="J104" s="41">
        <v>1</v>
      </c>
      <c r="K104" s="41">
        <v>0</v>
      </c>
      <c r="L104" s="85">
        <f t="shared" si="16"/>
        <v>95</v>
      </c>
      <c r="N104" s="86">
        <f t="shared" si="12"/>
        <v>1.1419999999999999</v>
      </c>
      <c r="P104" s="84">
        <f t="shared" si="13"/>
        <v>385416.55584436358</v>
      </c>
      <c r="Q104" s="87">
        <f t="shared" si="14"/>
        <v>4057.0163773090903</v>
      </c>
      <c r="S104" s="84">
        <v>366844.83269116358</v>
      </c>
      <c r="T104" s="87">
        <v>3861.5245546438273</v>
      </c>
      <c r="V104" s="90">
        <f t="shared" si="15"/>
        <v>5.0625554725572508E-2</v>
      </c>
      <c r="X104" s="48"/>
      <c r="Y104" s="48"/>
      <c r="Z104" s="66"/>
    </row>
    <row r="105" spans="2:26" ht="13.5" thickBot="1" x14ac:dyDescent="0.3">
      <c r="B105" s="105">
        <v>162</v>
      </c>
      <c r="C105" s="106" t="s">
        <v>217</v>
      </c>
      <c r="D105" s="98"/>
      <c r="E105" s="107">
        <v>95</v>
      </c>
      <c r="F105" s="100">
        <v>1</v>
      </c>
      <c r="G105" s="39">
        <v>1</v>
      </c>
      <c r="H105" s="40">
        <f t="shared" si="11"/>
        <v>95</v>
      </c>
      <c r="I105" s="41">
        <v>0</v>
      </c>
      <c r="J105" s="41">
        <v>1</v>
      </c>
      <c r="K105" s="41">
        <v>0</v>
      </c>
      <c r="L105" s="85">
        <f t="shared" si="16"/>
        <v>95</v>
      </c>
      <c r="N105" s="86">
        <f t="shared" si="12"/>
        <v>1.1419999999999999</v>
      </c>
      <c r="P105" s="84">
        <f t="shared" si="13"/>
        <v>385416.55584436358</v>
      </c>
      <c r="Q105" s="87">
        <f t="shared" si="14"/>
        <v>4057.0163773090903</v>
      </c>
      <c r="S105" s="84">
        <v>366844.83269116358</v>
      </c>
      <c r="T105" s="87">
        <v>3861.5245546438273</v>
      </c>
      <c r="V105" s="90">
        <f t="shared" si="15"/>
        <v>5.0625554725572508E-2</v>
      </c>
      <c r="X105" s="48"/>
      <c r="Y105" s="48"/>
      <c r="Z105" s="66"/>
    </row>
    <row r="106" spans="2:26" ht="13.5" thickBot="1" x14ac:dyDescent="0.3">
      <c r="B106" s="105">
        <v>163</v>
      </c>
      <c r="C106" s="106" t="s">
        <v>175</v>
      </c>
      <c r="D106" s="98"/>
      <c r="E106" s="107">
        <v>67</v>
      </c>
      <c r="F106" s="100">
        <v>1</v>
      </c>
      <c r="G106" s="39">
        <v>1</v>
      </c>
      <c r="H106" s="40">
        <f t="shared" si="11"/>
        <v>67</v>
      </c>
      <c r="I106" s="41">
        <v>0</v>
      </c>
      <c r="J106" s="41">
        <v>1</v>
      </c>
      <c r="K106" s="41">
        <v>0</v>
      </c>
      <c r="L106" s="85">
        <f t="shared" si="16"/>
        <v>67</v>
      </c>
      <c r="N106" s="86">
        <f t="shared" si="12"/>
        <v>0.8054</v>
      </c>
      <c r="P106" s="84">
        <f t="shared" si="13"/>
        <v>271816.54472596361</v>
      </c>
      <c r="Q106" s="87">
        <f t="shared" si="14"/>
        <v>4056.96335411886</v>
      </c>
      <c r="S106" s="84">
        <v>258718.76379112358</v>
      </c>
      <c r="T106" s="87">
        <v>3861.4740864346804</v>
      </c>
      <c r="V106" s="90">
        <f t="shared" si="15"/>
        <v>5.062555472557273E-2</v>
      </c>
      <c r="X106" s="48"/>
      <c r="Y106" s="48"/>
      <c r="Z106" s="66"/>
    </row>
    <row r="107" spans="2:26" ht="13.5" thickBot="1" x14ac:dyDescent="0.3">
      <c r="B107" s="105">
        <v>164</v>
      </c>
      <c r="C107" s="106" t="s">
        <v>228</v>
      </c>
      <c r="D107" s="98"/>
      <c r="E107" s="107">
        <v>70</v>
      </c>
      <c r="F107" s="100">
        <v>1</v>
      </c>
      <c r="G107" s="39">
        <v>1</v>
      </c>
      <c r="H107" s="40">
        <f t="shared" si="11"/>
        <v>70</v>
      </c>
      <c r="I107" s="41">
        <v>0</v>
      </c>
      <c r="J107" s="41">
        <v>1</v>
      </c>
      <c r="K107" s="41">
        <v>0</v>
      </c>
      <c r="L107" s="85">
        <f t="shared" si="16"/>
        <v>70</v>
      </c>
      <c r="N107" s="86">
        <f t="shared" si="12"/>
        <v>0.84150000000000003</v>
      </c>
      <c r="P107" s="84">
        <f t="shared" si="13"/>
        <v>284000.02779600001</v>
      </c>
      <c r="Q107" s="87">
        <f t="shared" si="14"/>
        <v>4057.1432542285715</v>
      </c>
      <c r="S107" s="84">
        <v>270315.17225009995</v>
      </c>
      <c r="T107" s="87">
        <v>3861.6453178585707</v>
      </c>
      <c r="V107" s="90">
        <f t="shared" si="15"/>
        <v>5.062555472557273E-2</v>
      </c>
      <c r="X107" s="48"/>
      <c r="Y107" s="48"/>
      <c r="Z107" s="66"/>
    </row>
    <row r="108" spans="2:26" ht="13.5" thickBot="1" x14ac:dyDescent="0.3">
      <c r="B108" s="105">
        <v>165</v>
      </c>
      <c r="C108" s="106" t="s">
        <v>67</v>
      </c>
      <c r="D108" s="98"/>
      <c r="E108" s="107">
        <v>80</v>
      </c>
      <c r="F108" s="100">
        <v>1</v>
      </c>
      <c r="G108" s="39">
        <v>1</v>
      </c>
      <c r="H108" s="40">
        <f t="shared" si="11"/>
        <v>80</v>
      </c>
      <c r="I108" s="41">
        <v>0</v>
      </c>
      <c r="J108" s="41">
        <v>1</v>
      </c>
      <c r="K108" s="41">
        <v>0</v>
      </c>
      <c r="L108" s="85">
        <f t="shared" si="16"/>
        <v>80</v>
      </c>
      <c r="N108" s="86">
        <f t="shared" si="12"/>
        <v>0.9617</v>
      </c>
      <c r="P108" s="84">
        <f t="shared" si="13"/>
        <v>324566.63901534543</v>
      </c>
      <c r="Q108" s="87">
        <f t="shared" si="14"/>
        <v>4057.0829876918178</v>
      </c>
      <c r="S108" s="84">
        <v>308927.03642652539</v>
      </c>
      <c r="T108" s="87">
        <v>3861.5879553315672</v>
      </c>
      <c r="V108" s="90">
        <f t="shared" si="15"/>
        <v>5.062555472557273E-2</v>
      </c>
      <c r="X108" s="48"/>
      <c r="Y108" s="48"/>
      <c r="Z108" s="66"/>
    </row>
    <row r="109" spans="2:26" ht="13.5" thickBot="1" x14ac:dyDescent="0.3">
      <c r="B109" s="108">
        <v>166</v>
      </c>
      <c r="C109" s="109" t="s">
        <v>117</v>
      </c>
      <c r="D109" s="94"/>
      <c r="E109" s="110">
        <v>300</v>
      </c>
      <c r="F109" s="111">
        <v>0.75</v>
      </c>
      <c r="G109" s="39">
        <v>1</v>
      </c>
      <c r="H109" s="40">
        <f t="shared" si="11"/>
        <v>225</v>
      </c>
      <c r="I109" s="41">
        <v>0</v>
      </c>
      <c r="J109" s="41">
        <v>1</v>
      </c>
      <c r="K109" s="41">
        <v>0</v>
      </c>
      <c r="L109" s="85">
        <f t="shared" si="16"/>
        <v>225</v>
      </c>
      <c r="N109" s="86">
        <f t="shared" si="12"/>
        <v>2.7046999999999999</v>
      </c>
      <c r="P109" s="84">
        <f t="shared" si="13"/>
        <v>912816.25095643627</v>
      </c>
      <c r="Q109" s="87">
        <f t="shared" si="14"/>
        <v>3042.7208365214542</v>
      </c>
      <c r="S109" s="84">
        <v>868831.18999981624</v>
      </c>
      <c r="T109" s="87">
        <v>2896.103966666054</v>
      </c>
      <c r="V109" s="90">
        <f t="shared" si="15"/>
        <v>5.0625554725572508E-2</v>
      </c>
      <c r="X109" s="48"/>
      <c r="Y109" s="48"/>
      <c r="Z109" s="66"/>
    </row>
    <row r="110" spans="2:26" ht="13.5" thickBot="1" x14ac:dyDescent="0.3">
      <c r="B110" s="105">
        <v>166</v>
      </c>
      <c r="C110" s="106" t="s">
        <v>118</v>
      </c>
      <c r="D110" s="98"/>
      <c r="E110" s="107">
        <v>92</v>
      </c>
      <c r="F110" s="100">
        <v>1</v>
      </c>
      <c r="G110" s="39">
        <v>1</v>
      </c>
      <c r="H110" s="40">
        <f t="shared" si="11"/>
        <v>92</v>
      </c>
      <c r="I110" s="41">
        <v>0</v>
      </c>
      <c r="J110" s="41">
        <v>1</v>
      </c>
      <c r="K110" s="41">
        <v>0</v>
      </c>
      <c r="L110" s="85">
        <f t="shared" si="16"/>
        <v>92</v>
      </c>
      <c r="N110" s="86">
        <f t="shared" si="12"/>
        <v>1.1059000000000001</v>
      </c>
      <c r="P110" s="84">
        <f t="shared" si="13"/>
        <v>373233.07277432724</v>
      </c>
      <c r="Q110" s="87">
        <f t="shared" si="14"/>
        <v>4056.8812258079047</v>
      </c>
      <c r="S110" s="84">
        <v>355248.42423218727</v>
      </c>
      <c r="T110" s="87">
        <v>3861.3959155672528</v>
      </c>
      <c r="V110" s="90">
        <f t="shared" si="15"/>
        <v>5.0625554725572508E-2</v>
      </c>
      <c r="X110" s="48"/>
      <c r="Y110" s="48"/>
    </row>
    <row r="111" spans="2:26" ht="13.5" thickBot="1" x14ac:dyDescent="0.3">
      <c r="B111" s="144">
        <v>307</v>
      </c>
      <c r="C111" s="145" t="s">
        <v>176</v>
      </c>
      <c r="D111" s="98"/>
      <c r="E111" s="147">
        <v>128.19999999999999</v>
      </c>
      <c r="F111" s="148">
        <v>1</v>
      </c>
      <c r="G111" s="156">
        <v>1</v>
      </c>
      <c r="H111" s="157">
        <f t="shared" si="11"/>
        <v>128.19999999999999</v>
      </c>
      <c r="I111" s="158">
        <v>0</v>
      </c>
      <c r="J111" s="158">
        <v>1</v>
      </c>
      <c r="K111" s="158">
        <v>0</v>
      </c>
      <c r="L111" s="159">
        <f t="shared" si="16"/>
        <v>128.19999999999999</v>
      </c>
      <c r="N111" s="182">
        <f t="shared" si="12"/>
        <v>1.5410999999999999</v>
      </c>
      <c r="P111" s="146">
        <f t="shared" si="13"/>
        <v>520109.85482639988</v>
      </c>
      <c r="Q111" s="89">
        <f t="shared" si="14"/>
        <v>4057.0191484118559</v>
      </c>
      <c r="S111" s="146">
        <v>495047.78604233987</v>
      </c>
      <c r="T111" s="89">
        <v>3861.52719221794</v>
      </c>
      <c r="V111" s="90">
        <f t="shared" si="15"/>
        <v>5.0625554725572508E-2</v>
      </c>
      <c r="X111" s="48"/>
      <c r="Y111" s="48"/>
    </row>
    <row r="112" spans="2:26" ht="13.5" thickBot="1" x14ac:dyDescent="0.3">
      <c r="B112" s="144">
        <v>26</v>
      </c>
      <c r="C112" s="145" t="s">
        <v>233</v>
      </c>
      <c r="D112" s="98"/>
      <c r="E112" s="147">
        <v>51</v>
      </c>
      <c r="F112" s="148">
        <v>1</v>
      </c>
      <c r="G112" s="156">
        <v>1</v>
      </c>
      <c r="H112" s="157">
        <f t="shared" si="11"/>
        <v>51</v>
      </c>
      <c r="I112" s="158">
        <v>0</v>
      </c>
      <c r="J112" s="158">
        <v>1</v>
      </c>
      <c r="K112" s="158">
        <v>0</v>
      </c>
      <c r="L112" s="159">
        <f t="shared" si="16"/>
        <v>51</v>
      </c>
      <c r="N112" s="182">
        <f t="shared" si="12"/>
        <v>0.61309999999999998</v>
      </c>
      <c r="P112" s="146">
        <f t="shared" si="13"/>
        <v>206916.71662712723</v>
      </c>
      <c r="Q112" s="89">
        <f t="shared" si="14"/>
        <v>4057.1905221005341</v>
      </c>
      <c r="R112" s="146">
        <f>($P$12*P112)/100</f>
        <v>69832861881.831482</v>
      </c>
      <c r="S112" s="146">
        <v>196946.20571186725</v>
      </c>
      <c r="T112" s="89">
        <v>3861.6903080758284</v>
      </c>
      <c r="U112" s="146">
        <f>($P$12*S112)/100</f>
        <v>66467888171.701759</v>
      </c>
      <c r="V112" s="90">
        <f t="shared" si="15"/>
        <v>5.0625554725572508E-2</v>
      </c>
      <c r="X112" s="48"/>
      <c r="Y112" s="48"/>
    </row>
    <row r="113" spans="2:26" ht="13.5" thickBot="1" x14ac:dyDescent="0.3">
      <c r="B113" s="112">
        <v>402</v>
      </c>
      <c r="C113" s="113" t="s">
        <v>226</v>
      </c>
      <c r="D113" s="94"/>
      <c r="E113" s="136">
        <v>292</v>
      </c>
      <c r="F113" s="114">
        <v>0.51400000000000001</v>
      </c>
      <c r="G113" s="156">
        <v>1</v>
      </c>
      <c r="H113" s="157">
        <f t="shared" si="11"/>
        <v>150.09</v>
      </c>
      <c r="I113" s="158">
        <v>0</v>
      </c>
      <c r="J113" s="158">
        <v>1</v>
      </c>
      <c r="K113" s="158">
        <v>0</v>
      </c>
      <c r="L113" s="159">
        <f t="shared" si="16"/>
        <v>150.09</v>
      </c>
      <c r="N113" s="182">
        <f t="shared" si="12"/>
        <v>1.8042</v>
      </c>
      <c r="P113" s="146">
        <f t="shared" si="13"/>
        <v>608904.15941716358</v>
      </c>
      <c r="Q113" s="89">
        <f t="shared" si="14"/>
        <v>2085.288217182067</v>
      </c>
      <c r="S113" s="146">
        <v>579563.43882784364</v>
      </c>
      <c r="T113" s="89">
        <v>1984.8062973556289</v>
      </c>
      <c r="V113" s="90">
        <f t="shared" si="15"/>
        <v>5.0625554725572508E-2</v>
      </c>
      <c r="X113" s="48"/>
      <c r="Y113" s="48"/>
    </row>
    <row r="114" spans="2:26" ht="13.5" thickBot="1" x14ac:dyDescent="0.3">
      <c r="I114" s="3"/>
      <c r="S114" s="137"/>
      <c r="T114" s="137"/>
    </row>
    <row r="115" spans="2:26" ht="13.5" thickBot="1" x14ac:dyDescent="0.3">
      <c r="B115" s="50" t="s">
        <v>119</v>
      </c>
      <c r="C115" s="51"/>
      <c r="E115" s="52">
        <f>SUM(E14:E89)+SUM(E91:E113)</f>
        <v>11856.204999999998</v>
      </c>
      <c r="F115" s="35"/>
      <c r="G115" s="53"/>
      <c r="H115" s="35"/>
      <c r="I115" s="35"/>
      <c r="J115" s="35"/>
      <c r="K115" s="35"/>
      <c r="L115" s="54">
        <f>SUM(L14:L89)+SUM(L91:L113)</f>
        <v>8318.7000000000007</v>
      </c>
      <c r="N115" s="183">
        <f>SUM(N14:N89)+SUM(N91:N113)</f>
        <v>99.999800000000036</v>
      </c>
      <c r="P115" s="55">
        <f>SUM(P14:P89)+SUM(P91:P113)</f>
        <v>33749193.083297022</v>
      </c>
      <c r="Q115" s="56"/>
      <c r="S115" s="55">
        <v>22011445.05849319</v>
      </c>
      <c r="T115" s="56"/>
      <c r="X115" s="57">
        <f>SUM(X14:X89)</f>
        <v>1166659.7300000002</v>
      </c>
      <c r="Y115" s="58">
        <f>SUM(Y14:Y89)</f>
        <v>24654022.060373969</v>
      </c>
    </row>
    <row r="116" spans="2:26" x14ac:dyDescent="0.25">
      <c r="E116" s="204"/>
      <c r="F116" s="204"/>
      <c r="G116" s="59"/>
      <c r="H116" s="17"/>
      <c r="I116" s="60"/>
      <c r="J116" s="61"/>
      <c r="S116" s="4"/>
      <c r="T116" s="4"/>
    </row>
    <row r="117" spans="2:26" x14ac:dyDescent="0.25">
      <c r="E117" s="143"/>
      <c r="I117" s="3"/>
      <c r="Q117" s="62"/>
      <c r="R117" s="62"/>
      <c r="S117" s="138"/>
      <c r="T117" s="48"/>
      <c r="U117" s="62"/>
      <c r="V117" s="62"/>
      <c r="W117" s="62"/>
      <c r="Y117" s="17"/>
    </row>
    <row r="118" spans="2:26" x14ac:dyDescent="0.25">
      <c r="E118" s="165"/>
      <c r="H118" s="17"/>
      <c r="I118" s="17"/>
      <c r="P118" s="4" t="s">
        <v>120</v>
      </c>
      <c r="Q118" s="4">
        <f>SUM(L14:L89)</f>
        <v>6475.2200000000012</v>
      </c>
      <c r="Y118" s="17"/>
      <c r="Z118" s="17"/>
    </row>
    <row r="119" spans="2:26" x14ac:dyDescent="0.25">
      <c r="E119" s="165"/>
      <c r="P119" s="4" t="s">
        <v>121</v>
      </c>
      <c r="Q119" s="4">
        <f>SUM(L91:L113)</f>
        <v>1843.48</v>
      </c>
    </row>
    <row r="120" spans="2:26" x14ac:dyDescent="0.25">
      <c r="E120" s="165"/>
      <c r="P120" s="63" t="s">
        <v>122</v>
      </c>
      <c r="Q120" s="63">
        <f>Q118+Q119</f>
        <v>8318.7000000000007</v>
      </c>
      <c r="S120" s="64">
        <f>(Q120/Q118)-1</f>
        <v>0.28469766278211384</v>
      </c>
    </row>
    <row r="121" spans="2:26" x14ac:dyDescent="0.25">
      <c r="C121" s="205"/>
      <c r="D121" s="205"/>
      <c r="E121" s="205"/>
      <c r="F121" s="17"/>
    </row>
    <row r="122" spans="2:26" x14ac:dyDescent="0.25">
      <c r="E122" s="165"/>
    </row>
    <row r="123" spans="2:26" x14ac:dyDescent="0.25">
      <c r="C123" s="192"/>
      <c r="D123" s="192"/>
      <c r="E123" s="192"/>
    </row>
    <row r="124" spans="2:26" x14ac:dyDescent="0.25">
      <c r="E124" s="165"/>
      <c r="I124" s="65"/>
    </row>
    <row r="125" spans="2:26" x14ac:dyDescent="0.25">
      <c r="C125" s="192"/>
      <c r="D125" s="192"/>
      <c r="E125" s="192"/>
      <c r="F125" s="17"/>
      <c r="T125" s="23"/>
    </row>
    <row r="126" spans="2:26" x14ac:dyDescent="0.25">
      <c r="B126" s="1" t="s">
        <v>202</v>
      </c>
      <c r="E126" s="165"/>
      <c r="I126" s="65"/>
    </row>
    <row r="127" spans="2:26" x14ac:dyDescent="0.25">
      <c r="C127" s="192"/>
      <c r="D127" s="192"/>
      <c r="E127" s="192"/>
      <c r="F127" s="3"/>
    </row>
    <row r="129" spans="2:28" x14ac:dyDescent="0.25">
      <c r="F129" s="17"/>
    </row>
    <row r="132" spans="2:28" s="2" customFormat="1" x14ac:dyDescent="0.25">
      <c r="B132" s="1"/>
      <c r="C132" s="3"/>
      <c r="D132" s="1"/>
      <c r="E132" s="61"/>
      <c r="F132" s="1"/>
      <c r="H132" s="1"/>
      <c r="I132" s="1"/>
      <c r="J132" s="1"/>
      <c r="K132" s="1"/>
      <c r="L132" s="1"/>
      <c r="M132" s="1"/>
      <c r="N132" s="1"/>
      <c r="O132" s="1"/>
      <c r="P132" s="4"/>
      <c r="Q132" s="4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s="2" customFormat="1" x14ac:dyDescent="0.25">
      <c r="B133" s="1"/>
      <c r="C133" s="1"/>
      <c r="D133" s="1"/>
      <c r="E133" s="1"/>
      <c r="F133" s="20"/>
      <c r="H133" s="1"/>
      <c r="I133" s="1"/>
      <c r="J133" s="1"/>
      <c r="K133" s="1"/>
      <c r="L133" s="1"/>
      <c r="M133" s="1"/>
      <c r="N133" s="1"/>
      <c r="O133" s="1"/>
      <c r="P133" s="4"/>
      <c r="Q133" s="4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s="2" customFormat="1" x14ac:dyDescent="0.25">
      <c r="B134" s="1"/>
      <c r="C134" s="20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4"/>
      <c r="Q134" s="4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s="2" customFormat="1" x14ac:dyDescent="0.25">
      <c r="B135" s="1"/>
      <c r="C135" s="66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4"/>
      <c r="Q135" s="4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</row>
  </sheetData>
  <mergeCells count="8">
    <mergeCell ref="C125:E125"/>
    <mergeCell ref="C127:E127"/>
    <mergeCell ref="B2:M6"/>
    <mergeCell ref="S12:T12"/>
    <mergeCell ref="X12:Y12"/>
    <mergeCell ref="E116:F116"/>
    <mergeCell ref="C121:E121"/>
    <mergeCell ref="C123:E123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589C-6022-4F6E-BE51-7C73AE73CE8B}">
  <sheetPr>
    <tabColor theme="4" tint="0.39997558519241921"/>
  </sheetPr>
  <dimension ref="A1:AB135"/>
  <sheetViews>
    <sheetView topLeftCell="I3" zoomScale="85" zoomScaleNormal="70" workbookViewId="0">
      <selection activeCell="T10" sqref="T10"/>
    </sheetView>
  </sheetViews>
  <sheetFormatPr baseColWidth="10" defaultColWidth="10.81640625" defaultRowHeight="13" x14ac:dyDescent="0.25"/>
  <cols>
    <col min="1" max="1" width="4.453125" style="1" customWidth="1"/>
    <col min="2" max="2" width="19.54296875" style="1" customWidth="1"/>
    <col min="3" max="3" width="29.453125" style="1" customWidth="1"/>
    <col min="4" max="4" width="1.453125" style="1" customWidth="1"/>
    <col min="5" max="5" width="11.453125" style="1" customWidth="1"/>
    <col min="6" max="6" width="14.453125" style="1" customWidth="1"/>
    <col min="7" max="7" width="13.81640625" style="2" customWidth="1"/>
    <col min="8" max="8" width="13.453125" style="1" customWidth="1"/>
    <col min="9" max="9" width="12.453125" style="1" customWidth="1"/>
    <col min="10" max="11" width="11.453125" style="1" customWidth="1"/>
    <col min="12" max="12" width="8.26953125" style="1" customWidth="1"/>
    <col min="13" max="13" width="0.1796875" style="1" customWidth="1"/>
    <col min="14" max="14" width="19.453125" style="1" customWidth="1"/>
    <col min="15" max="15" width="0.1796875" style="1" customWidth="1"/>
    <col min="16" max="16" width="22.7265625" style="4" customWidth="1"/>
    <col min="17" max="17" width="15" style="4" customWidth="1"/>
    <col min="18" max="18" width="1.7265625" style="1" customWidth="1"/>
    <col min="19" max="19" width="17.26953125" style="5" bestFit="1" customWidth="1"/>
    <col min="20" max="20" width="17.54296875" style="1" customWidth="1"/>
    <col min="21" max="21" width="1.7265625" style="1" customWidth="1"/>
    <col min="22" max="22" width="13.1796875" style="1" customWidth="1"/>
    <col min="23" max="23" width="1.7265625" style="1" customWidth="1"/>
    <col min="24" max="24" width="14.453125" style="1" bestFit="1" customWidth="1"/>
    <col min="25" max="25" width="15.81640625" style="1" customWidth="1"/>
    <col min="26" max="26" width="14.26953125" style="1" customWidth="1"/>
    <col min="27" max="27" width="11.81640625" style="1" bestFit="1" customWidth="1"/>
    <col min="28" max="28" width="15.7265625" style="1" customWidth="1"/>
    <col min="29" max="16384" width="10.81640625" style="1"/>
  </cols>
  <sheetData>
    <row r="1" spans="2:28" ht="13.5" thickBot="1" x14ac:dyDescent="0.3">
      <c r="I1" s="3"/>
    </row>
    <row r="2" spans="2:28" ht="13.5" thickBot="1" x14ac:dyDescent="0.3">
      <c r="B2" s="193" t="s">
        <v>232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P2" s="6" t="s">
        <v>0</v>
      </c>
      <c r="Q2" s="7">
        <f>T10</f>
        <v>44083389.831818178</v>
      </c>
      <c r="R2" s="8"/>
      <c r="S2" s="9" t="s">
        <v>1</v>
      </c>
      <c r="T2" s="10">
        <f>519334.36+137332.91+33332.73</f>
        <v>690000</v>
      </c>
      <c r="U2" s="8"/>
      <c r="W2" s="8"/>
    </row>
    <row r="3" spans="2:28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8"/>
      <c r="O3" s="11" t="s">
        <v>2</v>
      </c>
      <c r="P3" s="12"/>
      <c r="Q3" s="13"/>
      <c r="S3" s="9" t="s">
        <v>3</v>
      </c>
      <c r="T3" s="10"/>
    </row>
    <row r="4" spans="2:28" x14ac:dyDescent="0.25"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8"/>
      <c r="O4" s="14" t="s">
        <v>4</v>
      </c>
      <c r="P4" s="15"/>
      <c r="Q4" s="16"/>
      <c r="S4" s="9" t="s">
        <v>5</v>
      </c>
      <c r="T4" s="17">
        <v>119150</v>
      </c>
    </row>
    <row r="5" spans="2:28" ht="14.5" x14ac:dyDescent="0.35">
      <c r="B5" s="196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8"/>
      <c r="O5" s="14" t="s">
        <v>6</v>
      </c>
      <c r="P5" s="18" t="s">
        <v>7</v>
      </c>
      <c r="Q5" s="19">
        <f>811072+411111.7</f>
        <v>1222183.7</v>
      </c>
      <c r="S5" s="9" t="s">
        <v>8</v>
      </c>
      <c r="T5" s="17">
        <v>27642</v>
      </c>
      <c r="V5" s="20"/>
      <c r="Y5" s="21"/>
    </row>
    <row r="6" spans="2:28" ht="15" thickBot="1" x14ac:dyDescent="0.4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O6" s="14" t="s">
        <v>9</v>
      </c>
      <c r="P6" s="18" t="s">
        <v>220</v>
      </c>
      <c r="Q6" s="16">
        <v>5072019</v>
      </c>
      <c r="S6" s="9" t="s">
        <v>10</v>
      </c>
      <c r="T6" s="77">
        <v>3603000.02</v>
      </c>
      <c r="V6" s="22"/>
      <c r="Y6" s="149"/>
      <c r="AB6" s="22"/>
    </row>
    <row r="7" spans="2:28" ht="13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0"/>
      <c r="O7" s="14" t="s">
        <v>11</v>
      </c>
      <c r="P7" s="25" t="s">
        <v>12</v>
      </c>
      <c r="Q7" s="19">
        <v>201749</v>
      </c>
      <c r="S7" s="9" t="s">
        <v>13</v>
      </c>
      <c r="T7" s="17">
        <f>Premisas!D11</f>
        <v>1043597.8118181818</v>
      </c>
      <c r="V7" s="20"/>
      <c r="Y7" s="149"/>
    </row>
    <row r="8" spans="2:28" ht="13" customHeight="1" x14ac:dyDescent="0.25">
      <c r="B8" s="26" t="s">
        <v>14</v>
      </c>
      <c r="C8" s="102"/>
      <c r="D8" s="24"/>
      <c r="E8" s="24"/>
      <c r="F8" s="24"/>
      <c r="G8" s="24"/>
      <c r="H8" s="24"/>
      <c r="I8" s="24"/>
      <c r="J8" s="24"/>
      <c r="K8" s="24"/>
      <c r="L8" s="24"/>
      <c r="M8" s="24"/>
      <c r="O8" s="14" t="s">
        <v>15</v>
      </c>
      <c r="P8" s="18" t="s">
        <v>181</v>
      </c>
      <c r="Q8" s="16">
        <v>583285.64</v>
      </c>
      <c r="S8" s="9" t="s">
        <v>16</v>
      </c>
      <c r="T8" s="17">
        <v>600000</v>
      </c>
    </row>
    <row r="9" spans="2:28" ht="13" customHeight="1" thickBot="1" x14ac:dyDescent="0.3">
      <c r="B9" s="26" t="s">
        <v>17</v>
      </c>
      <c r="C9" s="95"/>
      <c r="D9" s="24"/>
      <c r="E9" s="24"/>
      <c r="F9" s="24"/>
      <c r="G9" s="24"/>
      <c r="H9" s="24"/>
      <c r="I9" s="24"/>
      <c r="J9" s="24"/>
      <c r="K9" s="24"/>
      <c r="L9" s="24"/>
      <c r="M9" s="24"/>
      <c r="O9" s="27" t="s">
        <v>18</v>
      </c>
      <c r="P9" s="28"/>
      <c r="Q9" s="29">
        <v>0</v>
      </c>
      <c r="S9" s="9"/>
      <c r="T9" s="30">
        <v>38000000</v>
      </c>
      <c r="V9" s="31"/>
      <c r="W9" s="32"/>
      <c r="X9" s="150"/>
    </row>
    <row r="10" spans="2:28" ht="13.5" thickBot="1" x14ac:dyDescent="0.3">
      <c r="B10" s="26" t="s">
        <v>19</v>
      </c>
      <c r="C10" s="80"/>
      <c r="I10" s="3"/>
      <c r="P10" s="6" t="s">
        <v>20</v>
      </c>
      <c r="Q10" s="34">
        <f>Q2-Q3-Q4-Q5-Q6-Q7-Q8-Q9</f>
        <v>37004152.491818175</v>
      </c>
      <c r="S10" s="5" t="s">
        <v>21</v>
      </c>
      <c r="T10" s="17">
        <f>SUM(T2:T9)</f>
        <v>44083389.831818178</v>
      </c>
      <c r="V10" s="138"/>
      <c r="W10" s="32"/>
      <c r="X10" s="33"/>
      <c r="Z10" s="138"/>
    </row>
    <row r="11" spans="2:28" ht="13.5" thickBot="1" x14ac:dyDescent="0.3">
      <c r="I11" s="3"/>
    </row>
    <row r="12" spans="2:28" ht="26.5" thickBot="1" x14ac:dyDescent="0.3">
      <c r="B12" s="119" t="s">
        <v>22</v>
      </c>
      <c r="C12" s="120" t="s">
        <v>23</v>
      </c>
      <c r="E12" s="119" t="s">
        <v>24</v>
      </c>
      <c r="F12" s="121" t="s">
        <v>25</v>
      </c>
      <c r="G12" s="122" t="s">
        <v>26</v>
      </c>
      <c r="H12" s="123" t="s">
        <v>27</v>
      </c>
      <c r="I12" s="124" t="s">
        <v>28</v>
      </c>
      <c r="J12" s="121" t="s">
        <v>29</v>
      </c>
      <c r="K12" s="121" t="s">
        <v>30</v>
      </c>
      <c r="L12" s="120" t="s">
        <v>31</v>
      </c>
      <c r="M12" s="125"/>
      <c r="N12" s="180" t="s">
        <v>32</v>
      </c>
      <c r="O12" s="125"/>
      <c r="P12" s="126">
        <f>+Q10</f>
        <v>37004152.491818175</v>
      </c>
      <c r="Q12" s="127" t="s">
        <v>33</v>
      </c>
      <c r="S12" s="202" t="s">
        <v>241</v>
      </c>
      <c r="T12" s="203"/>
      <c r="V12" s="128" t="s">
        <v>34</v>
      </c>
      <c r="X12" s="202" t="s">
        <v>35</v>
      </c>
      <c r="Y12" s="203"/>
    </row>
    <row r="13" spans="2:28" ht="7" customHeight="1" thickBot="1" x14ac:dyDescent="0.3">
      <c r="I13" s="3"/>
      <c r="X13" s="5"/>
    </row>
    <row r="14" spans="2:28" x14ac:dyDescent="0.25">
      <c r="B14" s="160" t="s">
        <v>36</v>
      </c>
      <c r="C14" s="161" t="s">
        <v>198</v>
      </c>
      <c r="D14" s="94"/>
      <c r="E14" s="162">
        <v>211</v>
      </c>
      <c r="F14" s="163">
        <v>0.9</v>
      </c>
      <c r="G14" s="37">
        <v>1</v>
      </c>
      <c r="H14" s="38">
        <f t="shared" ref="H14:H85" si="0">ROUND(E14*G14*F14,2)</f>
        <v>189.9</v>
      </c>
      <c r="I14" s="36">
        <v>0</v>
      </c>
      <c r="J14" s="36">
        <v>1</v>
      </c>
      <c r="K14" s="36">
        <f t="shared" ref="K14:K84" si="1">ROUND(I14*J14,2)</f>
        <v>0</v>
      </c>
      <c r="L14" s="153">
        <f t="shared" ref="L14:L84" si="2">H14+K14</f>
        <v>189.9</v>
      </c>
      <c r="N14" s="181">
        <f t="shared" ref="N14:N77" si="3">ROUND((L14/$L$115)*100,4)</f>
        <v>2.2827999999999999</v>
      </c>
      <c r="P14" s="152">
        <f t="shared" ref="P14:P85" si="4">($P$12*N14)/100</f>
        <v>844730.79308322538</v>
      </c>
      <c r="Q14" s="154">
        <f t="shared" ref="Q14:Q85" si="5">P14/E14</f>
        <v>4003.4634743280822</v>
      </c>
      <c r="R14" s="2"/>
      <c r="S14" s="152">
        <v>770428.12056174537</v>
      </c>
      <c r="T14" s="154">
        <v>3475.3753042695039</v>
      </c>
      <c r="U14" s="2"/>
      <c r="V14" s="155">
        <f t="shared" ref="V14:V78" si="6">(P14/S14)-1</f>
        <v>9.6443354725036956E-2</v>
      </c>
      <c r="W14" s="2"/>
      <c r="X14" s="152">
        <v>43179.58</v>
      </c>
      <c r="Y14" s="154">
        <f t="shared" ref="Y14:Y48" si="7">+P14-X14</f>
        <v>801551.21308322542</v>
      </c>
      <c r="Z14" s="4"/>
    </row>
    <row r="15" spans="2:28" x14ac:dyDescent="0.25">
      <c r="B15" s="96" t="s">
        <v>37</v>
      </c>
      <c r="C15" s="97" t="s">
        <v>38</v>
      </c>
      <c r="D15" s="98"/>
      <c r="E15" s="99">
        <f>140.4+64.1</f>
        <v>204.5</v>
      </c>
      <c r="F15" s="100">
        <v>1</v>
      </c>
      <c r="G15" s="39">
        <v>1</v>
      </c>
      <c r="H15" s="40">
        <f t="shared" si="0"/>
        <v>204.5</v>
      </c>
      <c r="I15" s="41">
        <v>0</v>
      </c>
      <c r="J15" s="41">
        <v>1</v>
      </c>
      <c r="K15" s="41">
        <f t="shared" si="1"/>
        <v>0</v>
      </c>
      <c r="L15" s="85">
        <f t="shared" si="2"/>
        <v>204.5</v>
      </c>
      <c r="N15" s="86">
        <f t="shared" si="3"/>
        <v>2.4582999999999999</v>
      </c>
      <c r="P15" s="84">
        <f t="shared" si="4"/>
        <v>909673.08070636611</v>
      </c>
      <c r="Q15" s="91">
        <f t="shared" si="5"/>
        <v>4448.2791232585141</v>
      </c>
      <c r="S15" s="84">
        <v>829658.07288283634</v>
      </c>
      <c r="T15" s="91">
        <v>3861.5162872354827</v>
      </c>
      <c r="V15" s="88">
        <f t="shared" si="6"/>
        <v>9.6443354725036734E-2</v>
      </c>
      <c r="X15" s="84">
        <v>26671.86</v>
      </c>
      <c r="Y15" s="87">
        <f t="shared" si="7"/>
        <v>883001.22070636612</v>
      </c>
      <c r="Z15" s="4"/>
    </row>
    <row r="16" spans="2:28" x14ac:dyDescent="0.25">
      <c r="B16" s="96" t="s">
        <v>39</v>
      </c>
      <c r="C16" s="97" t="s">
        <v>40</v>
      </c>
      <c r="D16" s="98"/>
      <c r="E16" s="99">
        <v>81.3</v>
      </c>
      <c r="F16" s="100">
        <v>1</v>
      </c>
      <c r="G16" s="39">
        <v>1</v>
      </c>
      <c r="H16" s="40">
        <f t="shared" si="0"/>
        <v>81.3</v>
      </c>
      <c r="I16" s="41">
        <v>0</v>
      </c>
      <c r="J16" s="41">
        <v>1</v>
      </c>
      <c r="K16" s="41">
        <f t="shared" si="1"/>
        <v>0</v>
      </c>
      <c r="L16" s="85">
        <f t="shared" si="2"/>
        <v>81.3</v>
      </c>
      <c r="N16" s="86">
        <f t="shared" si="3"/>
        <v>0.97729999999999995</v>
      </c>
      <c r="P16" s="84">
        <f t="shared" si="4"/>
        <v>361641.58230253897</v>
      </c>
      <c r="Q16" s="91">
        <f t="shared" si="5"/>
        <v>4448.2359446806759</v>
      </c>
      <c r="S16" s="84">
        <v>329831.52366610902</v>
      </c>
      <c r="T16" s="91">
        <v>3861.47880425005</v>
      </c>
      <c r="V16" s="88">
        <f t="shared" si="6"/>
        <v>9.6443354725036956E-2</v>
      </c>
      <c r="X16" s="84">
        <v>15444.87</v>
      </c>
      <c r="Y16" s="87">
        <f t="shared" si="7"/>
        <v>346196.71230253897</v>
      </c>
      <c r="Z16" s="4"/>
    </row>
    <row r="17" spans="1:26" x14ac:dyDescent="0.25">
      <c r="B17" s="96" t="s">
        <v>41</v>
      </c>
      <c r="C17" s="97" t="s">
        <v>42</v>
      </c>
      <c r="D17" s="98"/>
      <c r="E17" s="99">
        <v>56.6</v>
      </c>
      <c r="F17" s="100">
        <v>1</v>
      </c>
      <c r="G17" s="39">
        <v>1</v>
      </c>
      <c r="H17" s="40">
        <f t="shared" si="0"/>
        <v>56.6</v>
      </c>
      <c r="I17" s="41">
        <v>0</v>
      </c>
      <c r="J17" s="41">
        <v>1</v>
      </c>
      <c r="K17" s="41">
        <f t="shared" si="1"/>
        <v>0</v>
      </c>
      <c r="L17" s="85">
        <f t="shared" si="2"/>
        <v>56.6</v>
      </c>
      <c r="N17" s="86">
        <f t="shared" si="3"/>
        <v>0.6804</v>
      </c>
      <c r="P17" s="84">
        <f t="shared" si="4"/>
        <v>251776.25355433088</v>
      </c>
      <c r="Q17" s="91">
        <f t="shared" si="5"/>
        <v>4448.3437023733368</v>
      </c>
      <c r="S17" s="84">
        <v>229629.96899869089</v>
      </c>
      <c r="T17" s="91">
        <v>3861.5723478595564</v>
      </c>
      <c r="V17" s="88">
        <f t="shared" si="6"/>
        <v>9.6443354725036956E-2</v>
      </c>
      <c r="X17" s="84">
        <v>10752.68</v>
      </c>
      <c r="Y17" s="87">
        <f t="shared" si="7"/>
        <v>241023.57355433088</v>
      </c>
      <c r="Z17" s="4"/>
    </row>
    <row r="18" spans="1:26" x14ac:dyDescent="0.25">
      <c r="A18" s="1" t="s">
        <v>230</v>
      </c>
      <c r="B18" s="96" t="s">
        <v>43</v>
      </c>
      <c r="C18" s="97" t="s">
        <v>129</v>
      </c>
      <c r="D18" s="98"/>
      <c r="E18" s="99">
        <v>24.35</v>
      </c>
      <c r="F18" s="100">
        <v>1</v>
      </c>
      <c r="G18" s="39">
        <v>1</v>
      </c>
      <c r="H18" s="40">
        <f t="shared" si="0"/>
        <v>24.35</v>
      </c>
      <c r="I18" s="41">
        <v>0</v>
      </c>
      <c r="J18" s="41">
        <v>1</v>
      </c>
      <c r="K18" s="41">
        <f t="shared" si="1"/>
        <v>0</v>
      </c>
      <c r="L18" s="85">
        <f t="shared" si="2"/>
        <v>24.35</v>
      </c>
      <c r="N18" s="86">
        <f t="shared" si="3"/>
        <v>0.29270000000000002</v>
      </c>
      <c r="P18" s="84">
        <f t="shared" si="4"/>
        <v>108311.15434355181</v>
      </c>
      <c r="Q18" s="91">
        <f t="shared" si="5"/>
        <v>4448.0966876201974</v>
      </c>
      <c r="S18" s="84">
        <v>98784.085722981821</v>
      </c>
      <c r="T18" s="91">
        <v>3861.357916285906</v>
      </c>
      <c r="V18" s="88">
        <f t="shared" si="6"/>
        <v>9.6443354725036956E-2</v>
      </c>
      <c r="X18" s="84">
        <v>4625.1400000000003</v>
      </c>
      <c r="Y18" s="87">
        <f t="shared" si="7"/>
        <v>103686.01434355181</v>
      </c>
      <c r="Z18" s="4"/>
    </row>
    <row r="19" spans="1:26" x14ac:dyDescent="0.25">
      <c r="B19" s="96" t="s">
        <v>44</v>
      </c>
      <c r="C19" s="97" t="s">
        <v>45</v>
      </c>
      <c r="D19" s="98"/>
      <c r="E19" s="99">
        <v>55.25</v>
      </c>
      <c r="F19" s="100">
        <v>1</v>
      </c>
      <c r="G19" s="39">
        <v>1</v>
      </c>
      <c r="H19" s="40">
        <f t="shared" si="0"/>
        <v>55.25</v>
      </c>
      <c r="I19" s="41">
        <v>0</v>
      </c>
      <c r="J19" s="41">
        <v>1</v>
      </c>
      <c r="K19" s="41">
        <f t="shared" si="1"/>
        <v>0</v>
      </c>
      <c r="L19" s="85">
        <f t="shared" si="2"/>
        <v>55.25</v>
      </c>
      <c r="N19" s="86">
        <f t="shared" si="3"/>
        <v>0.66420000000000001</v>
      </c>
      <c r="P19" s="84">
        <f t="shared" si="4"/>
        <v>245781.58085065632</v>
      </c>
      <c r="Q19" s="87">
        <f t="shared" si="5"/>
        <v>4448.5354000118787</v>
      </c>
      <c r="S19" s="84">
        <v>224162.58878443635</v>
      </c>
      <c r="T19" s="87">
        <v>3861.738759079029</v>
      </c>
      <c r="V19" s="88">
        <f t="shared" si="6"/>
        <v>9.6443354725036956E-2</v>
      </c>
      <c r="X19" s="84">
        <v>10495.66</v>
      </c>
      <c r="Y19" s="87">
        <f t="shared" si="7"/>
        <v>235285.92085065632</v>
      </c>
      <c r="Z19" s="4"/>
    </row>
    <row r="20" spans="1:26" x14ac:dyDescent="0.25">
      <c r="B20" s="101" t="s">
        <v>46</v>
      </c>
      <c r="C20" s="97" t="s">
        <v>123</v>
      </c>
      <c r="D20" s="98"/>
      <c r="E20" s="99">
        <v>48.9</v>
      </c>
      <c r="F20" s="100">
        <v>1</v>
      </c>
      <c r="G20" s="39">
        <v>1</v>
      </c>
      <c r="H20" s="40">
        <f t="shared" si="0"/>
        <v>48.9</v>
      </c>
      <c r="I20" s="41">
        <v>0</v>
      </c>
      <c r="J20" s="41">
        <v>1</v>
      </c>
      <c r="K20" s="41">
        <f t="shared" si="1"/>
        <v>0</v>
      </c>
      <c r="L20" s="85">
        <f t="shared" si="2"/>
        <v>48.9</v>
      </c>
      <c r="N20" s="86">
        <f t="shared" si="3"/>
        <v>0.58779999999999999</v>
      </c>
      <c r="P20" s="84">
        <f t="shared" si="4"/>
        <v>217510.40834690724</v>
      </c>
      <c r="Q20" s="87">
        <f t="shared" si="5"/>
        <v>4448.0656103662013</v>
      </c>
      <c r="S20" s="84">
        <v>198378.15369992726</v>
      </c>
      <c r="T20" s="87">
        <v>3861.3309383649748</v>
      </c>
      <c r="V20" s="88">
        <f t="shared" si="6"/>
        <v>9.6443354725036956E-2</v>
      </c>
      <c r="X20" s="84">
        <v>9290.02</v>
      </c>
      <c r="Y20" s="87">
        <f t="shared" si="7"/>
        <v>208220.38834690725</v>
      </c>
      <c r="Z20" s="4"/>
    </row>
    <row r="21" spans="1:26" x14ac:dyDescent="0.25">
      <c r="B21" s="101" t="s">
        <v>47</v>
      </c>
      <c r="C21" s="97" t="s">
        <v>123</v>
      </c>
      <c r="D21" s="98"/>
      <c r="E21" s="99">
        <v>48.7</v>
      </c>
      <c r="F21" s="100">
        <v>1</v>
      </c>
      <c r="G21" s="39">
        <v>1</v>
      </c>
      <c r="H21" s="40">
        <f t="shared" si="0"/>
        <v>48.7</v>
      </c>
      <c r="I21" s="41">
        <v>0</v>
      </c>
      <c r="J21" s="41">
        <v>1</v>
      </c>
      <c r="K21" s="41">
        <f t="shared" si="1"/>
        <v>0</v>
      </c>
      <c r="L21" s="85">
        <f t="shared" si="2"/>
        <v>48.7</v>
      </c>
      <c r="N21" s="86">
        <f t="shared" si="3"/>
        <v>0.58540000000000003</v>
      </c>
      <c r="P21" s="84">
        <f t="shared" si="4"/>
        <v>216622.30868710362</v>
      </c>
      <c r="Q21" s="87">
        <f t="shared" si="5"/>
        <v>4448.0966876201974</v>
      </c>
      <c r="S21" s="84">
        <v>197568.17144596364</v>
      </c>
      <c r="T21" s="87">
        <v>3861.357916285906</v>
      </c>
      <c r="V21" s="88">
        <f t="shared" si="6"/>
        <v>9.6443354725036956E-2</v>
      </c>
      <c r="X21" s="84">
        <v>9251.5300000000007</v>
      </c>
      <c r="Y21" s="87">
        <f t="shared" si="7"/>
        <v>207370.77868710362</v>
      </c>
      <c r="Z21" s="4"/>
    </row>
    <row r="22" spans="1:26" x14ac:dyDescent="0.25">
      <c r="B22" s="101" t="s">
        <v>48</v>
      </c>
      <c r="C22" s="97" t="s">
        <v>124</v>
      </c>
      <c r="D22" s="98"/>
      <c r="E22" s="99">
        <v>43.65</v>
      </c>
      <c r="F22" s="100">
        <v>1</v>
      </c>
      <c r="G22" s="39">
        <v>1</v>
      </c>
      <c r="H22" s="40">
        <f t="shared" si="0"/>
        <v>43.65</v>
      </c>
      <c r="I22" s="41">
        <v>0</v>
      </c>
      <c r="J22" s="41">
        <v>1</v>
      </c>
      <c r="K22" s="41">
        <f t="shared" si="1"/>
        <v>0</v>
      </c>
      <c r="L22" s="85">
        <f t="shared" si="2"/>
        <v>43.65</v>
      </c>
      <c r="N22" s="86">
        <f t="shared" si="3"/>
        <v>0.52470000000000006</v>
      </c>
      <c r="P22" s="84">
        <f t="shared" si="4"/>
        <v>194160.78812456998</v>
      </c>
      <c r="Q22" s="87">
        <f t="shared" si="5"/>
        <v>4448.1280211814428</v>
      </c>
      <c r="S22" s="84">
        <v>177082.37027279998</v>
      </c>
      <c r="T22" s="87">
        <v>3861.3851167051539</v>
      </c>
      <c r="V22" s="88">
        <f t="shared" si="6"/>
        <v>9.6443354725036956E-2</v>
      </c>
      <c r="X22" s="84">
        <v>8291.73</v>
      </c>
      <c r="Y22" s="87">
        <f t="shared" si="7"/>
        <v>185869.05812456997</v>
      </c>
      <c r="Z22" s="4"/>
    </row>
    <row r="23" spans="1:26" x14ac:dyDescent="0.25">
      <c r="B23" s="96" t="s">
        <v>49</v>
      </c>
      <c r="C23" s="97" t="s">
        <v>51</v>
      </c>
      <c r="D23" s="98"/>
      <c r="E23" s="99">
        <v>44.85</v>
      </c>
      <c r="F23" s="100">
        <v>1</v>
      </c>
      <c r="G23" s="39">
        <v>1</v>
      </c>
      <c r="H23" s="40">
        <f t="shared" si="0"/>
        <v>44.85</v>
      </c>
      <c r="I23" s="41">
        <v>0</v>
      </c>
      <c r="J23" s="41">
        <v>1</v>
      </c>
      <c r="K23" s="41">
        <f t="shared" si="1"/>
        <v>0</v>
      </c>
      <c r="L23" s="85">
        <f t="shared" si="2"/>
        <v>44.85</v>
      </c>
      <c r="N23" s="86">
        <f t="shared" si="3"/>
        <v>0.53910000000000002</v>
      </c>
      <c r="P23" s="84">
        <f t="shared" si="4"/>
        <v>199489.38608339179</v>
      </c>
      <c r="Q23" s="87">
        <f t="shared" si="5"/>
        <v>4447.9238814580103</v>
      </c>
      <c r="R23" s="92"/>
      <c r="S23" s="84">
        <v>181942.2637965818</v>
      </c>
      <c r="T23" s="87">
        <v>3861.2079046091812</v>
      </c>
      <c r="U23" s="92"/>
      <c r="V23" s="88">
        <f t="shared" si="6"/>
        <v>9.6443354725036956E-2</v>
      </c>
      <c r="W23" s="92"/>
      <c r="X23" s="84">
        <v>8520.19</v>
      </c>
      <c r="Y23" s="87">
        <f t="shared" si="7"/>
        <v>190969.19608339178</v>
      </c>
      <c r="Z23" s="4"/>
    </row>
    <row r="24" spans="1:26" x14ac:dyDescent="0.25">
      <c r="B24" s="96" t="s">
        <v>50</v>
      </c>
      <c r="C24" s="97" t="s">
        <v>51</v>
      </c>
      <c r="D24" s="98"/>
      <c r="E24" s="99">
        <v>55.65</v>
      </c>
      <c r="F24" s="100">
        <v>1</v>
      </c>
      <c r="G24" s="39">
        <v>1</v>
      </c>
      <c r="H24" s="40">
        <f t="shared" si="0"/>
        <v>55.65</v>
      </c>
      <c r="I24" s="41">
        <v>0</v>
      </c>
      <c r="J24" s="41">
        <v>1</v>
      </c>
      <c r="K24" s="41">
        <f t="shared" si="1"/>
        <v>0</v>
      </c>
      <c r="L24" s="85">
        <f t="shared" si="2"/>
        <v>55.65</v>
      </c>
      <c r="N24" s="86">
        <f t="shared" si="3"/>
        <v>0.66900000000000004</v>
      </c>
      <c r="P24" s="84">
        <f t="shared" si="4"/>
        <v>247557.78017026361</v>
      </c>
      <c r="Q24" s="87">
        <f t="shared" si="5"/>
        <v>4448.4776310918887</v>
      </c>
      <c r="S24" s="84">
        <v>225782.55329236362</v>
      </c>
      <c r="T24" s="87">
        <v>3861.6886103317811</v>
      </c>
      <c r="V24" s="88">
        <f t="shared" si="6"/>
        <v>9.6443354725036956E-2</v>
      </c>
      <c r="X24" s="84">
        <v>10571.4</v>
      </c>
      <c r="Y24" s="87">
        <f t="shared" si="7"/>
        <v>236986.38017026361</v>
      </c>
      <c r="Z24" s="4"/>
    </row>
    <row r="25" spans="1:26" x14ac:dyDescent="0.25">
      <c r="B25" s="101" t="s">
        <v>52</v>
      </c>
      <c r="C25" s="97" t="s">
        <v>53</v>
      </c>
      <c r="D25" s="98"/>
      <c r="E25" s="99">
        <v>55.65</v>
      </c>
      <c r="F25" s="100">
        <v>1</v>
      </c>
      <c r="G25" s="39">
        <v>1</v>
      </c>
      <c r="H25" s="40">
        <f t="shared" si="0"/>
        <v>55.65</v>
      </c>
      <c r="I25" s="41">
        <v>0</v>
      </c>
      <c r="J25" s="41">
        <v>1</v>
      </c>
      <c r="K25" s="41">
        <f t="shared" si="1"/>
        <v>0</v>
      </c>
      <c r="L25" s="85">
        <f t="shared" si="2"/>
        <v>55.65</v>
      </c>
      <c r="M25" s="80"/>
      <c r="N25" s="86">
        <f t="shared" si="3"/>
        <v>0.66900000000000004</v>
      </c>
      <c r="O25" s="80"/>
      <c r="P25" s="84">
        <f t="shared" si="4"/>
        <v>247557.78017026361</v>
      </c>
      <c r="Q25" s="87">
        <f t="shared" si="5"/>
        <v>4448.4776310918887</v>
      </c>
      <c r="S25" s="84">
        <v>225782.55329236362</v>
      </c>
      <c r="T25" s="87">
        <v>3861.6886103317811</v>
      </c>
      <c r="V25" s="88">
        <f t="shared" si="6"/>
        <v>9.6443354725036956E-2</v>
      </c>
      <c r="X25" s="84">
        <v>10571.4</v>
      </c>
      <c r="Y25" s="87">
        <f t="shared" si="7"/>
        <v>236986.38017026361</v>
      </c>
      <c r="Z25" s="4"/>
    </row>
    <row r="26" spans="1:26" x14ac:dyDescent="0.25">
      <c r="B26" s="101" t="s">
        <v>54</v>
      </c>
      <c r="C26" s="97" t="s">
        <v>55</v>
      </c>
      <c r="D26" s="98"/>
      <c r="E26" s="103">
        <f>44.85+43.5</f>
        <v>88.35</v>
      </c>
      <c r="F26" s="100">
        <v>1</v>
      </c>
      <c r="G26" s="39">
        <v>1</v>
      </c>
      <c r="H26" s="40">
        <f t="shared" si="0"/>
        <v>88.35</v>
      </c>
      <c r="I26" s="41">
        <v>0</v>
      </c>
      <c r="J26" s="41">
        <v>1</v>
      </c>
      <c r="K26" s="41">
        <f t="shared" si="1"/>
        <v>0</v>
      </c>
      <c r="L26" s="85">
        <f t="shared" si="2"/>
        <v>88.35</v>
      </c>
      <c r="N26" s="86">
        <f t="shared" si="3"/>
        <v>1.0621</v>
      </c>
      <c r="P26" s="84">
        <f t="shared" si="4"/>
        <v>393021.10361560085</v>
      </c>
      <c r="Q26" s="87">
        <f t="shared" si="5"/>
        <v>4448.456181274486</v>
      </c>
      <c r="S26" s="84">
        <v>358450.89663949085</v>
      </c>
      <c r="T26" s="87">
        <v>3861.6699899131963</v>
      </c>
      <c r="V26" s="88">
        <f t="shared" si="6"/>
        <v>9.6443354725036956E-2</v>
      </c>
      <c r="X26" s="84">
        <v>16783.37</v>
      </c>
      <c r="Y26" s="87">
        <f t="shared" si="7"/>
        <v>376237.73361560085</v>
      </c>
      <c r="Z26" s="4"/>
    </row>
    <row r="27" spans="1:26" x14ac:dyDescent="0.25">
      <c r="B27" s="101" t="s">
        <v>211</v>
      </c>
      <c r="C27" s="97" t="s">
        <v>45</v>
      </c>
      <c r="D27" s="98"/>
      <c r="E27" s="103">
        <v>52.8</v>
      </c>
      <c r="F27" s="100">
        <v>1</v>
      </c>
      <c r="G27" s="39">
        <v>1</v>
      </c>
      <c r="H27" s="40">
        <f t="shared" si="0"/>
        <v>52.8</v>
      </c>
      <c r="I27" s="41">
        <v>0</v>
      </c>
      <c r="J27" s="41">
        <v>1</v>
      </c>
      <c r="K27" s="41">
        <v>0</v>
      </c>
      <c r="L27" s="85">
        <f t="shared" si="2"/>
        <v>52.8</v>
      </c>
      <c r="N27" s="86">
        <f t="shared" si="3"/>
        <v>0.63470000000000004</v>
      </c>
      <c r="P27" s="84">
        <f t="shared" si="4"/>
        <v>234865.35586556996</v>
      </c>
      <c r="Q27" s="87">
        <f t="shared" si="5"/>
        <v>4448.2074974539764</v>
      </c>
      <c r="S27" s="84">
        <v>214206.55691280001</v>
      </c>
      <c r="T27" s="87">
        <v>3861.4541094352271</v>
      </c>
      <c r="V27" s="88">
        <f t="shared" si="6"/>
        <v>9.6443354725036734E-2</v>
      </c>
      <c r="X27" s="84">
        <v>16783.37</v>
      </c>
      <c r="Y27" s="87">
        <f t="shared" si="7"/>
        <v>218081.98586556996</v>
      </c>
      <c r="Z27" s="66"/>
    </row>
    <row r="28" spans="1:26" x14ac:dyDescent="0.25">
      <c r="B28" s="101" t="s">
        <v>212</v>
      </c>
      <c r="C28" s="97" t="s">
        <v>208</v>
      </c>
      <c r="D28" s="98"/>
      <c r="E28" s="103">
        <v>133.85</v>
      </c>
      <c r="F28" s="100">
        <v>1</v>
      </c>
      <c r="G28" s="39">
        <v>1</v>
      </c>
      <c r="H28" s="40">
        <f t="shared" si="0"/>
        <v>133.85</v>
      </c>
      <c r="I28" s="41">
        <v>0</v>
      </c>
      <c r="J28" s="41">
        <v>1</v>
      </c>
      <c r="K28" s="41">
        <f t="shared" si="1"/>
        <v>0</v>
      </c>
      <c r="L28" s="85">
        <f t="shared" si="2"/>
        <v>133.85</v>
      </c>
      <c r="M28" s="80"/>
      <c r="N28" s="86">
        <f t="shared" si="3"/>
        <v>1.609</v>
      </c>
      <c r="O28" s="80"/>
      <c r="P28" s="84">
        <f t="shared" si="4"/>
        <v>595396.81359335443</v>
      </c>
      <c r="Q28" s="87">
        <f t="shared" si="5"/>
        <v>4448.2391751464656</v>
      </c>
      <c r="S28" s="84">
        <v>543025.60276145453</v>
      </c>
      <c r="T28" s="87">
        <v>3861.4816085921143</v>
      </c>
      <c r="V28" s="88">
        <f t="shared" si="6"/>
        <v>9.6443354725036734E-2</v>
      </c>
      <c r="X28" s="84">
        <v>31563.96</v>
      </c>
      <c r="Y28" s="87">
        <f t="shared" si="7"/>
        <v>563832.85359335446</v>
      </c>
      <c r="Z28" s="4"/>
    </row>
    <row r="29" spans="1:26" x14ac:dyDescent="0.25">
      <c r="B29" s="101" t="s">
        <v>56</v>
      </c>
      <c r="C29" s="97" t="s">
        <v>57</v>
      </c>
      <c r="D29" s="98"/>
      <c r="E29" s="103">
        <v>232.05</v>
      </c>
      <c r="F29" s="100">
        <v>1</v>
      </c>
      <c r="G29" s="39">
        <v>1</v>
      </c>
      <c r="H29" s="40">
        <f t="shared" si="0"/>
        <v>232.05</v>
      </c>
      <c r="I29" s="41">
        <v>0</v>
      </c>
      <c r="J29" s="41">
        <v>1</v>
      </c>
      <c r="K29" s="41">
        <f t="shared" si="1"/>
        <v>0</v>
      </c>
      <c r="L29" s="85">
        <f t="shared" si="2"/>
        <v>232.05</v>
      </c>
      <c r="N29" s="86">
        <f t="shared" si="3"/>
        <v>2.7894999999999999</v>
      </c>
      <c r="P29" s="84">
        <f t="shared" si="4"/>
        <v>1032230.8337592679</v>
      </c>
      <c r="Q29" s="87">
        <f t="shared" si="5"/>
        <v>4448.3121472064977</v>
      </c>
      <c r="S29" s="84">
        <v>941435.62392981793</v>
      </c>
      <c r="T29" s="87">
        <v>3861.5449550662274</v>
      </c>
      <c r="V29" s="88">
        <f t="shared" si="6"/>
        <v>9.6443354725036956E-2</v>
      </c>
      <c r="X29" s="84">
        <v>44082.26</v>
      </c>
      <c r="Y29" s="87">
        <f t="shared" si="7"/>
        <v>988148.57375926792</v>
      </c>
      <c r="Z29" s="4"/>
    </row>
    <row r="30" spans="1:26" x14ac:dyDescent="0.25">
      <c r="B30" s="101" t="s">
        <v>58</v>
      </c>
      <c r="C30" s="97" t="s">
        <v>59</v>
      </c>
      <c r="D30" s="98"/>
      <c r="E30" s="103">
        <f>69.8+54.8</f>
        <v>124.6</v>
      </c>
      <c r="F30" s="100">
        <v>1</v>
      </c>
      <c r="G30" s="39">
        <v>1</v>
      </c>
      <c r="H30" s="40">
        <f t="shared" si="0"/>
        <v>124.6</v>
      </c>
      <c r="I30" s="41">
        <v>0</v>
      </c>
      <c r="J30" s="41">
        <v>1</v>
      </c>
      <c r="K30" s="41">
        <f t="shared" si="1"/>
        <v>0</v>
      </c>
      <c r="L30" s="85">
        <f t="shared" si="2"/>
        <v>124.6</v>
      </c>
      <c r="N30" s="86">
        <f t="shared" si="3"/>
        <v>1.4978</v>
      </c>
      <c r="P30" s="84">
        <f t="shared" si="4"/>
        <v>554248.19602245267</v>
      </c>
      <c r="Q30" s="87">
        <f t="shared" si="5"/>
        <v>4448.2198717692836</v>
      </c>
      <c r="S30" s="84">
        <v>505496.42499447271</v>
      </c>
      <c r="T30" s="87">
        <v>3861.4648514814817</v>
      </c>
      <c r="V30" s="88">
        <f t="shared" si="6"/>
        <v>9.6443354725036956E-2</v>
      </c>
      <c r="X30" s="84">
        <v>23670.79</v>
      </c>
      <c r="Y30" s="87">
        <f t="shared" si="7"/>
        <v>530577.40602245263</v>
      </c>
      <c r="Z30" s="4"/>
    </row>
    <row r="31" spans="1:26" x14ac:dyDescent="0.25">
      <c r="B31" s="96" t="s">
        <v>60</v>
      </c>
      <c r="C31" s="97" t="s">
        <v>61</v>
      </c>
      <c r="D31" s="98"/>
      <c r="E31" s="103">
        <v>89.65</v>
      </c>
      <c r="F31" s="100">
        <v>1</v>
      </c>
      <c r="G31" s="39">
        <v>1</v>
      </c>
      <c r="H31" s="40">
        <f t="shared" si="0"/>
        <v>89.65</v>
      </c>
      <c r="I31" s="41">
        <v>0</v>
      </c>
      <c r="J31" s="41">
        <v>1</v>
      </c>
      <c r="K31" s="41">
        <f t="shared" si="1"/>
        <v>0</v>
      </c>
      <c r="L31" s="85">
        <f t="shared" si="2"/>
        <v>89.65</v>
      </c>
      <c r="N31" s="86">
        <f t="shared" si="3"/>
        <v>1.0777000000000001</v>
      </c>
      <c r="P31" s="84">
        <f t="shared" si="4"/>
        <v>398793.75140432449</v>
      </c>
      <c r="Q31" s="87">
        <f t="shared" si="5"/>
        <v>4448.3407853243107</v>
      </c>
      <c r="S31" s="84">
        <v>363715.7812902545</v>
      </c>
      <c r="T31" s="87">
        <v>3861.5698155921309</v>
      </c>
      <c r="V31" s="88">
        <f t="shared" si="6"/>
        <v>9.6443354725036956E-2</v>
      </c>
      <c r="X31" s="84">
        <v>17030.46</v>
      </c>
      <c r="Y31" s="87">
        <f t="shared" si="7"/>
        <v>381763.29140432447</v>
      </c>
      <c r="Z31" s="4"/>
    </row>
    <row r="32" spans="1:26" x14ac:dyDescent="0.25">
      <c r="B32" s="96" t="s">
        <v>62</v>
      </c>
      <c r="C32" s="97" t="s">
        <v>213</v>
      </c>
      <c r="D32" s="98"/>
      <c r="E32" s="103">
        <v>57.85</v>
      </c>
      <c r="F32" s="100">
        <v>1</v>
      </c>
      <c r="G32" s="39">
        <v>1</v>
      </c>
      <c r="H32" s="40">
        <f t="shared" si="0"/>
        <v>57.85</v>
      </c>
      <c r="I32" s="41">
        <v>0</v>
      </c>
      <c r="J32" s="41">
        <v>1</v>
      </c>
      <c r="K32" s="41">
        <f t="shared" si="1"/>
        <v>0</v>
      </c>
      <c r="L32" s="85">
        <f t="shared" si="2"/>
        <v>57.85</v>
      </c>
      <c r="N32" s="86">
        <f t="shared" si="3"/>
        <v>0.69540000000000002</v>
      </c>
      <c r="P32" s="84">
        <f t="shared" si="4"/>
        <v>257326.8764281036</v>
      </c>
      <c r="Q32" s="87">
        <f t="shared" si="5"/>
        <v>4448.1741819896906</v>
      </c>
      <c r="S32" s="84">
        <v>234692.35808596361</v>
      </c>
      <c r="T32" s="87">
        <v>3861.4251885414628</v>
      </c>
      <c r="V32" s="88">
        <f t="shared" si="6"/>
        <v>9.6443354725036956E-2</v>
      </c>
      <c r="X32" s="84">
        <v>10989.83</v>
      </c>
      <c r="Y32" s="87">
        <f t="shared" si="7"/>
        <v>246337.04642810361</v>
      </c>
      <c r="Z32" s="4"/>
    </row>
    <row r="33" spans="2:26" x14ac:dyDescent="0.25">
      <c r="B33" s="101" t="s">
        <v>63</v>
      </c>
      <c r="C33" s="97" t="s">
        <v>125</v>
      </c>
      <c r="D33" s="98"/>
      <c r="E33" s="103">
        <v>51.5</v>
      </c>
      <c r="F33" s="100">
        <v>1</v>
      </c>
      <c r="G33" s="39">
        <v>1</v>
      </c>
      <c r="H33" s="40">
        <f t="shared" si="0"/>
        <v>51.5</v>
      </c>
      <c r="I33" s="41">
        <v>0</v>
      </c>
      <c r="J33" s="41">
        <v>1</v>
      </c>
      <c r="K33" s="41">
        <f t="shared" si="1"/>
        <v>0</v>
      </c>
      <c r="L33" s="85">
        <f t="shared" si="2"/>
        <v>51.5</v>
      </c>
      <c r="N33" s="86">
        <f t="shared" si="3"/>
        <v>0.61909999999999998</v>
      </c>
      <c r="P33" s="84">
        <f t="shared" si="4"/>
        <v>229092.70807684629</v>
      </c>
      <c r="Q33" s="87">
        <f t="shared" si="5"/>
        <v>4448.4020985795396</v>
      </c>
      <c r="S33" s="84">
        <v>208941.67226203636</v>
      </c>
      <c r="T33" s="87">
        <v>3861.6230411490551</v>
      </c>
      <c r="V33" s="88">
        <f t="shared" si="6"/>
        <v>9.6443354725036734E-2</v>
      </c>
      <c r="X33" s="84">
        <v>9782.9500000000007</v>
      </c>
      <c r="Y33" s="87">
        <f t="shared" si="7"/>
        <v>219309.75807684628</v>
      </c>
      <c r="Z33" s="4"/>
    </row>
    <row r="34" spans="2:26" x14ac:dyDescent="0.25">
      <c r="B34" s="101" t="s">
        <v>64</v>
      </c>
      <c r="C34" s="104" t="s">
        <v>163</v>
      </c>
      <c r="D34" s="98"/>
      <c r="E34" s="103">
        <v>49.85</v>
      </c>
      <c r="F34" s="100">
        <v>1</v>
      </c>
      <c r="G34" s="39">
        <v>1</v>
      </c>
      <c r="H34" s="40">
        <f t="shared" si="0"/>
        <v>49.85</v>
      </c>
      <c r="I34" s="41">
        <v>0</v>
      </c>
      <c r="J34" s="41">
        <v>1</v>
      </c>
      <c r="K34" s="41">
        <f t="shared" si="1"/>
        <v>0</v>
      </c>
      <c r="L34" s="85">
        <f t="shared" si="2"/>
        <v>49.85</v>
      </c>
      <c r="N34" s="86">
        <f t="shared" si="3"/>
        <v>0.59930000000000005</v>
      </c>
      <c r="P34" s="84">
        <f t="shared" si="4"/>
        <v>221765.88588346634</v>
      </c>
      <c r="Q34" s="87">
        <f t="shared" si="5"/>
        <v>4448.6637087957142</v>
      </c>
      <c r="S34" s="84">
        <v>202259.31866683636</v>
      </c>
      <c r="T34" s="87">
        <v>3861.8501429299167</v>
      </c>
      <c r="V34" s="88">
        <f t="shared" si="6"/>
        <v>9.6443354725036956E-2</v>
      </c>
      <c r="X34" s="84">
        <v>9470.06</v>
      </c>
      <c r="Y34" s="87">
        <f t="shared" si="7"/>
        <v>212295.82588346634</v>
      </c>
      <c r="Z34" s="4"/>
    </row>
    <row r="35" spans="2:26" x14ac:dyDescent="0.25">
      <c r="B35" s="101" t="s">
        <v>65</v>
      </c>
      <c r="C35" s="104" t="s">
        <v>183</v>
      </c>
      <c r="D35" s="98"/>
      <c r="E35" s="103">
        <v>75.400000000000006</v>
      </c>
      <c r="F35" s="100">
        <v>1</v>
      </c>
      <c r="G35" s="39">
        <v>1</v>
      </c>
      <c r="H35" s="40">
        <f t="shared" si="0"/>
        <v>75.400000000000006</v>
      </c>
      <c r="I35" s="41">
        <v>0</v>
      </c>
      <c r="J35" s="41">
        <v>1</v>
      </c>
      <c r="K35" s="41">
        <f>ROUND(I35*J35,2)</f>
        <v>0</v>
      </c>
      <c r="L35" s="85">
        <f>H35+K35</f>
        <v>75.400000000000006</v>
      </c>
      <c r="N35" s="86">
        <f t="shared" si="3"/>
        <v>0.90639999999999998</v>
      </c>
      <c r="P35" s="84">
        <f t="shared" si="4"/>
        <v>335405.63818583993</v>
      </c>
      <c r="Q35" s="87">
        <f t="shared" si="5"/>
        <v>4448.3506390694947</v>
      </c>
      <c r="S35" s="84">
        <v>305903.29791359993</v>
      </c>
      <c r="T35" s="87">
        <v>3861.5783695511927</v>
      </c>
      <c r="V35" s="88">
        <f t="shared" si="6"/>
        <v>9.6443354725036956E-2</v>
      </c>
      <c r="X35" s="84">
        <v>14322.66</v>
      </c>
      <c r="Y35" s="87">
        <f t="shared" si="7"/>
        <v>321082.97818583995</v>
      </c>
      <c r="Z35" s="4"/>
    </row>
    <row r="36" spans="2:26" x14ac:dyDescent="0.25">
      <c r="B36" s="101" t="s">
        <v>66</v>
      </c>
      <c r="C36" s="104" t="s">
        <v>126</v>
      </c>
      <c r="D36" s="98"/>
      <c r="E36" s="103">
        <v>45.15</v>
      </c>
      <c r="F36" s="100">
        <v>1</v>
      </c>
      <c r="G36" s="39">
        <v>1</v>
      </c>
      <c r="H36" s="40">
        <f t="shared" si="0"/>
        <v>45.15</v>
      </c>
      <c r="I36" s="41">
        <v>0</v>
      </c>
      <c r="J36" s="41">
        <v>1</v>
      </c>
      <c r="K36" s="41">
        <f t="shared" si="1"/>
        <v>0</v>
      </c>
      <c r="L36" s="85">
        <f t="shared" si="2"/>
        <v>45.15</v>
      </c>
      <c r="N36" s="86">
        <f t="shared" si="3"/>
        <v>0.54279999999999995</v>
      </c>
      <c r="P36" s="84">
        <f t="shared" si="4"/>
        <v>200858.53972558904</v>
      </c>
      <c r="Q36" s="87">
        <f t="shared" si="5"/>
        <v>4448.6941245977641</v>
      </c>
      <c r="S36" s="84">
        <v>183190.98643810904</v>
      </c>
      <c r="T36" s="87">
        <v>3861.8765466495915</v>
      </c>
      <c r="V36" s="88">
        <f t="shared" si="6"/>
        <v>9.6443354725036956E-2</v>
      </c>
      <c r="X36" s="84">
        <v>8577.31</v>
      </c>
      <c r="Y36" s="87">
        <f t="shared" si="7"/>
        <v>192281.22972558904</v>
      </c>
      <c r="Z36" s="4"/>
    </row>
    <row r="37" spans="2:26" x14ac:dyDescent="0.25">
      <c r="B37" s="96" t="s">
        <v>68</v>
      </c>
      <c r="C37" s="97" t="s">
        <v>224</v>
      </c>
      <c r="D37" s="98"/>
      <c r="E37" s="103">
        <v>43.85</v>
      </c>
      <c r="F37" s="100">
        <v>1</v>
      </c>
      <c r="G37" s="39">
        <v>1</v>
      </c>
      <c r="H37" s="40">
        <f t="shared" si="0"/>
        <v>43.85</v>
      </c>
      <c r="I37" s="41">
        <v>0</v>
      </c>
      <c r="J37" s="41">
        <v>1</v>
      </c>
      <c r="K37" s="41">
        <f t="shared" si="1"/>
        <v>0</v>
      </c>
      <c r="L37" s="85">
        <f t="shared" si="2"/>
        <v>43.85</v>
      </c>
      <c r="N37" s="86">
        <f t="shared" si="3"/>
        <v>0.52710000000000001</v>
      </c>
      <c r="P37" s="84">
        <f t="shared" si="4"/>
        <v>195048.8877843736</v>
      </c>
      <c r="Q37" s="87">
        <f t="shared" si="5"/>
        <v>4448.0932219925562</v>
      </c>
      <c r="S37" s="84">
        <v>177892.35252676363</v>
      </c>
      <c r="T37" s="87">
        <v>3861.3549078016781</v>
      </c>
      <c r="V37" s="88">
        <f t="shared" si="6"/>
        <v>9.6443354725036734E-2</v>
      </c>
      <c r="X37" s="84">
        <v>8330.2199999999993</v>
      </c>
      <c r="Y37" s="87">
        <f t="shared" si="7"/>
        <v>186718.6677843736</v>
      </c>
      <c r="Z37" s="4"/>
    </row>
    <row r="38" spans="2:26" x14ac:dyDescent="0.25">
      <c r="B38" s="101" t="s">
        <v>69</v>
      </c>
      <c r="C38" s="97" t="s">
        <v>225</v>
      </c>
      <c r="D38" s="98"/>
      <c r="E38" s="103">
        <v>55.4</v>
      </c>
      <c r="F38" s="100">
        <v>1</v>
      </c>
      <c r="G38" s="39">
        <v>1</v>
      </c>
      <c r="H38" s="40">
        <f t="shared" si="0"/>
        <v>55.4</v>
      </c>
      <c r="I38" s="41">
        <v>0</v>
      </c>
      <c r="J38" s="41">
        <v>1</v>
      </c>
      <c r="K38" s="41">
        <f t="shared" si="1"/>
        <v>0</v>
      </c>
      <c r="L38" s="85">
        <f t="shared" si="2"/>
        <v>55.4</v>
      </c>
      <c r="N38" s="86">
        <f t="shared" si="3"/>
        <v>0.66600000000000004</v>
      </c>
      <c r="P38" s="84">
        <f t="shared" si="4"/>
        <v>246447.65559550907</v>
      </c>
      <c r="Q38" s="87">
        <f t="shared" si="5"/>
        <v>4448.5136389081063</v>
      </c>
      <c r="S38" s="84">
        <v>224770.0754749091</v>
      </c>
      <c r="T38" s="87">
        <v>3861.719868435182</v>
      </c>
      <c r="V38" s="88">
        <f t="shared" si="6"/>
        <v>9.6443354725036956E-2</v>
      </c>
      <c r="X38" s="84">
        <v>10524.22</v>
      </c>
      <c r="Y38" s="87">
        <f t="shared" si="7"/>
        <v>235923.43559550907</v>
      </c>
      <c r="Z38" s="4"/>
    </row>
    <row r="39" spans="2:26" x14ac:dyDescent="0.25">
      <c r="B39" s="189" t="s">
        <v>70</v>
      </c>
      <c r="C39" s="79" t="s">
        <v>71</v>
      </c>
      <c r="D39" s="80"/>
      <c r="E39" s="81">
        <v>135.75</v>
      </c>
      <c r="F39" s="82">
        <v>1</v>
      </c>
      <c r="G39" s="166">
        <v>1</v>
      </c>
      <c r="H39" s="167">
        <f t="shared" si="0"/>
        <v>135.75</v>
      </c>
      <c r="I39" s="82">
        <v>0</v>
      </c>
      <c r="J39" s="82">
        <v>1</v>
      </c>
      <c r="K39" s="82">
        <f t="shared" si="1"/>
        <v>0</v>
      </c>
      <c r="L39" s="168">
        <f t="shared" si="2"/>
        <v>135.75</v>
      </c>
      <c r="M39" s="80"/>
      <c r="N39" s="190">
        <f t="shared" si="3"/>
        <v>1.6318999999999999</v>
      </c>
      <c r="O39" s="80"/>
      <c r="P39" s="169">
        <f t="shared" si="4"/>
        <v>603870.76451398071</v>
      </c>
      <c r="Q39" s="87">
        <f t="shared" si="5"/>
        <v>4448.4034218341121</v>
      </c>
      <c r="S39" s="169">
        <v>550754.18343469081</v>
      </c>
      <c r="T39" s="87">
        <v>3861.6241898559915</v>
      </c>
      <c r="V39" s="88">
        <f t="shared" si="6"/>
        <v>9.6443354725036956E-2</v>
      </c>
      <c r="X39" s="84">
        <v>21922.55</v>
      </c>
      <c r="Y39" s="87">
        <f t="shared" si="7"/>
        <v>581948.21451398067</v>
      </c>
      <c r="Z39" s="4"/>
    </row>
    <row r="40" spans="2:26" x14ac:dyDescent="0.25">
      <c r="B40" s="189" t="s">
        <v>72</v>
      </c>
      <c r="C40" s="79" t="s">
        <v>71</v>
      </c>
      <c r="D40" s="80"/>
      <c r="E40" s="81">
        <v>21.6</v>
      </c>
      <c r="F40" s="82">
        <v>1</v>
      </c>
      <c r="G40" s="166">
        <v>1</v>
      </c>
      <c r="H40" s="167">
        <f t="shared" si="0"/>
        <v>21.6</v>
      </c>
      <c r="I40" s="82">
        <v>0</v>
      </c>
      <c r="J40" s="82">
        <v>1</v>
      </c>
      <c r="K40" s="82">
        <f t="shared" si="1"/>
        <v>0</v>
      </c>
      <c r="L40" s="168">
        <f t="shared" si="2"/>
        <v>21.6</v>
      </c>
      <c r="M40" s="80"/>
      <c r="N40" s="190">
        <f t="shared" si="3"/>
        <v>0.25969999999999999</v>
      </c>
      <c r="O40" s="80"/>
      <c r="P40" s="169">
        <f t="shared" si="4"/>
        <v>96099.784021251791</v>
      </c>
      <c r="Q40" s="87">
        <f t="shared" si="5"/>
        <v>4449.0640750579532</v>
      </c>
      <c r="S40" s="169">
        <v>87646.829730981815</v>
      </c>
      <c r="T40" s="87">
        <v>3862.1976977482313</v>
      </c>
      <c r="V40" s="88">
        <f t="shared" si="6"/>
        <v>9.6443354725036734E-2</v>
      </c>
      <c r="X40" s="84">
        <v>21922.55</v>
      </c>
      <c r="Y40" s="87">
        <f t="shared" si="7"/>
        <v>74177.234021251788</v>
      </c>
      <c r="Z40" s="4"/>
    </row>
    <row r="41" spans="2:26" x14ac:dyDescent="0.25">
      <c r="B41" s="189" t="s">
        <v>214</v>
      </c>
      <c r="C41" s="79" t="s">
        <v>200</v>
      </c>
      <c r="D41" s="80"/>
      <c r="E41" s="81">
        <v>70</v>
      </c>
      <c r="F41" s="82">
        <v>1</v>
      </c>
      <c r="G41" s="166">
        <v>1</v>
      </c>
      <c r="H41" s="167">
        <f t="shared" si="0"/>
        <v>70</v>
      </c>
      <c r="I41" s="82">
        <v>0</v>
      </c>
      <c r="J41" s="82">
        <v>1</v>
      </c>
      <c r="K41" s="82">
        <f t="shared" si="1"/>
        <v>0</v>
      </c>
      <c r="L41" s="168">
        <f t="shared" si="2"/>
        <v>70</v>
      </c>
      <c r="M41" s="80"/>
      <c r="N41" s="190">
        <f t="shared" si="3"/>
        <v>0.84150000000000003</v>
      </c>
      <c r="O41" s="80"/>
      <c r="P41" s="169">
        <f t="shared" si="4"/>
        <v>311389.94321864995</v>
      </c>
      <c r="Q41" s="87">
        <f t="shared" si="5"/>
        <v>4448.4277602664279</v>
      </c>
      <c r="S41" s="169">
        <v>284000.02779600001</v>
      </c>
      <c r="T41" s="87">
        <v>3861.6453178585707</v>
      </c>
      <c r="V41" s="88">
        <f t="shared" si="6"/>
        <v>9.6443354725036734E-2</v>
      </c>
      <c r="X41" s="84">
        <v>8377.4</v>
      </c>
      <c r="Y41" s="87">
        <f t="shared" si="7"/>
        <v>303012.54321864992</v>
      </c>
      <c r="Z41" s="4"/>
    </row>
    <row r="42" spans="2:26" x14ac:dyDescent="0.25">
      <c r="B42" s="96" t="s">
        <v>215</v>
      </c>
      <c r="C42" s="104" t="s">
        <v>179</v>
      </c>
      <c r="D42" s="98"/>
      <c r="E42" s="103">
        <v>74.25</v>
      </c>
      <c r="F42" s="100">
        <v>1</v>
      </c>
      <c r="G42" s="39">
        <v>1</v>
      </c>
      <c r="H42" s="40">
        <f t="shared" si="0"/>
        <v>74.25</v>
      </c>
      <c r="I42" s="41">
        <v>0</v>
      </c>
      <c r="J42" s="41">
        <v>1</v>
      </c>
      <c r="K42" s="41">
        <f t="shared" si="1"/>
        <v>0</v>
      </c>
      <c r="L42" s="85">
        <f t="shared" si="2"/>
        <v>74.25</v>
      </c>
      <c r="N42" s="86">
        <f t="shared" si="3"/>
        <v>0.89259999999999995</v>
      </c>
      <c r="P42" s="84">
        <f t="shared" si="4"/>
        <v>330299.06514196901</v>
      </c>
      <c r="Q42" s="87">
        <f t="shared" si="5"/>
        <v>4448.4722578042965</v>
      </c>
      <c r="S42" s="84">
        <v>301245.89995330904</v>
      </c>
      <c r="T42" s="87">
        <v>3861.6839458228828</v>
      </c>
      <c r="V42" s="88">
        <f t="shared" si="6"/>
        <v>9.6443354725036956E-2</v>
      </c>
      <c r="X42" s="84">
        <v>25456.28</v>
      </c>
      <c r="Y42" s="87">
        <f t="shared" si="7"/>
        <v>304842.78514196898</v>
      </c>
      <c r="Z42" s="4"/>
    </row>
    <row r="43" spans="2:26" x14ac:dyDescent="0.25">
      <c r="B43" s="118" t="s">
        <v>73</v>
      </c>
      <c r="C43" s="117" t="s">
        <v>195</v>
      </c>
      <c r="D43" s="94"/>
      <c r="E43" s="115">
        <v>506.75</v>
      </c>
      <c r="F43" s="115">
        <v>0.75</v>
      </c>
      <c r="G43" s="39">
        <v>1</v>
      </c>
      <c r="H43" s="40">
        <f t="shared" si="0"/>
        <v>380.06</v>
      </c>
      <c r="I43" s="41">
        <v>0</v>
      </c>
      <c r="J43" s="41">
        <v>1</v>
      </c>
      <c r="K43" s="41">
        <f t="shared" si="1"/>
        <v>0</v>
      </c>
      <c r="L43" s="85">
        <f t="shared" si="2"/>
        <v>380.06</v>
      </c>
      <c r="N43" s="86">
        <f t="shared" si="3"/>
        <v>4.5686999999999998</v>
      </c>
      <c r="P43" s="84">
        <f t="shared" si="4"/>
        <v>1690608.7148936968</v>
      </c>
      <c r="Q43" s="87">
        <f t="shared" si="5"/>
        <v>3336.179013110403</v>
      </c>
      <c r="S43" s="84">
        <v>1541902.4682015269</v>
      </c>
      <c r="T43" s="87">
        <v>2896.1108867696244</v>
      </c>
      <c r="V43" s="88">
        <f t="shared" si="6"/>
        <v>9.6443354725036956E-2</v>
      </c>
      <c r="X43" s="84">
        <v>78940.31</v>
      </c>
      <c r="Y43" s="87">
        <f t="shared" si="7"/>
        <v>1611668.4048936968</v>
      </c>
      <c r="Z43" s="4"/>
    </row>
    <row r="44" spans="2:26" x14ac:dyDescent="0.25">
      <c r="B44" s="116" t="s">
        <v>74</v>
      </c>
      <c r="C44" s="117" t="s">
        <v>231</v>
      </c>
      <c r="D44" s="94"/>
      <c r="E44" s="115">
        <f>244</f>
        <v>244</v>
      </c>
      <c r="F44" s="111">
        <v>1</v>
      </c>
      <c r="G44" s="39">
        <v>1</v>
      </c>
      <c r="H44" s="40">
        <f t="shared" si="0"/>
        <v>244</v>
      </c>
      <c r="I44" s="41">
        <v>0</v>
      </c>
      <c r="J44" s="41">
        <v>1</v>
      </c>
      <c r="K44" s="41">
        <f t="shared" si="1"/>
        <v>0</v>
      </c>
      <c r="L44" s="85">
        <f t="shared" si="2"/>
        <v>244</v>
      </c>
      <c r="N44" s="86">
        <f t="shared" si="3"/>
        <v>2.9331999999999998</v>
      </c>
      <c r="P44" s="84">
        <f t="shared" si="4"/>
        <v>1085405.8008900105</v>
      </c>
      <c r="Q44" s="87">
        <f t="shared" si="5"/>
        <v>4448.3844298770928</v>
      </c>
      <c r="S44" s="84">
        <v>989933.3113858907</v>
      </c>
      <c r="T44" s="87">
        <v>3861.607703086765</v>
      </c>
      <c r="V44" s="88">
        <f t="shared" si="6"/>
        <v>9.6443354725036956E-2</v>
      </c>
      <c r="X44" s="84">
        <v>23936.51</v>
      </c>
      <c r="Y44" s="87">
        <f t="shared" si="7"/>
        <v>1061469.2908900105</v>
      </c>
      <c r="Z44" s="4"/>
    </row>
    <row r="45" spans="2:26" x14ac:dyDescent="0.25">
      <c r="B45" s="116" t="s">
        <v>75</v>
      </c>
      <c r="C45" s="117" t="s">
        <v>76</v>
      </c>
      <c r="D45" s="94"/>
      <c r="E45" s="115">
        <f>221.7-69.3</f>
        <v>152.39999999999998</v>
      </c>
      <c r="F45" s="111">
        <v>0.75</v>
      </c>
      <c r="G45" s="39">
        <v>1</v>
      </c>
      <c r="H45" s="40">
        <f t="shared" si="0"/>
        <v>114.3</v>
      </c>
      <c r="I45" s="41">
        <v>0</v>
      </c>
      <c r="J45" s="41">
        <v>1</v>
      </c>
      <c r="K45" s="41">
        <f t="shared" si="1"/>
        <v>0</v>
      </c>
      <c r="L45" s="85">
        <f t="shared" si="2"/>
        <v>114.3</v>
      </c>
      <c r="N45" s="86">
        <f t="shared" si="3"/>
        <v>1.3740000000000001</v>
      </c>
      <c r="P45" s="84">
        <f t="shared" si="4"/>
        <v>508437.05523758172</v>
      </c>
      <c r="Q45" s="87">
        <f t="shared" si="5"/>
        <v>3336.2011498528991</v>
      </c>
      <c r="S45" s="84">
        <v>463714.84039418184</v>
      </c>
      <c r="T45" s="87">
        <v>2896.1301035025058</v>
      </c>
      <c r="V45" s="88">
        <f t="shared" si="6"/>
        <v>9.6443354725036734E-2</v>
      </c>
      <c r="X45" s="84">
        <v>31587.55</v>
      </c>
      <c r="Y45" s="87">
        <f t="shared" si="7"/>
        <v>476849.50523758173</v>
      </c>
      <c r="Z45" s="4"/>
    </row>
    <row r="46" spans="2:26" x14ac:dyDescent="0.25">
      <c r="B46" s="116" t="s">
        <v>75</v>
      </c>
      <c r="C46" s="117" t="s">
        <v>190</v>
      </c>
      <c r="D46" s="94"/>
      <c r="E46" s="115">
        <v>69.3</v>
      </c>
      <c r="F46" s="111">
        <v>0</v>
      </c>
      <c r="G46" s="39">
        <v>0</v>
      </c>
      <c r="H46" s="40">
        <f t="shared" si="0"/>
        <v>0</v>
      </c>
      <c r="I46" s="41">
        <v>0</v>
      </c>
      <c r="J46" s="41">
        <v>1</v>
      </c>
      <c r="K46" s="41">
        <f t="shared" si="1"/>
        <v>0</v>
      </c>
      <c r="L46" s="85">
        <f t="shared" si="2"/>
        <v>0</v>
      </c>
      <c r="N46" s="86">
        <f t="shared" si="3"/>
        <v>0</v>
      </c>
      <c r="P46" s="84">
        <f t="shared" si="4"/>
        <v>0</v>
      </c>
      <c r="Q46" s="87">
        <f t="shared" si="5"/>
        <v>0</v>
      </c>
      <c r="S46" s="84">
        <v>0</v>
      </c>
      <c r="T46" s="87">
        <v>0</v>
      </c>
      <c r="V46" s="88" t="e">
        <f t="shared" si="6"/>
        <v>#DIV/0!</v>
      </c>
      <c r="X46" s="84">
        <v>0</v>
      </c>
      <c r="Y46" s="87">
        <f t="shared" si="7"/>
        <v>0</v>
      </c>
      <c r="Z46" s="4"/>
    </row>
    <row r="47" spans="2:26" x14ac:dyDescent="0.25">
      <c r="B47" s="116" t="s">
        <v>77</v>
      </c>
      <c r="C47" s="117" t="s">
        <v>78</v>
      </c>
      <c r="D47" s="94"/>
      <c r="E47" s="115">
        <f>109.55-35.65</f>
        <v>73.900000000000006</v>
      </c>
      <c r="F47" s="111">
        <v>0.75</v>
      </c>
      <c r="G47" s="39">
        <v>1</v>
      </c>
      <c r="H47" s="40">
        <f t="shared" si="0"/>
        <v>55.43</v>
      </c>
      <c r="I47" s="41">
        <v>0</v>
      </c>
      <c r="J47" s="41">
        <v>1</v>
      </c>
      <c r="K47" s="41">
        <f t="shared" si="1"/>
        <v>0</v>
      </c>
      <c r="L47" s="85">
        <f t="shared" si="2"/>
        <v>55.43</v>
      </c>
      <c r="N47" s="86">
        <f t="shared" si="3"/>
        <v>0.6663</v>
      </c>
      <c r="P47" s="84">
        <f t="shared" si="4"/>
        <v>246558.66805298452</v>
      </c>
      <c r="Q47" s="87">
        <f t="shared" si="5"/>
        <v>3336.3825176317255</v>
      </c>
      <c r="S47" s="84">
        <v>224871.32325665452</v>
      </c>
      <c r="T47" s="87">
        <v>2896.2875474516168</v>
      </c>
      <c r="V47" s="88">
        <f t="shared" si="6"/>
        <v>9.6443354725036956E-2</v>
      </c>
      <c r="X47" s="84">
        <v>15607.53</v>
      </c>
      <c r="Y47" s="87">
        <f t="shared" si="7"/>
        <v>230951.13805298452</v>
      </c>
      <c r="Z47" s="4"/>
    </row>
    <row r="48" spans="2:26" x14ac:dyDescent="0.25">
      <c r="B48" s="116" t="s">
        <v>79</v>
      </c>
      <c r="C48" s="117" t="s">
        <v>209</v>
      </c>
      <c r="D48" s="94"/>
      <c r="E48" s="115">
        <f>219.1+35.65-106.95</f>
        <v>147.80000000000001</v>
      </c>
      <c r="F48" s="111">
        <v>0.75</v>
      </c>
      <c r="G48" s="39">
        <v>1</v>
      </c>
      <c r="H48" s="40">
        <f t="shared" si="0"/>
        <v>110.85</v>
      </c>
      <c r="I48" s="41">
        <v>0</v>
      </c>
      <c r="J48" s="41">
        <v>1</v>
      </c>
      <c r="K48" s="41">
        <f t="shared" si="1"/>
        <v>0</v>
      </c>
      <c r="L48" s="85">
        <f t="shared" si="2"/>
        <v>110.85</v>
      </c>
      <c r="N48" s="86">
        <f t="shared" si="3"/>
        <v>1.3325</v>
      </c>
      <c r="P48" s="84">
        <f t="shared" si="4"/>
        <v>493080.33195347717</v>
      </c>
      <c r="Q48" s="87">
        <f t="shared" si="5"/>
        <v>3336.1321512413879</v>
      </c>
      <c r="S48" s="84">
        <v>449708.89725272724</v>
      </c>
      <c r="T48" s="87">
        <v>2896.0702063479507</v>
      </c>
      <c r="V48" s="88">
        <f t="shared" si="6"/>
        <v>9.6443354725036956E-2</v>
      </c>
      <c r="X48" s="84">
        <v>31217.54</v>
      </c>
      <c r="Y48" s="87">
        <f t="shared" si="7"/>
        <v>461862.79195347719</v>
      </c>
      <c r="Z48" s="66"/>
    </row>
    <row r="49" spans="2:26" x14ac:dyDescent="0.25">
      <c r="B49" s="116" t="s">
        <v>79</v>
      </c>
      <c r="C49" s="117" t="s">
        <v>209</v>
      </c>
      <c r="D49" s="94"/>
      <c r="E49" s="115">
        <v>106.95</v>
      </c>
      <c r="F49" s="111">
        <v>0</v>
      </c>
      <c r="G49" s="39">
        <v>1</v>
      </c>
      <c r="H49" s="40">
        <f t="shared" si="0"/>
        <v>0</v>
      </c>
      <c r="I49" s="41">
        <v>0</v>
      </c>
      <c r="J49" s="41">
        <v>1</v>
      </c>
      <c r="K49" s="41">
        <f t="shared" si="1"/>
        <v>0</v>
      </c>
      <c r="L49" s="85">
        <f t="shared" si="2"/>
        <v>0</v>
      </c>
      <c r="N49" s="86">
        <f t="shared" si="3"/>
        <v>0</v>
      </c>
      <c r="P49" s="84">
        <f t="shared" si="4"/>
        <v>0</v>
      </c>
      <c r="Q49" s="87">
        <f t="shared" si="5"/>
        <v>0</v>
      </c>
      <c r="S49" s="84">
        <v>0</v>
      </c>
      <c r="T49" s="87">
        <v>0</v>
      </c>
      <c r="V49" s="88" t="e">
        <f t="shared" si="6"/>
        <v>#DIV/0!</v>
      </c>
      <c r="X49" s="84"/>
      <c r="Y49" s="87"/>
      <c r="Z49" s="66"/>
    </row>
    <row r="50" spans="2:26" x14ac:dyDescent="0.25">
      <c r="B50" s="116" t="s">
        <v>80</v>
      </c>
      <c r="C50" s="117" t="s">
        <v>210</v>
      </c>
      <c r="D50" s="94"/>
      <c r="E50" s="115">
        <f>219.1-71.3</f>
        <v>147.80000000000001</v>
      </c>
      <c r="F50" s="111">
        <v>0.75</v>
      </c>
      <c r="G50" s="39">
        <v>1</v>
      </c>
      <c r="H50" s="40">
        <f t="shared" si="0"/>
        <v>110.85</v>
      </c>
      <c r="I50" s="41">
        <v>0</v>
      </c>
      <c r="J50" s="41">
        <v>1</v>
      </c>
      <c r="K50" s="41">
        <f t="shared" si="1"/>
        <v>0</v>
      </c>
      <c r="L50" s="85">
        <f t="shared" si="2"/>
        <v>110.85</v>
      </c>
      <c r="N50" s="86">
        <f t="shared" si="3"/>
        <v>1.3325</v>
      </c>
      <c r="P50" s="84">
        <f t="shared" si="4"/>
        <v>493080.33195347717</v>
      </c>
      <c r="Q50" s="87">
        <f t="shared" si="5"/>
        <v>3336.1321512413879</v>
      </c>
      <c r="S50" s="84">
        <v>449708.89725272724</v>
      </c>
      <c r="T50" s="87">
        <v>2896.0702063479507</v>
      </c>
      <c r="V50" s="88">
        <f t="shared" si="6"/>
        <v>9.6443354725036956E-2</v>
      </c>
      <c r="X50" s="84">
        <v>31217.54</v>
      </c>
      <c r="Y50" s="87">
        <f t="shared" ref="Y50:Y89" si="8">+P50-X50</f>
        <v>461862.79195347719</v>
      </c>
      <c r="Z50" s="4"/>
    </row>
    <row r="51" spans="2:26" x14ac:dyDescent="0.25">
      <c r="B51" s="116" t="s">
        <v>80</v>
      </c>
      <c r="C51" s="117" t="s">
        <v>210</v>
      </c>
      <c r="D51" s="94"/>
      <c r="E51" s="115">
        <v>71.3</v>
      </c>
      <c r="F51" s="111">
        <v>0</v>
      </c>
      <c r="G51" s="39">
        <v>0</v>
      </c>
      <c r="H51" s="40">
        <f t="shared" si="0"/>
        <v>0</v>
      </c>
      <c r="I51" s="41">
        <v>0</v>
      </c>
      <c r="J51" s="41">
        <v>1</v>
      </c>
      <c r="K51" s="41">
        <f t="shared" si="1"/>
        <v>0</v>
      </c>
      <c r="L51" s="85">
        <f t="shared" si="2"/>
        <v>0</v>
      </c>
      <c r="N51" s="86">
        <f t="shared" si="3"/>
        <v>0</v>
      </c>
      <c r="P51" s="84">
        <f t="shared" si="4"/>
        <v>0</v>
      </c>
      <c r="Q51" s="87">
        <f t="shared" si="5"/>
        <v>0</v>
      </c>
      <c r="S51" s="84">
        <v>0</v>
      </c>
      <c r="T51" s="87">
        <v>0</v>
      </c>
      <c r="V51" s="88"/>
      <c r="X51" s="84"/>
      <c r="Y51" s="87"/>
      <c r="Z51" s="4"/>
    </row>
    <row r="52" spans="2:26" x14ac:dyDescent="0.25">
      <c r="B52" s="116" t="s">
        <v>81</v>
      </c>
      <c r="C52" s="117" t="s">
        <v>82</v>
      </c>
      <c r="D52" s="94"/>
      <c r="E52" s="115">
        <f>168.85-50.65</f>
        <v>118.19999999999999</v>
      </c>
      <c r="F52" s="111">
        <v>0.75</v>
      </c>
      <c r="G52" s="39">
        <v>1</v>
      </c>
      <c r="H52" s="40">
        <f t="shared" si="0"/>
        <v>88.65</v>
      </c>
      <c r="I52" s="41">
        <v>0</v>
      </c>
      <c r="J52" s="41">
        <v>1</v>
      </c>
      <c r="K52" s="41">
        <f t="shared" si="1"/>
        <v>0</v>
      </c>
      <c r="L52" s="85">
        <f t="shared" si="2"/>
        <v>88.65</v>
      </c>
      <c r="N52" s="86">
        <f t="shared" si="3"/>
        <v>1.0657000000000001</v>
      </c>
      <c r="P52" s="84">
        <f t="shared" si="4"/>
        <v>394353.2531053063</v>
      </c>
      <c r="Q52" s="87">
        <f t="shared" si="5"/>
        <v>3336.3219382851635</v>
      </c>
      <c r="S52" s="84">
        <v>359665.87002043636</v>
      </c>
      <c r="T52" s="87">
        <v>2896.2349589950627</v>
      </c>
      <c r="V52" s="88">
        <f t="shared" si="6"/>
        <v>9.6443354725036956E-2</v>
      </c>
      <c r="X52" s="84">
        <v>23972.51</v>
      </c>
      <c r="Y52" s="87">
        <f t="shared" si="8"/>
        <v>370380.74310530629</v>
      </c>
      <c r="Z52" s="4"/>
    </row>
    <row r="53" spans="2:26" x14ac:dyDescent="0.25">
      <c r="B53" s="116" t="s">
        <v>81</v>
      </c>
      <c r="C53" s="117" t="s">
        <v>192</v>
      </c>
      <c r="D53" s="94"/>
      <c r="E53" s="115">
        <v>50.65</v>
      </c>
      <c r="F53" s="111">
        <v>0</v>
      </c>
      <c r="G53" s="39">
        <v>0</v>
      </c>
      <c r="H53" s="40">
        <f t="shared" si="0"/>
        <v>0</v>
      </c>
      <c r="I53" s="41">
        <v>0</v>
      </c>
      <c r="J53" s="41">
        <v>1</v>
      </c>
      <c r="K53" s="41">
        <f t="shared" si="1"/>
        <v>0</v>
      </c>
      <c r="L53" s="85">
        <f t="shared" si="2"/>
        <v>0</v>
      </c>
      <c r="N53" s="86">
        <f t="shared" si="3"/>
        <v>0</v>
      </c>
      <c r="P53" s="84">
        <f t="shared" si="4"/>
        <v>0</v>
      </c>
      <c r="Q53" s="87">
        <f t="shared" si="5"/>
        <v>0</v>
      </c>
      <c r="S53" s="84">
        <v>0</v>
      </c>
      <c r="T53" s="87">
        <v>0</v>
      </c>
      <c r="V53" s="88"/>
      <c r="X53" s="84"/>
      <c r="Y53" s="87"/>
      <c r="Z53" s="4"/>
    </row>
    <row r="54" spans="2:26" x14ac:dyDescent="0.25">
      <c r="B54" s="116" t="s">
        <v>83</v>
      </c>
      <c r="C54" s="117" t="s">
        <v>171</v>
      </c>
      <c r="D54" s="94"/>
      <c r="E54" s="115">
        <f>149.55-11.9</f>
        <v>137.65</v>
      </c>
      <c r="F54" s="111">
        <v>0.75</v>
      </c>
      <c r="G54" s="39">
        <v>1</v>
      </c>
      <c r="H54" s="40">
        <f t="shared" si="0"/>
        <v>103.24</v>
      </c>
      <c r="I54" s="41">
        <v>0</v>
      </c>
      <c r="J54" s="41">
        <v>1</v>
      </c>
      <c r="K54" s="41">
        <f t="shared" si="1"/>
        <v>0</v>
      </c>
      <c r="L54" s="85">
        <f t="shared" si="2"/>
        <v>103.24</v>
      </c>
      <c r="N54" s="86">
        <f t="shared" si="3"/>
        <v>1.2411000000000001</v>
      </c>
      <c r="P54" s="84">
        <f t="shared" si="4"/>
        <v>459258.5365759554</v>
      </c>
      <c r="Q54" s="87">
        <f t="shared" si="5"/>
        <v>3336.4223507152587</v>
      </c>
      <c r="S54" s="84">
        <v>418862.07308094547</v>
      </c>
      <c r="T54" s="87">
        <v>2896.3221262396323</v>
      </c>
      <c r="V54" s="88">
        <f t="shared" si="6"/>
        <v>9.6443354725036734E-2</v>
      </c>
      <c r="X54" s="84">
        <v>21306.69</v>
      </c>
      <c r="Y54" s="87">
        <f t="shared" si="8"/>
        <v>437951.84657595539</v>
      </c>
      <c r="Z54" s="4"/>
    </row>
    <row r="55" spans="2:26" x14ac:dyDescent="0.25">
      <c r="B55" s="116" t="s">
        <v>83</v>
      </c>
      <c r="C55" s="117" t="s">
        <v>193</v>
      </c>
      <c r="D55" s="94"/>
      <c r="E55" s="115">
        <v>11.9</v>
      </c>
      <c r="F55" s="111">
        <v>0</v>
      </c>
      <c r="G55" s="39">
        <v>0</v>
      </c>
      <c r="H55" s="40">
        <f t="shared" si="0"/>
        <v>0</v>
      </c>
      <c r="I55" s="41">
        <v>0</v>
      </c>
      <c r="J55" s="41">
        <v>1</v>
      </c>
      <c r="K55" s="41">
        <f t="shared" si="1"/>
        <v>0</v>
      </c>
      <c r="L55" s="85">
        <f t="shared" si="2"/>
        <v>0</v>
      </c>
      <c r="N55" s="86">
        <f t="shared" si="3"/>
        <v>0</v>
      </c>
      <c r="P55" s="84">
        <f t="shared" si="4"/>
        <v>0</v>
      </c>
      <c r="Q55" s="87">
        <f t="shared" si="5"/>
        <v>0</v>
      </c>
      <c r="S55" s="84">
        <v>0</v>
      </c>
      <c r="T55" s="87">
        <v>0</v>
      </c>
      <c r="V55" s="88"/>
      <c r="X55" s="84"/>
      <c r="Y55" s="87"/>
      <c r="Z55" s="4"/>
    </row>
    <row r="56" spans="2:26" x14ac:dyDescent="0.25">
      <c r="B56" s="78" t="s">
        <v>218</v>
      </c>
      <c r="C56" s="79" t="s">
        <v>219</v>
      </c>
      <c r="D56" s="80"/>
      <c r="E56" s="81">
        <v>612.85</v>
      </c>
      <c r="F56" s="82">
        <v>0.3</v>
      </c>
      <c r="G56" s="166">
        <v>1</v>
      </c>
      <c r="H56" s="167">
        <f t="shared" si="0"/>
        <v>183.86</v>
      </c>
      <c r="I56" s="82">
        <v>0</v>
      </c>
      <c r="J56" s="82">
        <v>1</v>
      </c>
      <c r="K56" s="82">
        <f t="shared" si="1"/>
        <v>0</v>
      </c>
      <c r="L56" s="168">
        <f t="shared" si="2"/>
        <v>183.86</v>
      </c>
      <c r="N56" s="86">
        <f t="shared" si="3"/>
        <v>2.2101999999999999</v>
      </c>
      <c r="P56" s="169">
        <f t="shared" si="4"/>
        <v>817865.7783741653</v>
      </c>
      <c r="Q56" s="170">
        <f t="shared" si="5"/>
        <v>1334.5284790310277</v>
      </c>
      <c r="R56" s="80"/>
      <c r="S56" s="169">
        <v>745926.15737934527</v>
      </c>
      <c r="T56" s="170">
        <v>1158.4937263970389</v>
      </c>
      <c r="U56" s="80"/>
      <c r="V56" s="171">
        <f t="shared" si="6"/>
        <v>9.6443354725037178E-2</v>
      </c>
      <c r="W56" s="80"/>
      <c r="X56" s="169"/>
      <c r="Y56" s="170">
        <f t="shared" si="8"/>
        <v>817865.7783741653</v>
      </c>
      <c r="Z56" s="4"/>
    </row>
    <row r="57" spans="2:26" x14ac:dyDescent="0.25">
      <c r="B57" s="101" t="s">
        <v>84</v>
      </c>
      <c r="C57" s="97" t="s">
        <v>222</v>
      </c>
      <c r="D57" s="98"/>
      <c r="E57" s="103">
        <v>30.05</v>
      </c>
      <c r="F57" s="100">
        <v>1</v>
      </c>
      <c r="G57" s="39">
        <v>1</v>
      </c>
      <c r="H57" s="40">
        <f t="shared" si="0"/>
        <v>30.05</v>
      </c>
      <c r="I57" s="41">
        <v>0</v>
      </c>
      <c r="J57" s="41">
        <v>1</v>
      </c>
      <c r="K57" s="41">
        <f>ROUND(I57*J57,2)</f>
        <v>0</v>
      </c>
      <c r="L57" s="85">
        <f>H57+K57</f>
        <v>30.05</v>
      </c>
      <c r="N57" s="86">
        <f t="shared" si="3"/>
        <v>0.36120000000000002</v>
      </c>
      <c r="P57" s="84">
        <f t="shared" si="4"/>
        <v>133658.99880044724</v>
      </c>
      <c r="Q57" s="87">
        <f t="shared" si="5"/>
        <v>4447.8868153227031</v>
      </c>
      <c r="S57" s="84">
        <v>121902.32922152727</v>
      </c>
      <c r="T57" s="87">
        <v>3861.1757277872634</v>
      </c>
      <c r="V57" s="88">
        <f t="shared" si="6"/>
        <v>9.6443354725036734E-2</v>
      </c>
      <c r="X57" s="84">
        <v>5709.1</v>
      </c>
      <c r="Y57" s="87">
        <f t="shared" si="8"/>
        <v>127949.89880044723</v>
      </c>
      <c r="Z57" s="4"/>
    </row>
    <row r="58" spans="2:26" x14ac:dyDescent="0.25">
      <c r="B58" s="116"/>
      <c r="C58" s="117" t="s">
        <v>85</v>
      </c>
      <c r="D58" s="94"/>
      <c r="E58" s="115">
        <v>1934.81</v>
      </c>
      <c r="F58" s="111">
        <v>0.08</v>
      </c>
      <c r="G58" s="39">
        <v>1</v>
      </c>
      <c r="H58" s="40">
        <f t="shared" si="0"/>
        <v>154.78</v>
      </c>
      <c r="I58" s="41">
        <v>0</v>
      </c>
      <c r="J58" s="41">
        <v>1</v>
      </c>
      <c r="K58" s="41">
        <f>ROUND(I58*J58,2)</f>
        <v>0</v>
      </c>
      <c r="L58" s="85">
        <f>H58+K58</f>
        <v>154.78</v>
      </c>
      <c r="N58" s="86">
        <f t="shared" si="3"/>
        <v>1.8606</v>
      </c>
      <c r="P58" s="84">
        <f t="shared" si="4"/>
        <v>688499.261262769</v>
      </c>
      <c r="Q58" s="87">
        <f t="shared" si="5"/>
        <v>355.84851290967538</v>
      </c>
      <c r="S58" s="84">
        <v>627938.74238530907</v>
      </c>
      <c r="T58" s="87">
        <v>308.90930859182509</v>
      </c>
      <c r="V58" s="88">
        <f t="shared" si="6"/>
        <v>9.6443354725036956E-2</v>
      </c>
      <c r="X58" s="84">
        <v>24417.02</v>
      </c>
      <c r="Y58" s="87">
        <f t="shared" si="8"/>
        <v>664082.24126276898</v>
      </c>
      <c r="Z58" s="4"/>
    </row>
    <row r="59" spans="2:26" x14ac:dyDescent="0.25">
      <c r="B59" s="78" t="s">
        <v>86</v>
      </c>
      <c r="C59" s="79" t="s">
        <v>87</v>
      </c>
      <c r="D59" s="80"/>
      <c r="E59" s="81">
        <v>565</v>
      </c>
      <c r="F59" s="83">
        <v>0.5</v>
      </c>
      <c r="G59" s="166">
        <v>1</v>
      </c>
      <c r="H59" s="167">
        <f t="shared" si="0"/>
        <v>282.5</v>
      </c>
      <c r="I59" s="82">
        <v>0</v>
      </c>
      <c r="J59" s="82">
        <v>1</v>
      </c>
      <c r="K59" s="82">
        <f t="shared" si="1"/>
        <v>0</v>
      </c>
      <c r="L59" s="168">
        <f t="shared" si="2"/>
        <v>282.5</v>
      </c>
      <c r="N59" s="86">
        <f t="shared" si="3"/>
        <v>3.3959999999999999</v>
      </c>
      <c r="P59" s="169">
        <f t="shared" si="4"/>
        <v>1256661.0186221453</v>
      </c>
      <c r="Q59" s="170">
        <f t="shared" si="5"/>
        <v>2224.1787940214963</v>
      </c>
      <c r="R59" s="80"/>
      <c r="S59" s="169">
        <v>1146124.8893585452</v>
      </c>
      <c r="T59" s="170">
        <v>1930.7922009503457</v>
      </c>
      <c r="U59" s="80"/>
      <c r="V59" s="171">
        <f t="shared" si="6"/>
        <v>9.6443354725037178E-2</v>
      </c>
      <c r="W59" s="80"/>
      <c r="X59" s="169"/>
      <c r="Y59" s="170">
        <f t="shared" si="8"/>
        <v>1256661.0186221453</v>
      </c>
      <c r="Z59" s="4"/>
    </row>
    <row r="60" spans="2:26" x14ac:dyDescent="0.25">
      <c r="B60" s="101" t="s">
        <v>186</v>
      </c>
      <c r="C60" s="97" t="s">
        <v>199</v>
      </c>
      <c r="D60" s="98"/>
      <c r="E60" s="103">
        <v>31</v>
      </c>
      <c r="F60" s="100">
        <v>1</v>
      </c>
      <c r="G60" s="39">
        <v>1</v>
      </c>
      <c r="H60" s="40">
        <f t="shared" si="0"/>
        <v>31</v>
      </c>
      <c r="I60" s="41">
        <v>0</v>
      </c>
      <c r="J60" s="41">
        <v>1</v>
      </c>
      <c r="K60" s="41">
        <f t="shared" si="1"/>
        <v>0</v>
      </c>
      <c r="L60" s="85">
        <f t="shared" si="2"/>
        <v>31</v>
      </c>
      <c r="N60" s="86">
        <f t="shared" si="3"/>
        <v>0.37269999999999998</v>
      </c>
      <c r="P60" s="84">
        <f t="shared" si="4"/>
        <v>137914.47633700634</v>
      </c>
      <c r="Q60" s="87">
        <f t="shared" si="5"/>
        <v>4448.8540753873012</v>
      </c>
      <c r="S60" s="84">
        <v>125783.49418843635</v>
      </c>
      <c r="T60" s="87">
        <v>3862.0153986779465</v>
      </c>
      <c r="V60" s="88">
        <f t="shared" si="6"/>
        <v>9.6443354725036956E-2</v>
      </c>
      <c r="X60" s="84"/>
      <c r="Y60" s="87">
        <f t="shared" si="8"/>
        <v>137914.47633700634</v>
      </c>
      <c r="Z60" s="4"/>
    </row>
    <row r="61" spans="2:26" x14ac:dyDescent="0.25">
      <c r="B61" s="101" t="s">
        <v>187</v>
      </c>
      <c r="C61" s="97" t="s">
        <v>188</v>
      </c>
      <c r="D61" s="98"/>
      <c r="E61" s="103">
        <v>45.3</v>
      </c>
      <c r="F61" s="100">
        <v>1</v>
      </c>
      <c r="G61" s="39">
        <v>1</v>
      </c>
      <c r="H61" s="40">
        <f>ROUND(E61*G61*F61,2)</f>
        <v>45.3</v>
      </c>
      <c r="I61" s="41">
        <v>0</v>
      </c>
      <c r="J61" s="41">
        <v>1</v>
      </c>
      <c r="K61" s="41">
        <f>ROUND(I61*J61,2)</f>
        <v>0</v>
      </c>
      <c r="L61" s="85">
        <f>H61+K61</f>
        <v>45.3</v>
      </c>
      <c r="N61" s="86">
        <f t="shared" si="3"/>
        <v>0.54459999999999997</v>
      </c>
      <c r="P61" s="84">
        <f>($P$12*N61)/100</f>
        <v>201524.61447044174</v>
      </c>
      <c r="Q61" s="87">
        <f>P61/E61</f>
        <v>4448.6669861024666</v>
      </c>
      <c r="S61" s="84">
        <v>183798.4731285818</v>
      </c>
      <c r="T61" s="87">
        <v>3861.8529879342559</v>
      </c>
      <c r="V61" s="88">
        <f t="shared" si="6"/>
        <v>9.6443354725036734E-2</v>
      </c>
      <c r="X61" s="84"/>
      <c r="Y61" s="87">
        <f t="shared" si="8"/>
        <v>201524.61447044174</v>
      </c>
      <c r="Z61" s="4"/>
    </row>
    <row r="62" spans="2:26" x14ac:dyDescent="0.25">
      <c r="B62" s="101" t="s">
        <v>88</v>
      </c>
      <c r="C62" s="97" t="s">
        <v>89</v>
      </c>
      <c r="D62" s="98"/>
      <c r="E62" s="103">
        <v>39.799999999999997</v>
      </c>
      <c r="F62" s="100">
        <v>1</v>
      </c>
      <c r="G62" s="39">
        <v>1</v>
      </c>
      <c r="H62" s="40">
        <f t="shared" si="0"/>
        <v>39.799999999999997</v>
      </c>
      <c r="I62" s="41">
        <v>0</v>
      </c>
      <c r="J62" s="41">
        <v>1</v>
      </c>
      <c r="K62" s="41">
        <f t="shared" si="1"/>
        <v>0</v>
      </c>
      <c r="L62" s="85">
        <f t="shared" si="2"/>
        <v>39.799999999999997</v>
      </c>
      <c r="N62" s="86">
        <f t="shared" si="3"/>
        <v>0.47839999999999999</v>
      </c>
      <c r="P62" s="84">
        <f t="shared" si="4"/>
        <v>177027.86552085812</v>
      </c>
      <c r="Q62" s="87">
        <f t="shared" si="5"/>
        <v>4447.9363196195509</v>
      </c>
      <c r="S62" s="84">
        <v>161456.46262341816</v>
      </c>
      <c r="T62" s="87">
        <v>3861.2187020798533</v>
      </c>
      <c r="V62" s="88">
        <f t="shared" si="6"/>
        <v>9.6443354725036734E-2</v>
      </c>
      <c r="X62" s="84">
        <v>7560.4</v>
      </c>
      <c r="Y62" s="87">
        <f t="shared" si="8"/>
        <v>169467.46552085812</v>
      </c>
      <c r="Z62" s="4"/>
    </row>
    <row r="63" spans="2:26" x14ac:dyDescent="0.25">
      <c r="B63" s="101" t="s">
        <v>161</v>
      </c>
      <c r="C63" s="97" t="s">
        <v>194</v>
      </c>
      <c r="D63" s="98"/>
      <c r="E63" s="103">
        <v>43.5</v>
      </c>
      <c r="F63" s="100">
        <v>1</v>
      </c>
      <c r="G63" s="39">
        <v>1</v>
      </c>
      <c r="H63" s="40">
        <f t="shared" si="0"/>
        <v>43.5</v>
      </c>
      <c r="I63" s="41">
        <v>0</v>
      </c>
      <c r="J63" s="41">
        <v>1</v>
      </c>
      <c r="K63" s="41">
        <f t="shared" si="1"/>
        <v>0</v>
      </c>
      <c r="L63" s="85">
        <f t="shared" si="2"/>
        <v>43.5</v>
      </c>
      <c r="N63" s="86">
        <f t="shared" si="3"/>
        <v>0.52290000000000003</v>
      </c>
      <c r="P63" s="84">
        <f t="shared" si="4"/>
        <v>193494.71337971726</v>
      </c>
      <c r="Q63" s="87">
        <f t="shared" si="5"/>
        <v>4448.1543305682126</v>
      </c>
      <c r="R63" s="2"/>
      <c r="S63" s="84">
        <v>176474.88358232725</v>
      </c>
      <c r="T63" s="87">
        <v>3861.4079556778679</v>
      </c>
      <c r="U63" s="2"/>
      <c r="V63" s="88">
        <f t="shared" si="6"/>
        <v>9.6443354725036956E-2</v>
      </c>
      <c r="W63" s="2"/>
      <c r="X63" s="84">
        <v>7551.71</v>
      </c>
      <c r="Y63" s="87">
        <f t="shared" si="8"/>
        <v>185943.00337971727</v>
      </c>
      <c r="Z63" s="4"/>
    </row>
    <row r="64" spans="2:26" x14ac:dyDescent="0.25">
      <c r="B64" s="101" t="s">
        <v>162</v>
      </c>
      <c r="C64" s="97" t="s">
        <v>216</v>
      </c>
      <c r="D64" s="98"/>
      <c r="E64" s="100">
        <f>(39.75+33.85+33.8+43.4)*0.85+(23.65/2)</f>
        <v>140.00499999999997</v>
      </c>
      <c r="F64" s="100">
        <v>1</v>
      </c>
      <c r="G64" s="39">
        <v>1</v>
      </c>
      <c r="H64" s="40">
        <f t="shared" si="0"/>
        <v>140.01</v>
      </c>
      <c r="I64" s="41">
        <v>0</v>
      </c>
      <c r="J64" s="41">
        <v>1</v>
      </c>
      <c r="K64" s="41">
        <f t="shared" si="1"/>
        <v>0</v>
      </c>
      <c r="L64" s="85">
        <f t="shared" si="2"/>
        <v>140.01</v>
      </c>
      <c r="N64" s="86">
        <f t="shared" si="3"/>
        <v>1.6831</v>
      </c>
      <c r="P64" s="84">
        <f t="shared" si="4"/>
        <v>622816.8905897917</v>
      </c>
      <c r="Q64" s="87">
        <f t="shared" si="5"/>
        <v>4448.5331994556755</v>
      </c>
      <c r="R64" s="93"/>
      <c r="S64" s="84">
        <v>568033.80485258182</v>
      </c>
      <c r="T64" s="87">
        <v>3861.7368487934141</v>
      </c>
      <c r="U64" s="93"/>
      <c r="V64" s="88">
        <f t="shared" si="6"/>
        <v>9.6443354725036734E-2</v>
      </c>
      <c r="W64" s="93"/>
      <c r="X64" s="84">
        <v>27406.92</v>
      </c>
      <c r="Y64" s="87">
        <f t="shared" si="8"/>
        <v>595409.97058979166</v>
      </c>
      <c r="Z64" s="4"/>
    </row>
    <row r="65" spans="2:26" x14ac:dyDescent="0.25">
      <c r="B65" s="116" t="s">
        <v>90</v>
      </c>
      <c r="C65" s="117" t="s">
        <v>127</v>
      </c>
      <c r="D65" s="94"/>
      <c r="E65" s="115">
        <f>150.45+23.65-23.65</f>
        <v>150.44999999999999</v>
      </c>
      <c r="F65" s="111">
        <v>0.8</v>
      </c>
      <c r="G65" s="39">
        <v>1</v>
      </c>
      <c r="H65" s="40">
        <f t="shared" si="0"/>
        <v>120.36</v>
      </c>
      <c r="I65" s="41">
        <v>0</v>
      </c>
      <c r="J65" s="41">
        <v>1</v>
      </c>
      <c r="K65" s="41">
        <f t="shared" si="1"/>
        <v>0</v>
      </c>
      <c r="L65" s="85">
        <f t="shared" si="2"/>
        <v>120.36</v>
      </c>
      <c r="N65" s="86">
        <f t="shared" si="3"/>
        <v>1.4469000000000001</v>
      </c>
      <c r="P65" s="84">
        <f t="shared" si="4"/>
        <v>535413.08240411722</v>
      </c>
      <c r="Q65" s="87">
        <f t="shared" si="5"/>
        <v>3558.7443164115471</v>
      </c>
      <c r="S65" s="84">
        <v>488318.05135832727</v>
      </c>
      <c r="T65" s="87">
        <v>3089.3180843973896</v>
      </c>
      <c r="V65" s="88">
        <f t="shared" si="6"/>
        <v>9.6443354725036956E-2</v>
      </c>
      <c r="X65" s="84">
        <v>29766.05</v>
      </c>
      <c r="Y65" s="87">
        <f t="shared" si="8"/>
        <v>505647.03240411723</v>
      </c>
      <c r="Z65" s="4"/>
    </row>
    <row r="66" spans="2:26" x14ac:dyDescent="0.25">
      <c r="B66" s="101" t="s">
        <v>91</v>
      </c>
      <c r="C66" s="97" t="s">
        <v>181</v>
      </c>
      <c r="D66" s="98"/>
      <c r="E66" s="103">
        <v>0</v>
      </c>
      <c r="F66" s="100">
        <v>1</v>
      </c>
      <c r="G66" s="39">
        <v>1</v>
      </c>
      <c r="H66" s="40">
        <f t="shared" si="0"/>
        <v>0</v>
      </c>
      <c r="I66" s="41">
        <v>0</v>
      </c>
      <c r="J66" s="41">
        <v>1</v>
      </c>
      <c r="K66" s="41">
        <f t="shared" si="1"/>
        <v>0</v>
      </c>
      <c r="L66" s="85">
        <f t="shared" si="2"/>
        <v>0</v>
      </c>
      <c r="N66" s="86">
        <f t="shared" si="3"/>
        <v>0</v>
      </c>
      <c r="P66" s="84">
        <f t="shared" si="4"/>
        <v>0</v>
      </c>
      <c r="Q66" s="87" t="e">
        <f t="shared" si="5"/>
        <v>#DIV/0!</v>
      </c>
      <c r="S66" s="84">
        <v>0</v>
      </c>
      <c r="T66" s="87" t="e">
        <v>#DIV/0!</v>
      </c>
      <c r="V66" s="88" t="e">
        <f t="shared" si="6"/>
        <v>#DIV/0!</v>
      </c>
      <c r="X66" s="84">
        <v>26253.42</v>
      </c>
      <c r="Y66" s="87">
        <f t="shared" si="8"/>
        <v>-26253.42</v>
      </c>
      <c r="Z66" s="4"/>
    </row>
    <row r="67" spans="2:26" x14ac:dyDescent="0.25">
      <c r="B67" s="101" t="s">
        <v>92</v>
      </c>
      <c r="C67" s="97" t="s">
        <v>181</v>
      </c>
      <c r="D67" s="98"/>
      <c r="E67" s="103">
        <v>0</v>
      </c>
      <c r="F67" s="100">
        <v>1</v>
      </c>
      <c r="G67" s="39">
        <v>1</v>
      </c>
      <c r="H67" s="40">
        <f t="shared" si="0"/>
        <v>0</v>
      </c>
      <c r="I67" s="41">
        <v>0</v>
      </c>
      <c r="J67" s="41">
        <v>1</v>
      </c>
      <c r="K67" s="41">
        <f t="shared" si="1"/>
        <v>0</v>
      </c>
      <c r="L67" s="85">
        <f t="shared" si="2"/>
        <v>0</v>
      </c>
      <c r="N67" s="86">
        <f t="shared" si="3"/>
        <v>0</v>
      </c>
      <c r="P67" s="84">
        <f t="shared" si="4"/>
        <v>0</v>
      </c>
      <c r="Q67" s="87" t="e">
        <f t="shared" si="5"/>
        <v>#DIV/0!</v>
      </c>
      <c r="S67" s="84">
        <v>0</v>
      </c>
      <c r="T67" s="87" t="e">
        <v>#DIV/0!</v>
      </c>
      <c r="V67" s="88" t="e">
        <f t="shared" si="6"/>
        <v>#DIV/0!</v>
      </c>
      <c r="X67" s="84">
        <v>7750.37</v>
      </c>
      <c r="Y67" s="87">
        <f t="shared" si="8"/>
        <v>-7750.37</v>
      </c>
      <c r="Z67" s="4"/>
    </row>
    <row r="68" spans="2:26" x14ac:dyDescent="0.25">
      <c r="B68" s="116" t="s">
        <v>93</v>
      </c>
      <c r="C68" s="109" t="s">
        <v>95</v>
      </c>
      <c r="D68" s="94"/>
      <c r="E68" s="115">
        <v>39.200000000000003</v>
      </c>
      <c r="F68" s="111">
        <v>0.8</v>
      </c>
      <c r="G68" s="39">
        <v>1</v>
      </c>
      <c r="H68" s="40">
        <f t="shared" si="0"/>
        <v>31.36</v>
      </c>
      <c r="I68" s="41">
        <v>0</v>
      </c>
      <c r="J68" s="41">
        <v>1</v>
      </c>
      <c r="K68" s="41">
        <f t="shared" si="1"/>
        <v>0</v>
      </c>
      <c r="L68" s="85">
        <f t="shared" si="2"/>
        <v>31.36</v>
      </c>
      <c r="N68" s="86">
        <f t="shared" si="3"/>
        <v>0.377</v>
      </c>
      <c r="P68" s="84">
        <f t="shared" si="4"/>
        <v>139505.65489415452</v>
      </c>
      <c r="Q68" s="87">
        <f t="shared" si="5"/>
        <v>3558.8177268916966</v>
      </c>
      <c r="S68" s="84">
        <v>127234.71239345454</v>
      </c>
      <c r="T68" s="87">
        <v>3089.3818114605747</v>
      </c>
      <c r="V68" s="88">
        <f t="shared" si="6"/>
        <v>9.6443354725036956E-2</v>
      </c>
      <c r="X68" s="84">
        <v>7447.41</v>
      </c>
      <c r="Y68" s="87">
        <f t="shared" si="8"/>
        <v>132058.24489415452</v>
      </c>
      <c r="Z68" s="4"/>
    </row>
    <row r="69" spans="2:26" x14ac:dyDescent="0.25">
      <c r="B69" s="108" t="s">
        <v>94</v>
      </c>
      <c r="C69" s="109" t="s">
        <v>95</v>
      </c>
      <c r="D69" s="94"/>
      <c r="E69" s="115">
        <v>179.3</v>
      </c>
      <c r="F69" s="111">
        <v>0.8</v>
      </c>
      <c r="G69" s="39">
        <v>1</v>
      </c>
      <c r="H69" s="40">
        <f t="shared" si="0"/>
        <v>143.44</v>
      </c>
      <c r="I69" s="41">
        <v>0</v>
      </c>
      <c r="J69" s="41">
        <v>1</v>
      </c>
      <c r="K69" s="41">
        <f t="shared" si="1"/>
        <v>0</v>
      </c>
      <c r="L69" s="85">
        <f t="shared" si="2"/>
        <v>143.44</v>
      </c>
      <c r="N69" s="86">
        <f t="shared" si="3"/>
        <v>1.7242999999999999</v>
      </c>
      <c r="P69" s="84">
        <f t="shared" si="4"/>
        <v>638062.60141642077</v>
      </c>
      <c r="Q69" s="87">
        <f t="shared" si="5"/>
        <v>3558.6313520157319</v>
      </c>
      <c r="S69" s="84">
        <v>581938.50021229079</v>
      </c>
      <c r="T69" s="87">
        <v>3089.2200208896306</v>
      </c>
      <c r="V69" s="88">
        <f t="shared" si="6"/>
        <v>9.6443354725036956E-2</v>
      </c>
      <c r="X69" s="84">
        <v>26481.89</v>
      </c>
      <c r="Y69" s="87">
        <f t="shared" si="8"/>
        <v>611580.71141642076</v>
      </c>
      <c r="Z69" s="4"/>
    </row>
    <row r="70" spans="2:26" x14ac:dyDescent="0.25">
      <c r="B70" s="105" t="s">
        <v>96</v>
      </c>
      <c r="C70" s="106" t="s">
        <v>97</v>
      </c>
      <c r="D70" s="98"/>
      <c r="E70" s="103">
        <v>58</v>
      </c>
      <c r="F70" s="100">
        <v>1</v>
      </c>
      <c r="G70" s="39">
        <v>1</v>
      </c>
      <c r="H70" s="40">
        <f t="shared" si="0"/>
        <v>58</v>
      </c>
      <c r="I70" s="41">
        <v>0</v>
      </c>
      <c r="J70" s="41">
        <v>1</v>
      </c>
      <c r="K70" s="41">
        <f>ROUND(I70*J70,2)</f>
        <v>0</v>
      </c>
      <c r="L70" s="85">
        <f>H70+K70</f>
        <v>58</v>
      </c>
      <c r="N70" s="86">
        <f t="shared" si="3"/>
        <v>0.69720000000000004</v>
      </c>
      <c r="P70" s="84">
        <f t="shared" si="4"/>
        <v>257992.95117295635</v>
      </c>
      <c r="Q70" s="87">
        <f t="shared" si="5"/>
        <v>4448.1543305682126</v>
      </c>
      <c r="S70" s="84">
        <v>235299.84477643634</v>
      </c>
      <c r="T70" s="87">
        <v>3861.4079556778684</v>
      </c>
      <c r="V70" s="88">
        <f t="shared" si="6"/>
        <v>9.6443354725037178E-2</v>
      </c>
      <c r="X70" s="84">
        <v>11018.39</v>
      </c>
      <c r="Y70" s="87">
        <f t="shared" si="8"/>
        <v>246974.56117295637</v>
      </c>
      <c r="Z70" s="4"/>
    </row>
    <row r="71" spans="2:26" x14ac:dyDescent="0.25">
      <c r="B71" s="105" t="s">
        <v>100</v>
      </c>
      <c r="C71" s="106" t="s">
        <v>128</v>
      </c>
      <c r="D71" s="98"/>
      <c r="E71" s="103">
        <v>33.200000000000003</v>
      </c>
      <c r="F71" s="100">
        <v>1</v>
      </c>
      <c r="G71" s="39">
        <v>1</v>
      </c>
      <c r="H71" s="40">
        <f t="shared" si="0"/>
        <v>33.200000000000003</v>
      </c>
      <c r="I71" s="41">
        <v>0</v>
      </c>
      <c r="J71" s="41">
        <v>1</v>
      </c>
      <c r="K71" s="41">
        <f t="shared" si="1"/>
        <v>0</v>
      </c>
      <c r="L71" s="85">
        <f t="shared" si="2"/>
        <v>33.200000000000003</v>
      </c>
      <c r="N71" s="86">
        <f t="shared" si="3"/>
        <v>0.39910000000000001</v>
      </c>
      <c r="P71" s="84">
        <f t="shared" si="4"/>
        <v>147683.57259484634</v>
      </c>
      <c r="Q71" s="87">
        <f t="shared" si="5"/>
        <v>4448.3003793628413</v>
      </c>
      <c r="S71" s="84">
        <v>134693.29898203636</v>
      </c>
      <c r="T71" s="87">
        <v>3861.5347394932633</v>
      </c>
      <c r="V71" s="88">
        <f t="shared" si="6"/>
        <v>9.6443354725036956E-2</v>
      </c>
      <c r="X71" s="84">
        <v>8513.99</v>
      </c>
      <c r="Y71" s="87">
        <f t="shared" si="8"/>
        <v>139169.58259484635</v>
      </c>
      <c r="Z71" s="4"/>
    </row>
    <row r="72" spans="2:26" x14ac:dyDescent="0.25">
      <c r="B72" s="105" t="s">
        <v>99</v>
      </c>
      <c r="C72" s="106" t="s">
        <v>164</v>
      </c>
      <c r="D72" s="98"/>
      <c r="E72" s="103">
        <v>43</v>
      </c>
      <c r="F72" s="100">
        <v>1</v>
      </c>
      <c r="G72" s="39">
        <v>1</v>
      </c>
      <c r="H72" s="40">
        <f t="shared" si="0"/>
        <v>43</v>
      </c>
      <c r="I72" s="41">
        <v>0</v>
      </c>
      <c r="J72" s="41">
        <v>1</v>
      </c>
      <c r="K72" s="41">
        <f>ROUND(I72*J72,2)</f>
        <v>0</v>
      </c>
      <c r="L72" s="85">
        <f>H72+K72</f>
        <v>43</v>
      </c>
      <c r="N72" s="86">
        <f t="shared" si="3"/>
        <v>0.51690000000000003</v>
      </c>
      <c r="P72" s="84">
        <f t="shared" si="4"/>
        <v>191274.46423020816</v>
      </c>
      <c r="Q72" s="87">
        <f t="shared" si="5"/>
        <v>4448.2433541908877</v>
      </c>
      <c r="S72" s="84">
        <v>174449.92794741818</v>
      </c>
      <c r="T72" s="87">
        <v>3861.4852363878645</v>
      </c>
      <c r="V72" s="88">
        <f t="shared" si="6"/>
        <v>9.6443354725036956E-2</v>
      </c>
      <c r="X72" s="84">
        <v>8168.81</v>
      </c>
      <c r="Y72" s="87">
        <f t="shared" si="8"/>
        <v>183105.65423020817</v>
      </c>
      <c r="Z72" s="4"/>
    </row>
    <row r="73" spans="2:26" x14ac:dyDescent="0.25">
      <c r="B73" s="105" t="s">
        <v>98</v>
      </c>
      <c r="C73" s="106" t="s">
        <v>165</v>
      </c>
      <c r="D73" s="98"/>
      <c r="E73" s="103">
        <v>43</v>
      </c>
      <c r="F73" s="100">
        <v>1</v>
      </c>
      <c r="G73" s="39">
        <v>1</v>
      </c>
      <c r="H73" s="40">
        <f t="shared" si="0"/>
        <v>43</v>
      </c>
      <c r="I73" s="41">
        <v>0</v>
      </c>
      <c r="J73" s="41">
        <v>1</v>
      </c>
      <c r="K73" s="41">
        <f>ROUND(I73*J73,2)</f>
        <v>0</v>
      </c>
      <c r="L73" s="85">
        <f>H73+K73</f>
        <v>43</v>
      </c>
      <c r="N73" s="86">
        <f t="shared" si="3"/>
        <v>0.51690000000000003</v>
      </c>
      <c r="P73" s="84">
        <f t="shared" si="4"/>
        <v>191274.46423020816</v>
      </c>
      <c r="Q73" s="87">
        <f t="shared" si="5"/>
        <v>4448.2433541908877</v>
      </c>
      <c r="S73" s="84">
        <v>174449.92794741818</v>
      </c>
      <c r="T73" s="87">
        <v>3861.4852363878645</v>
      </c>
      <c r="V73" s="88">
        <f t="shared" si="6"/>
        <v>9.6443354725036956E-2</v>
      </c>
      <c r="X73" s="84">
        <v>8168.81</v>
      </c>
      <c r="Y73" s="87">
        <f t="shared" si="8"/>
        <v>183105.65423020817</v>
      </c>
      <c r="Z73" s="4"/>
    </row>
    <row r="74" spans="2:26" x14ac:dyDescent="0.25">
      <c r="B74" s="108" t="s">
        <v>170</v>
      </c>
      <c r="C74" s="109" t="s">
        <v>180</v>
      </c>
      <c r="D74" s="94"/>
      <c r="E74" s="115">
        <v>101.8</v>
      </c>
      <c r="F74" s="111">
        <v>0.7</v>
      </c>
      <c r="G74" s="39">
        <v>1</v>
      </c>
      <c r="H74" s="40">
        <f t="shared" si="0"/>
        <v>71.260000000000005</v>
      </c>
      <c r="I74" s="41">
        <v>0</v>
      </c>
      <c r="J74" s="41">
        <v>1</v>
      </c>
      <c r="K74" s="41">
        <f t="shared" si="1"/>
        <v>0</v>
      </c>
      <c r="L74" s="85">
        <f t="shared" si="2"/>
        <v>71.260000000000005</v>
      </c>
      <c r="N74" s="86">
        <f t="shared" si="3"/>
        <v>0.85660000000000003</v>
      </c>
      <c r="P74" s="84">
        <f t="shared" si="4"/>
        <v>316977.5702449145</v>
      </c>
      <c r="Q74" s="87">
        <f t="shared" si="5"/>
        <v>3113.7285878675298</v>
      </c>
      <c r="S74" s="84">
        <v>289096.1661438545</v>
      </c>
      <c r="T74" s="87">
        <v>2703.0034138850151</v>
      </c>
      <c r="V74" s="88">
        <f t="shared" si="6"/>
        <v>9.6443354725036956E-2</v>
      </c>
      <c r="X74" s="84">
        <v>32553.55</v>
      </c>
      <c r="Y74" s="87">
        <f t="shared" si="8"/>
        <v>284424.02024491451</v>
      </c>
      <c r="Z74" s="4"/>
    </row>
    <row r="75" spans="2:26" x14ac:dyDescent="0.25">
      <c r="B75" s="108" t="s">
        <v>169</v>
      </c>
      <c r="C75" s="109" t="s">
        <v>108</v>
      </c>
      <c r="D75" s="94"/>
      <c r="E75" s="115">
        <v>88.6</v>
      </c>
      <c r="F75" s="111">
        <v>0.7</v>
      </c>
      <c r="G75" s="39">
        <v>1</v>
      </c>
      <c r="H75" s="40">
        <f t="shared" si="0"/>
        <v>62.02</v>
      </c>
      <c r="I75" s="41">
        <v>0</v>
      </c>
      <c r="J75" s="41">
        <v>1</v>
      </c>
      <c r="K75" s="41">
        <f t="shared" si="1"/>
        <v>0</v>
      </c>
      <c r="L75" s="85">
        <f t="shared" si="2"/>
        <v>62.02</v>
      </c>
      <c r="N75" s="86">
        <f t="shared" si="3"/>
        <v>0.74550000000000005</v>
      </c>
      <c r="P75" s="84">
        <f t="shared" si="4"/>
        <v>275865.95682650449</v>
      </c>
      <c r="Q75" s="87">
        <f t="shared" si="5"/>
        <v>3113.6112508634819</v>
      </c>
      <c r="S75" s="84">
        <v>251600.73763745453</v>
      </c>
      <c r="T75" s="87">
        <v>2702.9015545502771</v>
      </c>
      <c r="V75" s="88">
        <f t="shared" si="6"/>
        <v>9.6443354725036956E-2</v>
      </c>
      <c r="X75" s="84">
        <v>32553.55</v>
      </c>
      <c r="Y75" s="87">
        <f t="shared" si="8"/>
        <v>243312.40682650451</v>
      </c>
      <c r="Z75" s="4"/>
    </row>
    <row r="76" spans="2:26" x14ac:dyDescent="0.25">
      <c r="B76" s="105" t="s">
        <v>101</v>
      </c>
      <c r="C76" s="106" t="s">
        <v>223</v>
      </c>
      <c r="D76" s="98"/>
      <c r="E76" s="103">
        <f>93.1+30.25</f>
        <v>123.35</v>
      </c>
      <c r="F76" s="100">
        <v>1</v>
      </c>
      <c r="G76" s="39">
        <v>1</v>
      </c>
      <c r="H76" s="40">
        <f t="shared" si="0"/>
        <v>123.35</v>
      </c>
      <c r="I76" s="41">
        <v>0</v>
      </c>
      <c r="J76" s="41">
        <v>1</v>
      </c>
      <c r="K76" s="41">
        <f t="shared" si="1"/>
        <v>0</v>
      </c>
      <c r="L76" s="85">
        <f t="shared" si="2"/>
        <v>123.35</v>
      </c>
      <c r="N76" s="86">
        <f t="shared" si="3"/>
        <v>1.4827999999999999</v>
      </c>
      <c r="P76" s="84">
        <f t="shared" si="4"/>
        <v>548697.57314867992</v>
      </c>
      <c r="Q76" s="87">
        <f t="shared" si="5"/>
        <v>4448.2981203784348</v>
      </c>
      <c r="S76" s="84">
        <v>500434.0359071999</v>
      </c>
      <c r="T76" s="87">
        <v>3861.5327784865822</v>
      </c>
      <c r="V76" s="88">
        <f t="shared" si="6"/>
        <v>9.6443354725037178E-2</v>
      </c>
      <c r="X76" s="84">
        <v>0</v>
      </c>
      <c r="Y76" s="87">
        <f t="shared" si="8"/>
        <v>548697.57314867992</v>
      </c>
      <c r="Z76" s="4"/>
    </row>
    <row r="77" spans="2:26" x14ac:dyDescent="0.25">
      <c r="B77" s="105" t="s">
        <v>102</v>
      </c>
      <c r="C77" s="106" t="s">
        <v>223</v>
      </c>
      <c r="D77" s="98"/>
      <c r="E77" s="103">
        <v>95.65</v>
      </c>
      <c r="F77" s="100">
        <v>1</v>
      </c>
      <c r="G77" s="39">
        <v>1</v>
      </c>
      <c r="H77" s="40">
        <f t="shared" si="0"/>
        <v>95.65</v>
      </c>
      <c r="I77" s="41">
        <v>0</v>
      </c>
      <c r="J77" s="41">
        <v>1</v>
      </c>
      <c r="K77" s="41">
        <f t="shared" si="1"/>
        <v>0</v>
      </c>
      <c r="L77" s="85">
        <f t="shared" si="2"/>
        <v>95.65</v>
      </c>
      <c r="N77" s="86">
        <f t="shared" si="3"/>
        <v>1.1497999999999999</v>
      </c>
      <c r="P77" s="84">
        <f t="shared" si="4"/>
        <v>425473.74535092531</v>
      </c>
      <c r="Q77" s="87">
        <f t="shared" si="5"/>
        <v>4448.2357067530083</v>
      </c>
      <c r="S77" s="84">
        <v>388048.99816974538</v>
      </c>
      <c r="T77" s="87">
        <v>3861.4785977069046</v>
      </c>
      <c r="V77" s="88">
        <f t="shared" si="6"/>
        <v>9.6443354725036956E-2</v>
      </c>
      <c r="X77" s="84"/>
      <c r="Y77" s="87">
        <f t="shared" si="8"/>
        <v>425473.74535092531</v>
      </c>
      <c r="Z77" s="4"/>
    </row>
    <row r="78" spans="2:26" x14ac:dyDescent="0.25">
      <c r="B78" s="105" t="s">
        <v>103</v>
      </c>
      <c r="C78" s="106" t="s">
        <v>104</v>
      </c>
      <c r="D78" s="98"/>
      <c r="E78" s="103">
        <v>60.65</v>
      </c>
      <c r="F78" s="100">
        <v>1</v>
      </c>
      <c r="G78" s="39">
        <v>1</v>
      </c>
      <c r="H78" s="40">
        <f t="shared" si="0"/>
        <v>60.65</v>
      </c>
      <c r="I78" s="41">
        <v>0</v>
      </c>
      <c r="J78" s="41">
        <v>1</v>
      </c>
      <c r="K78" s="41">
        <f t="shared" si="1"/>
        <v>0</v>
      </c>
      <c r="L78" s="85">
        <f t="shared" si="2"/>
        <v>60.65</v>
      </c>
      <c r="N78" s="86">
        <f t="shared" ref="N78:N89" si="9">ROUND((L78/$L$115)*100,4)</f>
        <v>0.72909999999999997</v>
      </c>
      <c r="P78" s="84">
        <f t="shared" si="4"/>
        <v>269797.2758178463</v>
      </c>
      <c r="Q78" s="87">
        <f t="shared" si="5"/>
        <v>4448.4299392884795</v>
      </c>
      <c r="S78" s="84">
        <v>246065.85890203633</v>
      </c>
      <c r="T78" s="87">
        <v>3861.647209450558</v>
      </c>
      <c r="V78" s="88">
        <f t="shared" si="6"/>
        <v>9.6443354725036956E-2</v>
      </c>
      <c r="X78" s="84">
        <v>11521.26</v>
      </c>
      <c r="Y78" s="87">
        <f t="shared" si="8"/>
        <v>258276.01581784629</v>
      </c>
      <c r="Z78" s="4"/>
    </row>
    <row r="79" spans="2:26" x14ac:dyDescent="0.25">
      <c r="B79" s="105" t="s">
        <v>204</v>
      </c>
      <c r="C79" s="106" t="s">
        <v>205</v>
      </c>
      <c r="D79" s="98"/>
      <c r="E79" s="103">
        <v>97.55</v>
      </c>
      <c r="F79" s="100">
        <v>0.8</v>
      </c>
      <c r="G79" s="172">
        <v>1</v>
      </c>
      <c r="H79" s="173">
        <f t="shared" si="0"/>
        <v>78.040000000000006</v>
      </c>
      <c r="I79" s="174">
        <v>0</v>
      </c>
      <c r="J79" s="174">
        <v>1</v>
      </c>
      <c r="K79" s="174">
        <f t="shared" si="1"/>
        <v>0</v>
      </c>
      <c r="L79" s="175">
        <f t="shared" si="2"/>
        <v>78.040000000000006</v>
      </c>
      <c r="M79" s="80"/>
      <c r="N79" s="86">
        <f t="shared" si="9"/>
        <v>0.93810000000000004</v>
      </c>
      <c r="O79" s="80"/>
      <c r="P79" s="84">
        <f t="shared" si="4"/>
        <v>347135.95452574635</v>
      </c>
      <c r="Q79" s="87">
        <f t="shared" si="5"/>
        <v>3558.5438700742834</v>
      </c>
      <c r="S79" s="84">
        <v>316601.81351803633</v>
      </c>
      <c r="T79" s="87">
        <v>3089.1440785010391</v>
      </c>
      <c r="V79" s="88">
        <f t="shared" ref="V79:V86" si="10">(P79/S79)-1</f>
        <v>9.6443354725037178E-2</v>
      </c>
      <c r="X79" s="84">
        <v>18700.47</v>
      </c>
      <c r="Y79" s="87">
        <f t="shared" si="8"/>
        <v>328435.48452574632</v>
      </c>
      <c r="Z79" s="4"/>
    </row>
    <row r="80" spans="2:26" x14ac:dyDescent="0.25">
      <c r="B80" s="105" t="s">
        <v>207</v>
      </c>
      <c r="C80" s="106" t="s">
        <v>206</v>
      </c>
      <c r="D80" s="98"/>
      <c r="E80" s="103">
        <v>33.700000000000003</v>
      </c>
      <c r="F80" s="100">
        <v>0.8</v>
      </c>
      <c r="G80" s="172">
        <v>1</v>
      </c>
      <c r="H80" s="173">
        <f t="shared" si="0"/>
        <v>26.96</v>
      </c>
      <c r="I80" s="174">
        <v>0</v>
      </c>
      <c r="J80" s="174">
        <v>1</v>
      </c>
      <c r="K80" s="174">
        <f t="shared" si="1"/>
        <v>0</v>
      </c>
      <c r="L80" s="175">
        <f t="shared" si="2"/>
        <v>26.96</v>
      </c>
      <c r="M80" s="80"/>
      <c r="N80" s="86">
        <f t="shared" si="9"/>
        <v>0.3241</v>
      </c>
      <c r="O80" s="80"/>
      <c r="P80" s="84">
        <f t="shared" si="4"/>
        <v>119930.45822598271</v>
      </c>
      <c r="Q80" s="87">
        <f t="shared" si="5"/>
        <v>3558.7673064089822</v>
      </c>
      <c r="S80" s="84">
        <v>109381.35354567271</v>
      </c>
      <c r="T80" s="87">
        <v>3089.3380418342044</v>
      </c>
      <c r="V80" s="88">
        <f t="shared" si="10"/>
        <v>9.6443354725036956E-2</v>
      </c>
      <c r="X80" s="84">
        <v>18700.47</v>
      </c>
      <c r="Y80" s="87">
        <f t="shared" si="8"/>
        <v>101229.98822598271</v>
      </c>
      <c r="Z80" s="4"/>
    </row>
    <row r="81" spans="2:26" x14ac:dyDescent="0.25">
      <c r="B81" s="105" t="s">
        <v>105</v>
      </c>
      <c r="C81" s="106" t="s">
        <v>227</v>
      </c>
      <c r="D81" s="98"/>
      <c r="E81" s="103">
        <v>96.05</v>
      </c>
      <c r="F81" s="100">
        <v>1</v>
      </c>
      <c r="G81" s="172">
        <v>1</v>
      </c>
      <c r="H81" s="173">
        <f t="shared" si="0"/>
        <v>96.05</v>
      </c>
      <c r="I81" s="174">
        <v>0</v>
      </c>
      <c r="J81" s="174">
        <v>1</v>
      </c>
      <c r="K81" s="174">
        <f t="shared" si="1"/>
        <v>0</v>
      </c>
      <c r="L81" s="175">
        <f t="shared" si="2"/>
        <v>96.05</v>
      </c>
      <c r="N81" s="86">
        <f t="shared" si="9"/>
        <v>1.1546000000000001</v>
      </c>
      <c r="P81" s="84">
        <f t="shared" si="4"/>
        <v>427249.94467053266</v>
      </c>
      <c r="Q81" s="87">
        <f t="shared" si="5"/>
        <v>4448.2034843366237</v>
      </c>
      <c r="S81" s="84">
        <v>389668.96267767274</v>
      </c>
      <c r="T81" s="87">
        <v>3861.4506256794666</v>
      </c>
      <c r="V81" s="88">
        <f t="shared" si="10"/>
        <v>9.6443354725036734E-2</v>
      </c>
      <c r="X81" s="84">
        <v>18246.03</v>
      </c>
      <c r="Y81" s="87">
        <f t="shared" si="8"/>
        <v>409003.91467053269</v>
      </c>
      <c r="Z81" s="4"/>
    </row>
    <row r="82" spans="2:26" x14ac:dyDescent="0.25">
      <c r="B82" s="105" t="s">
        <v>106</v>
      </c>
      <c r="C82" s="106" t="s">
        <v>184</v>
      </c>
      <c r="D82" s="98"/>
      <c r="E82" s="103">
        <v>66.8</v>
      </c>
      <c r="F82" s="100">
        <v>1</v>
      </c>
      <c r="G82" s="172">
        <v>1</v>
      </c>
      <c r="H82" s="173">
        <f t="shared" si="0"/>
        <v>66.8</v>
      </c>
      <c r="I82" s="174">
        <v>0</v>
      </c>
      <c r="J82" s="174">
        <v>1</v>
      </c>
      <c r="K82" s="174">
        <f t="shared" si="1"/>
        <v>0</v>
      </c>
      <c r="L82" s="175">
        <f t="shared" si="2"/>
        <v>66.8</v>
      </c>
      <c r="N82" s="86">
        <f t="shared" si="9"/>
        <v>0.80300000000000005</v>
      </c>
      <c r="P82" s="84">
        <f t="shared" si="4"/>
        <v>297143.34450929996</v>
      </c>
      <c r="Q82" s="87">
        <f t="shared" si="5"/>
        <v>4448.2536603188619</v>
      </c>
      <c r="S82" s="84">
        <v>271006.56247199996</v>
      </c>
      <c r="T82" s="87">
        <v>3861.494183056886</v>
      </c>
      <c r="V82" s="88">
        <f t="shared" si="10"/>
        <v>9.6443354725036956E-2</v>
      </c>
      <c r="X82" s="84"/>
      <c r="Y82" s="87">
        <f t="shared" si="8"/>
        <v>297143.34450929996</v>
      </c>
      <c r="Z82" s="4"/>
    </row>
    <row r="83" spans="2:26" x14ac:dyDescent="0.25">
      <c r="B83" s="105" t="s">
        <v>185</v>
      </c>
      <c r="C83" s="106" t="s">
        <v>197</v>
      </c>
      <c r="D83" s="98"/>
      <c r="E83" s="103">
        <v>42.8</v>
      </c>
      <c r="F83" s="100">
        <v>1</v>
      </c>
      <c r="G83" s="172">
        <v>1</v>
      </c>
      <c r="H83" s="173">
        <f t="shared" si="0"/>
        <v>42.8</v>
      </c>
      <c r="I83" s="174">
        <v>0</v>
      </c>
      <c r="J83" s="174">
        <v>1</v>
      </c>
      <c r="K83" s="174">
        <f t="shared" si="1"/>
        <v>0</v>
      </c>
      <c r="L83" s="175">
        <f t="shared" si="2"/>
        <v>42.8</v>
      </c>
      <c r="N83" s="86">
        <f t="shared" si="9"/>
        <v>0.51449999999999996</v>
      </c>
      <c r="P83" s="84">
        <f t="shared" si="4"/>
        <v>190386.36457040449</v>
      </c>
      <c r="Q83" s="87">
        <f t="shared" si="5"/>
        <v>4448.2795460374882</v>
      </c>
      <c r="S83" s="84">
        <v>173639.94569345453</v>
      </c>
      <c r="T83" s="87">
        <v>3861.5166542466009</v>
      </c>
      <c r="V83" s="88">
        <f t="shared" si="10"/>
        <v>9.6443354725036734E-2</v>
      </c>
      <c r="X83" s="84"/>
      <c r="Y83" s="87"/>
      <c r="Z83" s="4"/>
    </row>
    <row r="84" spans="2:26" x14ac:dyDescent="0.25">
      <c r="B84" s="105" t="s">
        <v>177</v>
      </c>
      <c r="C84" s="106" t="s">
        <v>107</v>
      </c>
      <c r="D84" s="98"/>
      <c r="E84" s="103">
        <f>95.65+95.65+95.2+200.8</f>
        <v>487.3</v>
      </c>
      <c r="F84" s="100">
        <v>1</v>
      </c>
      <c r="G84" s="172">
        <v>1</v>
      </c>
      <c r="H84" s="173">
        <f t="shared" si="0"/>
        <v>487.3</v>
      </c>
      <c r="I84" s="174">
        <v>0</v>
      </c>
      <c r="J84" s="174">
        <v>1</v>
      </c>
      <c r="K84" s="174">
        <f t="shared" si="1"/>
        <v>0</v>
      </c>
      <c r="L84" s="175">
        <f t="shared" si="2"/>
        <v>487.3</v>
      </c>
      <c r="N84" s="86">
        <f t="shared" si="9"/>
        <v>5.8578999999999999</v>
      </c>
      <c r="P84" s="84">
        <f t="shared" si="4"/>
        <v>2167666.2488182168</v>
      </c>
      <c r="Q84" s="87">
        <f t="shared" si="5"/>
        <v>4448.3198210921746</v>
      </c>
      <c r="S84" s="84">
        <v>1976997.935622327</v>
      </c>
      <c r="T84" s="87">
        <v>3861.5516167063147</v>
      </c>
      <c r="V84" s="88">
        <f t="shared" si="10"/>
        <v>9.6443354725036956E-2</v>
      </c>
      <c r="X84" s="84">
        <v>54426.44</v>
      </c>
      <c r="Y84" s="87">
        <f t="shared" si="8"/>
        <v>2113239.8088182169</v>
      </c>
      <c r="Z84" s="4"/>
    </row>
    <row r="85" spans="2:26" x14ac:dyDescent="0.25">
      <c r="B85" s="116" t="s">
        <v>109</v>
      </c>
      <c r="C85" s="109" t="s">
        <v>172</v>
      </c>
      <c r="D85" s="94"/>
      <c r="E85" s="115">
        <f>89</f>
        <v>89</v>
      </c>
      <c r="F85" s="111">
        <v>1</v>
      </c>
      <c r="G85" s="172">
        <v>1</v>
      </c>
      <c r="H85" s="173">
        <f t="shared" si="0"/>
        <v>89</v>
      </c>
      <c r="I85" s="174">
        <v>0</v>
      </c>
      <c r="J85" s="174">
        <v>1</v>
      </c>
      <c r="K85" s="174">
        <f>ROUND(I85*J85,2)</f>
        <v>0</v>
      </c>
      <c r="L85" s="175">
        <f>H85+K85</f>
        <v>89</v>
      </c>
      <c r="N85" s="86">
        <f t="shared" si="9"/>
        <v>1.0699000000000001</v>
      </c>
      <c r="P85" s="84">
        <f t="shared" si="4"/>
        <v>395907.4275099627</v>
      </c>
      <c r="Q85" s="87">
        <f t="shared" si="5"/>
        <v>4448.3980619096928</v>
      </c>
      <c r="S85" s="84">
        <v>361083.33896487276</v>
      </c>
      <c r="T85" s="87">
        <v>3861.6195369475586</v>
      </c>
      <c r="V85" s="88">
        <f t="shared" si="10"/>
        <v>9.6443354725036734E-2</v>
      </c>
      <c r="X85" s="84">
        <v>16242.01</v>
      </c>
      <c r="Y85" s="87">
        <f t="shared" si="8"/>
        <v>379665.41750996269</v>
      </c>
      <c r="Z85" s="4"/>
    </row>
    <row r="86" spans="2:26" x14ac:dyDescent="0.25">
      <c r="B86" s="116" t="s">
        <v>189</v>
      </c>
      <c r="C86" s="109" t="s">
        <v>191</v>
      </c>
      <c r="D86" s="94"/>
      <c r="E86" s="115">
        <v>19.600000000000001</v>
      </c>
      <c r="F86" s="111">
        <v>0</v>
      </c>
      <c r="G86" s="172">
        <v>0</v>
      </c>
      <c r="H86" s="173">
        <f>ROUND(E86*G86*F86,2)</f>
        <v>0</v>
      </c>
      <c r="I86" s="174">
        <v>0</v>
      </c>
      <c r="J86" s="174">
        <v>1</v>
      </c>
      <c r="K86" s="174">
        <f>ROUND(I86*J86,2)</f>
        <v>0</v>
      </c>
      <c r="L86" s="175">
        <f>H86+K86</f>
        <v>0</v>
      </c>
      <c r="N86" s="86">
        <f t="shared" si="9"/>
        <v>0</v>
      </c>
      <c r="P86" s="84">
        <f>($P$12*N86)/100</f>
        <v>0</v>
      </c>
      <c r="Q86" s="87">
        <f>P86/E86</f>
        <v>0</v>
      </c>
      <c r="S86" s="84">
        <v>0</v>
      </c>
      <c r="T86" s="87">
        <v>0</v>
      </c>
      <c r="V86" s="88" t="e">
        <f t="shared" si="10"/>
        <v>#DIV/0!</v>
      </c>
      <c r="X86" s="84">
        <v>0</v>
      </c>
      <c r="Y86" s="87">
        <f t="shared" si="8"/>
        <v>0</v>
      </c>
      <c r="Z86" s="4"/>
    </row>
    <row r="87" spans="2:26" x14ac:dyDescent="0.25">
      <c r="B87" s="105" t="s">
        <v>110</v>
      </c>
      <c r="C87" s="106" t="s">
        <v>173</v>
      </c>
      <c r="D87" s="98"/>
      <c r="E87" s="103">
        <v>89.6</v>
      </c>
      <c r="F87" s="100">
        <v>1</v>
      </c>
      <c r="G87" s="172">
        <v>1</v>
      </c>
      <c r="H87" s="173">
        <f>ROUND(E87*G87*F87,2)</f>
        <v>89.6</v>
      </c>
      <c r="I87" s="174">
        <v>0</v>
      </c>
      <c r="J87" s="174">
        <v>1</v>
      </c>
      <c r="K87" s="174">
        <f>ROUND(I87*J87,2)</f>
        <v>0</v>
      </c>
      <c r="L87" s="175">
        <f>H87+K87</f>
        <v>89.6</v>
      </c>
      <c r="N87" s="86">
        <f t="shared" si="9"/>
        <v>1.0770999999999999</v>
      </c>
      <c r="P87" s="84">
        <f>($P$12*N87)/100</f>
        <v>398571.72648937354</v>
      </c>
      <c r="Q87" s="87">
        <f>P87/E87</f>
        <v>4448.3451617117589</v>
      </c>
      <c r="S87" s="84">
        <v>363513.2857267636</v>
      </c>
      <c r="T87" s="87">
        <v>3861.573614699817</v>
      </c>
      <c r="V87" s="88">
        <f>(P87/S87)-1</f>
        <v>9.6443354725036956E-2</v>
      </c>
      <c r="X87" s="84">
        <v>17021.759999999998</v>
      </c>
      <c r="Y87" s="87">
        <f t="shared" si="8"/>
        <v>381549.96648937353</v>
      </c>
      <c r="Z87" s="4"/>
    </row>
    <row r="88" spans="2:26" x14ac:dyDescent="0.25">
      <c r="B88" s="184"/>
      <c r="C88" s="185" t="s">
        <v>234</v>
      </c>
      <c r="D88" s="98"/>
      <c r="E88" s="186">
        <v>68</v>
      </c>
      <c r="F88" s="100">
        <v>1</v>
      </c>
      <c r="G88" s="172">
        <v>1</v>
      </c>
      <c r="H88" s="173">
        <f>ROUND(E88*G88*F88,2)</f>
        <v>68</v>
      </c>
      <c r="I88" s="174">
        <v>0</v>
      </c>
      <c r="J88" s="174">
        <v>1</v>
      </c>
      <c r="K88" s="174">
        <f>ROUND(I88*J88,2)</f>
        <v>0</v>
      </c>
      <c r="L88" s="175">
        <f>H88+K88</f>
        <v>68</v>
      </c>
      <c r="N88" s="86">
        <f t="shared" si="9"/>
        <v>0.81740000000000002</v>
      </c>
      <c r="P88" s="84">
        <f>($P$12*N88)/100</f>
        <v>302471.94246812176</v>
      </c>
      <c r="Q88" s="87">
        <f>P88/E88</f>
        <v>4448.1168010017909</v>
      </c>
      <c r="S88" s="84">
        <v>275866.45599578181</v>
      </c>
      <c r="T88" s="87">
        <v>3861.3753765550259</v>
      </c>
      <c r="V88" s="88">
        <f>(P88/S88)-1</f>
        <v>9.6443354725036734E-2</v>
      </c>
      <c r="X88" s="187"/>
      <c r="Y88" s="188"/>
      <c r="Z88" s="4"/>
    </row>
    <row r="89" spans="2:26" ht="13.5" thickBot="1" x14ac:dyDescent="0.3">
      <c r="B89" s="144" t="s">
        <v>178</v>
      </c>
      <c r="C89" s="145" t="s">
        <v>221</v>
      </c>
      <c r="D89" s="98"/>
      <c r="E89" s="164">
        <v>76</v>
      </c>
      <c r="F89" s="148">
        <v>1</v>
      </c>
      <c r="G89" s="176">
        <v>1</v>
      </c>
      <c r="H89" s="177">
        <f>ROUND(E89*G89*F89,2)</f>
        <v>76</v>
      </c>
      <c r="I89" s="178">
        <v>0</v>
      </c>
      <c r="J89" s="178">
        <v>1</v>
      </c>
      <c r="K89" s="178">
        <f>ROUND(I89*J89,2)</f>
        <v>0</v>
      </c>
      <c r="L89" s="179">
        <f>H89+K89</f>
        <v>76</v>
      </c>
      <c r="M89" s="80"/>
      <c r="N89" s="182">
        <f t="shared" si="9"/>
        <v>0.91359999999999997</v>
      </c>
      <c r="O89" s="80"/>
      <c r="P89" s="146">
        <f>($P$12*N89)/100</f>
        <v>338069.93716525083</v>
      </c>
      <c r="Q89" s="89">
        <f>P89/E89</f>
        <v>4448.2886469111954</v>
      </c>
      <c r="S89" s="146">
        <v>308333.24467549083</v>
      </c>
      <c r="T89" s="89">
        <v>3861.5245546438268</v>
      </c>
      <c r="V89" s="90">
        <f>(P89/S89)-1</f>
        <v>9.6443354725036956E-2</v>
      </c>
      <c r="X89" s="146">
        <v>15437.42</v>
      </c>
      <c r="Y89" s="89">
        <f t="shared" si="8"/>
        <v>322632.51716525084</v>
      </c>
      <c r="Z89" s="4"/>
    </row>
    <row r="90" spans="2:26" ht="13.5" thickBot="1" x14ac:dyDescent="0.3">
      <c r="B90" s="42"/>
      <c r="C90" s="43"/>
      <c r="E90" s="44"/>
      <c r="F90" s="44"/>
      <c r="G90" s="45"/>
      <c r="H90" s="46"/>
      <c r="I90" s="44"/>
      <c r="J90" s="44"/>
      <c r="K90" s="44"/>
      <c r="L90" s="44"/>
      <c r="N90" s="47"/>
      <c r="P90" s="48"/>
      <c r="Q90" s="48"/>
      <c r="S90" s="48"/>
      <c r="T90" s="48"/>
      <c r="V90" s="49"/>
      <c r="X90" s="48"/>
      <c r="Y90" s="48"/>
      <c r="Z90" s="66"/>
    </row>
    <row r="91" spans="2:26" ht="13.5" thickBot="1" x14ac:dyDescent="0.3">
      <c r="B91" s="139">
        <v>148</v>
      </c>
      <c r="C91" s="140" t="s">
        <v>111</v>
      </c>
      <c r="D91" s="98"/>
      <c r="E91" s="141">
        <v>20</v>
      </c>
      <c r="F91" s="142">
        <v>1</v>
      </c>
      <c r="G91" s="37">
        <v>1</v>
      </c>
      <c r="H91" s="38">
        <f t="shared" ref="H91:H113" si="11">ROUND(E91*G91*F91,2)</f>
        <v>20</v>
      </c>
      <c r="I91" s="36">
        <v>0</v>
      </c>
      <c r="J91" s="36">
        <v>1</v>
      </c>
      <c r="K91" s="36">
        <v>0</v>
      </c>
      <c r="L91" s="153">
        <f>H91+K91</f>
        <v>20</v>
      </c>
      <c r="N91" s="181">
        <f t="shared" ref="N91:N113" si="12">ROUND((L91/$L$115)*100,4)</f>
        <v>0.2404</v>
      </c>
      <c r="P91" s="152">
        <f t="shared" ref="P91:P113" si="13">($P$12*N91)/100</f>
        <v>88957.982590330896</v>
      </c>
      <c r="Q91" s="154">
        <f t="shared" ref="Q91:Q113" si="14">P91/E91</f>
        <v>4447.8991295165451</v>
      </c>
      <c r="S91" s="152">
        <v>81133.222438690907</v>
      </c>
      <c r="T91" s="154">
        <v>3861.1864176425452</v>
      </c>
      <c r="V91" s="90">
        <f t="shared" ref="V91:V113" si="15">(P91/S91)-1</f>
        <v>9.6443354725036956E-2</v>
      </c>
      <c r="X91" s="48"/>
      <c r="Y91" s="48"/>
      <c r="Z91" s="66"/>
    </row>
    <row r="92" spans="2:26" ht="13.5" thickBot="1" x14ac:dyDescent="0.3">
      <c r="B92" s="105">
        <v>149</v>
      </c>
      <c r="C92" s="106" t="s">
        <v>112</v>
      </c>
      <c r="D92" s="98"/>
      <c r="E92" s="107">
        <v>28</v>
      </c>
      <c r="F92" s="100">
        <v>1</v>
      </c>
      <c r="G92" s="39">
        <v>1</v>
      </c>
      <c r="H92" s="40">
        <f t="shared" si="11"/>
        <v>28</v>
      </c>
      <c r="I92" s="41">
        <v>0</v>
      </c>
      <c r="J92" s="41">
        <v>1</v>
      </c>
      <c r="K92" s="41">
        <v>0</v>
      </c>
      <c r="L92" s="85">
        <f t="shared" ref="L92:L113" si="16">H92+K92</f>
        <v>28</v>
      </c>
      <c r="N92" s="86">
        <f t="shared" si="12"/>
        <v>0.33660000000000001</v>
      </c>
      <c r="P92" s="84">
        <f t="shared" si="13"/>
        <v>124555.97728745999</v>
      </c>
      <c r="Q92" s="87">
        <f t="shared" si="14"/>
        <v>4448.4277602664279</v>
      </c>
      <c r="S92" s="84">
        <v>113600.01111839998</v>
      </c>
      <c r="T92" s="87">
        <v>3861.6453178585716</v>
      </c>
      <c r="V92" s="90">
        <f t="shared" si="15"/>
        <v>9.6443354725036956E-2</v>
      </c>
      <c r="X92" s="48"/>
      <c r="Y92" s="48"/>
      <c r="Z92" s="66"/>
    </row>
    <row r="93" spans="2:26" ht="13.5" thickBot="1" x14ac:dyDescent="0.3">
      <c r="B93" s="105">
        <v>150</v>
      </c>
      <c r="C93" s="106" t="s">
        <v>203</v>
      </c>
      <c r="D93" s="98"/>
      <c r="E93" s="107">
        <v>65</v>
      </c>
      <c r="F93" s="100">
        <v>1</v>
      </c>
      <c r="G93" s="39">
        <v>1</v>
      </c>
      <c r="H93" s="40">
        <f t="shared" si="11"/>
        <v>65</v>
      </c>
      <c r="I93" s="41">
        <v>0</v>
      </c>
      <c r="J93" s="41">
        <v>1</v>
      </c>
      <c r="K93" s="41">
        <v>0</v>
      </c>
      <c r="L93" s="85">
        <f t="shared" si="16"/>
        <v>65</v>
      </c>
      <c r="N93" s="86">
        <f t="shared" si="12"/>
        <v>0.78139999999999998</v>
      </c>
      <c r="P93" s="84">
        <f t="shared" si="13"/>
        <v>289150.4475710672</v>
      </c>
      <c r="Q93" s="87">
        <f t="shared" si="14"/>
        <v>4448.4684241702644</v>
      </c>
      <c r="S93" s="84">
        <v>263716.72218632721</v>
      </c>
      <c r="T93" s="87">
        <v>3861.6806178751881</v>
      </c>
      <c r="V93" s="90">
        <f t="shared" si="15"/>
        <v>9.6443354725036956E-2</v>
      </c>
      <c r="X93" s="48"/>
      <c r="Y93" s="48"/>
      <c r="Z93" s="66"/>
    </row>
    <row r="94" spans="2:26" ht="13.5" thickBot="1" x14ac:dyDescent="0.3">
      <c r="B94" s="105">
        <v>151</v>
      </c>
      <c r="C94" s="106" t="s">
        <v>174</v>
      </c>
      <c r="D94" s="98"/>
      <c r="E94" s="107">
        <v>67</v>
      </c>
      <c r="F94" s="100">
        <v>1</v>
      </c>
      <c r="G94" s="39">
        <v>1</v>
      </c>
      <c r="H94" s="40">
        <f t="shared" si="11"/>
        <v>67</v>
      </c>
      <c r="I94" s="41">
        <v>0</v>
      </c>
      <c r="J94" s="41">
        <v>1</v>
      </c>
      <c r="K94" s="41">
        <v>0</v>
      </c>
      <c r="L94" s="85">
        <f t="shared" si="16"/>
        <v>67</v>
      </c>
      <c r="N94" s="86">
        <f t="shared" si="12"/>
        <v>0.8054</v>
      </c>
      <c r="P94" s="84">
        <f t="shared" si="13"/>
        <v>298031.44416910358</v>
      </c>
      <c r="Q94" s="87">
        <f t="shared" si="14"/>
        <v>4448.2305099866207</v>
      </c>
      <c r="S94" s="84">
        <v>271816.54472596361</v>
      </c>
      <c r="T94" s="87">
        <v>3861.4740864346804</v>
      </c>
      <c r="V94" s="90">
        <f t="shared" si="15"/>
        <v>9.6443354725036956E-2</v>
      </c>
      <c r="X94" s="48"/>
      <c r="Y94" s="48"/>
      <c r="Z94" s="66"/>
    </row>
    <row r="95" spans="2:26" ht="13.5" thickBot="1" x14ac:dyDescent="0.3">
      <c r="B95" s="105">
        <v>152</v>
      </c>
      <c r="C95" s="106" t="s">
        <v>113</v>
      </c>
      <c r="D95" s="98"/>
      <c r="E95" s="107">
        <v>89</v>
      </c>
      <c r="F95" s="100">
        <v>1</v>
      </c>
      <c r="G95" s="39">
        <v>1</v>
      </c>
      <c r="H95" s="40">
        <f t="shared" si="11"/>
        <v>89</v>
      </c>
      <c r="I95" s="41">
        <v>0</v>
      </c>
      <c r="J95" s="41">
        <v>1</v>
      </c>
      <c r="K95" s="41">
        <v>0</v>
      </c>
      <c r="L95" s="85">
        <f t="shared" si="16"/>
        <v>89</v>
      </c>
      <c r="N95" s="86">
        <f t="shared" si="12"/>
        <v>1.0699000000000001</v>
      </c>
      <c r="P95" s="84">
        <f t="shared" si="13"/>
        <v>395907.4275099627</v>
      </c>
      <c r="Q95" s="87">
        <f t="shared" si="14"/>
        <v>4448.3980619096928</v>
      </c>
      <c r="S95" s="84">
        <v>361083.33896487276</v>
      </c>
      <c r="T95" s="87">
        <v>3861.6195369475586</v>
      </c>
      <c r="V95" s="90">
        <f t="shared" si="15"/>
        <v>9.6443354725036734E-2</v>
      </c>
      <c r="X95" s="48"/>
      <c r="Y95" s="48"/>
      <c r="Z95" s="66"/>
    </row>
    <row r="96" spans="2:26" ht="13.5" thickBot="1" x14ac:dyDescent="0.3">
      <c r="B96" s="105">
        <v>153</v>
      </c>
      <c r="C96" s="106" t="s">
        <v>166</v>
      </c>
      <c r="D96" s="98"/>
      <c r="E96" s="107">
        <v>26</v>
      </c>
      <c r="F96" s="100">
        <v>1</v>
      </c>
      <c r="G96" s="39">
        <v>1</v>
      </c>
      <c r="H96" s="40">
        <f t="shared" si="11"/>
        <v>26</v>
      </c>
      <c r="I96" s="41">
        <v>0</v>
      </c>
      <c r="J96" s="41">
        <v>1</v>
      </c>
      <c r="K96" s="41">
        <v>0</v>
      </c>
      <c r="L96" s="85">
        <f t="shared" si="16"/>
        <v>26</v>
      </c>
      <c r="N96" s="86">
        <f t="shared" si="12"/>
        <v>0.3125</v>
      </c>
      <c r="P96" s="84">
        <f t="shared" si="13"/>
        <v>115637.9765369318</v>
      </c>
      <c r="Q96" s="87">
        <f t="shared" si="14"/>
        <v>4447.6144821896851</v>
      </c>
      <c r="S96" s="84">
        <v>105466.4393181818</v>
      </c>
      <c r="T96" s="87">
        <v>3860.9393175262235</v>
      </c>
      <c r="V96" s="90">
        <f t="shared" si="15"/>
        <v>9.6443354725036956E-2</v>
      </c>
      <c r="X96" s="48"/>
      <c r="Y96" s="48"/>
      <c r="Z96" s="66"/>
    </row>
    <row r="97" spans="2:26" ht="13.5" thickBot="1" x14ac:dyDescent="0.3">
      <c r="B97" s="105">
        <v>154</v>
      </c>
      <c r="C97" s="106" t="s">
        <v>167</v>
      </c>
      <c r="D97" s="98"/>
      <c r="E97" s="107">
        <v>14.19</v>
      </c>
      <c r="F97" s="100">
        <v>1</v>
      </c>
      <c r="G97" s="39">
        <v>1</v>
      </c>
      <c r="H97" s="40">
        <f t="shared" si="11"/>
        <v>14.19</v>
      </c>
      <c r="I97" s="41">
        <v>0</v>
      </c>
      <c r="J97" s="41">
        <v>1</v>
      </c>
      <c r="K97" s="41">
        <v>0</v>
      </c>
      <c r="L97" s="85">
        <f t="shared" si="16"/>
        <v>14.19</v>
      </c>
      <c r="N97" s="86">
        <f t="shared" si="12"/>
        <v>0.1706</v>
      </c>
      <c r="P97" s="84">
        <f t="shared" si="13"/>
        <v>63129.084151041803</v>
      </c>
      <c r="Q97" s="87">
        <f t="shared" si="14"/>
        <v>4448.8431396083024</v>
      </c>
      <c r="S97" s="84">
        <v>57576.238552581817</v>
      </c>
      <c r="T97" s="87">
        <v>3862.0059054137992</v>
      </c>
      <c r="V97" s="90">
        <f t="shared" si="15"/>
        <v>9.6443354725036734E-2</v>
      </c>
      <c r="X97" s="48"/>
      <c r="Y97" s="48"/>
      <c r="Z97" s="66"/>
    </row>
    <row r="98" spans="2:26" ht="13.5" thickBot="1" x14ac:dyDescent="0.3">
      <c r="B98" s="105">
        <v>155</v>
      </c>
      <c r="C98" s="106" t="s">
        <v>114</v>
      </c>
      <c r="D98" s="98"/>
      <c r="E98" s="107">
        <v>134</v>
      </c>
      <c r="F98" s="100">
        <v>1</v>
      </c>
      <c r="G98" s="39">
        <v>1</v>
      </c>
      <c r="H98" s="40">
        <f t="shared" si="11"/>
        <v>134</v>
      </c>
      <c r="I98" s="41">
        <v>0</v>
      </c>
      <c r="J98" s="41">
        <v>1</v>
      </c>
      <c r="K98" s="41">
        <v>0</v>
      </c>
      <c r="L98" s="85">
        <f t="shared" si="16"/>
        <v>134</v>
      </c>
      <c r="N98" s="86">
        <f t="shared" si="12"/>
        <v>1.6108</v>
      </c>
      <c r="P98" s="84">
        <f t="shared" si="13"/>
        <v>596062.88833820715</v>
      </c>
      <c r="Q98" s="87">
        <f t="shared" si="14"/>
        <v>4448.2305099866207</v>
      </c>
      <c r="S98" s="84">
        <v>543633.08945192723</v>
      </c>
      <c r="T98" s="87">
        <v>3861.4740864346804</v>
      </c>
      <c r="V98" s="90">
        <f t="shared" si="15"/>
        <v>9.6443354725036956E-2</v>
      </c>
      <c r="X98" s="48"/>
      <c r="Y98" s="48"/>
      <c r="Z98" s="66"/>
    </row>
    <row r="99" spans="2:26" ht="13.5" thickBot="1" x14ac:dyDescent="0.3">
      <c r="B99" s="105">
        <v>156</v>
      </c>
      <c r="C99" s="106" t="s">
        <v>115</v>
      </c>
      <c r="D99" s="98"/>
      <c r="E99" s="107">
        <v>72</v>
      </c>
      <c r="F99" s="100">
        <v>1</v>
      </c>
      <c r="G99" s="39">
        <v>1</v>
      </c>
      <c r="H99" s="40">
        <f t="shared" si="11"/>
        <v>72</v>
      </c>
      <c r="I99" s="41">
        <v>0</v>
      </c>
      <c r="J99" s="41">
        <v>1</v>
      </c>
      <c r="K99" s="41">
        <v>0</v>
      </c>
      <c r="L99" s="85">
        <f t="shared" si="16"/>
        <v>72</v>
      </c>
      <c r="N99" s="86">
        <f t="shared" si="12"/>
        <v>0.86550000000000005</v>
      </c>
      <c r="P99" s="84">
        <f t="shared" si="13"/>
        <v>320270.93981668632</v>
      </c>
      <c r="Q99" s="87">
        <f t="shared" si="14"/>
        <v>4448.2074974539764</v>
      </c>
      <c r="S99" s="84">
        <v>292099.85033563635</v>
      </c>
      <c r="T99" s="87">
        <v>3861.4541094352267</v>
      </c>
      <c r="V99" s="90">
        <f t="shared" si="15"/>
        <v>9.6443354725036956E-2</v>
      </c>
      <c r="X99" s="48"/>
      <c r="Y99" s="48"/>
      <c r="Z99" s="66"/>
    </row>
    <row r="100" spans="2:26" ht="13.5" thickBot="1" x14ac:dyDescent="0.3">
      <c r="B100" s="105">
        <v>157</v>
      </c>
      <c r="C100" s="106" t="s">
        <v>182</v>
      </c>
      <c r="D100" s="98"/>
      <c r="E100" s="107">
        <v>103</v>
      </c>
      <c r="F100" s="100">
        <v>1</v>
      </c>
      <c r="G100" s="39">
        <v>1</v>
      </c>
      <c r="H100" s="40">
        <f t="shared" si="11"/>
        <v>103</v>
      </c>
      <c r="I100" s="41">
        <v>0</v>
      </c>
      <c r="J100" s="41">
        <v>1</v>
      </c>
      <c r="K100" s="41">
        <v>0</v>
      </c>
      <c r="L100" s="85">
        <f t="shared" si="16"/>
        <v>103</v>
      </c>
      <c r="N100" s="86">
        <f t="shared" si="12"/>
        <v>1.2382</v>
      </c>
      <c r="P100" s="84">
        <f t="shared" si="13"/>
        <v>458185.41615369258</v>
      </c>
      <c r="Q100" s="87">
        <f t="shared" si="14"/>
        <v>4448.4020985795396</v>
      </c>
      <c r="S100" s="84">
        <v>417883.34452407272</v>
      </c>
      <c r="T100" s="87">
        <v>3861.6230411490551</v>
      </c>
      <c r="V100" s="90">
        <f t="shared" si="15"/>
        <v>9.6443354725036734E-2</v>
      </c>
      <c r="X100" s="48"/>
      <c r="Y100" s="48"/>
      <c r="Z100" s="66"/>
    </row>
    <row r="101" spans="2:26" ht="13.5" thickBot="1" x14ac:dyDescent="0.3">
      <c r="B101" s="105">
        <v>158</v>
      </c>
      <c r="C101" s="106" t="s">
        <v>201</v>
      </c>
      <c r="D101" s="98"/>
      <c r="E101" s="107">
        <v>45</v>
      </c>
      <c r="F101" s="100">
        <v>1</v>
      </c>
      <c r="G101" s="39">
        <v>1</v>
      </c>
      <c r="H101" s="40">
        <f t="shared" si="11"/>
        <v>45</v>
      </c>
      <c r="I101" s="41">
        <v>0</v>
      </c>
      <c r="J101" s="41">
        <v>1</v>
      </c>
      <c r="K101" s="41">
        <v>0</v>
      </c>
      <c r="L101" s="85">
        <f t="shared" si="16"/>
        <v>45</v>
      </c>
      <c r="N101" s="86">
        <f t="shared" si="12"/>
        <v>0.54090000000000005</v>
      </c>
      <c r="P101" s="84">
        <f t="shared" si="13"/>
        <v>200155.46082824454</v>
      </c>
      <c r="Q101" s="87">
        <f t="shared" si="14"/>
        <v>4447.8991295165451</v>
      </c>
      <c r="S101" s="84">
        <v>182549.75048705455</v>
      </c>
      <c r="T101" s="87">
        <v>3861.1864176425456</v>
      </c>
      <c r="V101" s="90">
        <f t="shared" si="15"/>
        <v>9.6443354725036956E-2</v>
      </c>
      <c r="X101" s="48"/>
      <c r="Y101" s="48"/>
      <c r="Z101" s="66"/>
    </row>
    <row r="102" spans="2:26" ht="13.5" thickBot="1" x14ac:dyDescent="0.3">
      <c r="B102" s="105">
        <v>159</v>
      </c>
      <c r="C102" s="106" t="s">
        <v>201</v>
      </c>
      <c r="D102" s="98"/>
      <c r="E102" s="107">
        <v>48</v>
      </c>
      <c r="F102" s="100">
        <v>1</v>
      </c>
      <c r="G102" s="39">
        <v>1</v>
      </c>
      <c r="H102" s="40">
        <f t="shared" si="11"/>
        <v>48</v>
      </c>
      <c r="I102" s="41">
        <v>0</v>
      </c>
      <c r="J102" s="41">
        <v>1</v>
      </c>
      <c r="K102" s="41">
        <v>0</v>
      </c>
      <c r="L102" s="85">
        <f t="shared" si="16"/>
        <v>48</v>
      </c>
      <c r="N102" s="86">
        <f t="shared" si="12"/>
        <v>0.57699999999999996</v>
      </c>
      <c r="P102" s="84">
        <f t="shared" si="13"/>
        <v>213513.95987779085</v>
      </c>
      <c r="Q102" s="87">
        <f t="shared" si="14"/>
        <v>4448.2074974539764</v>
      </c>
      <c r="S102" s="84">
        <v>194733.23355709086</v>
      </c>
      <c r="T102" s="87">
        <v>3861.4541094352267</v>
      </c>
      <c r="V102" s="90">
        <f t="shared" si="15"/>
        <v>9.6443354725036956E-2</v>
      </c>
      <c r="X102" s="48"/>
      <c r="Y102" s="48"/>
      <c r="Z102" s="66"/>
    </row>
    <row r="103" spans="2:26" ht="13.5" thickBot="1" x14ac:dyDescent="0.3">
      <c r="B103" s="105">
        <v>160</v>
      </c>
      <c r="C103" s="106" t="s">
        <v>196</v>
      </c>
      <c r="D103" s="98"/>
      <c r="E103" s="107">
        <v>79</v>
      </c>
      <c r="F103" s="100">
        <v>1</v>
      </c>
      <c r="G103" s="39">
        <v>1</v>
      </c>
      <c r="H103" s="40">
        <f t="shared" si="11"/>
        <v>79</v>
      </c>
      <c r="I103" s="41">
        <v>0</v>
      </c>
      <c r="J103" s="41">
        <v>1</v>
      </c>
      <c r="K103" s="41">
        <v>0</v>
      </c>
      <c r="L103" s="85">
        <f t="shared" si="16"/>
        <v>79</v>
      </c>
      <c r="N103" s="86">
        <f t="shared" si="12"/>
        <v>0.94969999999999999</v>
      </c>
      <c r="P103" s="84">
        <f t="shared" si="13"/>
        <v>351428.4362147972</v>
      </c>
      <c r="Q103" s="87">
        <f t="shared" si="14"/>
        <v>4448.4612179088253</v>
      </c>
      <c r="S103" s="84">
        <v>320516.72774552723</v>
      </c>
      <c r="T103" s="87">
        <v>3861.6743621760411</v>
      </c>
      <c r="V103" s="90">
        <f t="shared" si="15"/>
        <v>9.6443354725036956E-2</v>
      </c>
      <c r="X103" s="48"/>
      <c r="Y103" s="48"/>
      <c r="Z103" s="66"/>
    </row>
    <row r="104" spans="2:26" ht="13.5" thickBot="1" x14ac:dyDescent="0.3">
      <c r="B104" s="105">
        <v>161</v>
      </c>
      <c r="C104" s="106" t="s">
        <v>116</v>
      </c>
      <c r="D104" s="98"/>
      <c r="E104" s="107">
        <v>95</v>
      </c>
      <c r="F104" s="100">
        <v>1</v>
      </c>
      <c r="G104" s="39">
        <v>1</v>
      </c>
      <c r="H104" s="40">
        <f t="shared" si="11"/>
        <v>95</v>
      </c>
      <c r="I104" s="41">
        <v>0</v>
      </c>
      <c r="J104" s="41">
        <v>1</v>
      </c>
      <c r="K104" s="41">
        <v>0</v>
      </c>
      <c r="L104" s="85">
        <f t="shared" si="16"/>
        <v>95</v>
      </c>
      <c r="N104" s="86">
        <f t="shared" si="12"/>
        <v>1.1419999999999999</v>
      </c>
      <c r="P104" s="84">
        <f t="shared" si="13"/>
        <v>422587.42145656352</v>
      </c>
      <c r="Q104" s="87">
        <f t="shared" si="14"/>
        <v>4448.2886469111945</v>
      </c>
      <c r="S104" s="84">
        <v>385416.55584436358</v>
      </c>
      <c r="T104" s="87">
        <v>3861.5245546438273</v>
      </c>
      <c r="V104" s="90">
        <f t="shared" si="15"/>
        <v>9.6443354725036956E-2</v>
      </c>
      <c r="X104" s="48"/>
      <c r="Y104" s="48"/>
      <c r="Z104" s="66"/>
    </row>
    <row r="105" spans="2:26" ht="13.5" thickBot="1" x14ac:dyDescent="0.3">
      <c r="B105" s="105">
        <v>162</v>
      </c>
      <c r="C105" s="106" t="s">
        <v>217</v>
      </c>
      <c r="D105" s="98"/>
      <c r="E105" s="107">
        <v>95</v>
      </c>
      <c r="F105" s="100">
        <v>1</v>
      </c>
      <c r="G105" s="39">
        <v>1</v>
      </c>
      <c r="H105" s="40">
        <f t="shared" si="11"/>
        <v>95</v>
      </c>
      <c r="I105" s="41">
        <v>0</v>
      </c>
      <c r="J105" s="41">
        <v>1</v>
      </c>
      <c r="K105" s="41">
        <v>0</v>
      </c>
      <c r="L105" s="85">
        <f t="shared" si="16"/>
        <v>95</v>
      </c>
      <c r="N105" s="86">
        <f t="shared" si="12"/>
        <v>1.1419999999999999</v>
      </c>
      <c r="P105" s="84">
        <f t="shared" si="13"/>
        <v>422587.42145656352</v>
      </c>
      <c r="Q105" s="87">
        <f t="shared" si="14"/>
        <v>4448.2886469111945</v>
      </c>
      <c r="S105" s="84">
        <v>385416.55584436358</v>
      </c>
      <c r="T105" s="87">
        <v>3861.5245546438273</v>
      </c>
      <c r="V105" s="90">
        <f t="shared" si="15"/>
        <v>9.6443354725036956E-2</v>
      </c>
      <c r="X105" s="48"/>
      <c r="Y105" s="48"/>
      <c r="Z105" s="66"/>
    </row>
    <row r="106" spans="2:26" ht="13.5" thickBot="1" x14ac:dyDescent="0.3">
      <c r="B106" s="105">
        <v>163</v>
      </c>
      <c r="C106" s="106" t="s">
        <v>175</v>
      </c>
      <c r="D106" s="98"/>
      <c r="E106" s="107">
        <v>67</v>
      </c>
      <c r="F106" s="100">
        <v>1</v>
      </c>
      <c r="G106" s="39">
        <v>1</v>
      </c>
      <c r="H106" s="40">
        <f t="shared" si="11"/>
        <v>67</v>
      </c>
      <c r="I106" s="41">
        <v>0</v>
      </c>
      <c r="J106" s="41">
        <v>1</v>
      </c>
      <c r="K106" s="41">
        <v>0</v>
      </c>
      <c r="L106" s="85">
        <f t="shared" si="16"/>
        <v>67</v>
      </c>
      <c r="N106" s="86">
        <f t="shared" si="12"/>
        <v>0.8054</v>
      </c>
      <c r="P106" s="84">
        <f t="shared" si="13"/>
        <v>298031.44416910358</v>
      </c>
      <c r="Q106" s="87">
        <f t="shared" si="14"/>
        <v>4448.2305099866207</v>
      </c>
      <c r="S106" s="84">
        <v>271816.54472596361</v>
      </c>
      <c r="T106" s="87">
        <v>3861.4740864346804</v>
      </c>
      <c r="V106" s="90">
        <f t="shared" si="15"/>
        <v>9.6443354725036956E-2</v>
      </c>
      <c r="X106" s="48"/>
      <c r="Y106" s="48"/>
      <c r="Z106" s="66"/>
    </row>
    <row r="107" spans="2:26" ht="13.5" thickBot="1" x14ac:dyDescent="0.3">
      <c r="B107" s="105">
        <v>164</v>
      </c>
      <c r="C107" s="106" t="s">
        <v>228</v>
      </c>
      <c r="D107" s="98"/>
      <c r="E107" s="107">
        <v>70</v>
      </c>
      <c r="F107" s="100">
        <v>1</v>
      </c>
      <c r="G107" s="39">
        <v>1</v>
      </c>
      <c r="H107" s="40">
        <f t="shared" si="11"/>
        <v>70</v>
      </c>
      <c r="I107" s="41">
        <v>0</v>
      </c>
      <c r="J107" s="41">
        <v>1</v>
      </c>
      <c r="K107" s="41">
        <v>0</v>
      </c>
      <c r="L107" s="85">
        <f t="shared" si="16"/>
        <v>70</v>
      </c>
      <c r="N107" s="86">
        <f t="shared" si="12"/>
        <v>0.84150000000000003</v>
      </c>
      <c r="P107" s="84">
        <f t="shared" si="13"/>
        <v>311389.94321864995</v>
      </c>
      <c r="Q107" s="87">
        <f t="shared" si="14"/>
        <v>4448.4277602664279</v>
      </c>
      <c r="S107" s="84">
        <v>284000.02779600001</v>
      </c>
      <c r="T107" s="87">
        <v>3861.6453178585707</v>
      </c>
      <c r="V107" s="90">
        <f t="shared" si="15"/>
        <v>9.6443354725036734E-2</v>
      </c>
      <c r="X107" s="48"/>
      <c r="Y107" s="48"/>
      <c r="Z107" s="66"/>
    </row>
    <row r="108" spans="2:26" ht="13.5" thickBot="1" x14ac:dyDescent="0.3">
      <c r="B108" s="105">
        <v>165</v>
      </c>
      <c r="C108" s="106" t="s">
        <v>67</v>
      </c>
      <c r="D108" s="98"/>
      <c r="E108" s="107">
        <v>80</v>
      </c>
      <c r="F108" s="100">
        <v>1</v>
      </c>
      <c r="G108" s="39">
        <v>1</v>
      </c>
      <c r="H108" s="40">
        <f t="shared" si="11"/>
        <v>80</v>
      </c>
      <c r="I108" s="41">
        <v>0</v>
      </c>
      <c r="J108" s="41">
        <v>1</v>
      </c>
      <c r="K108" s="41">
        <v>0</v>
      </c>
      <c r="L108" s="85">
        <f t="shared" si="16"/>
        <v>80</v>
      </c>
      <c r="N108" s="86">
        <f t="shared" si="12"/>
        <v>0.9617</v>
      </c>
      <c r="P108" s="84">
        <f t="shared" si="13"/>
        <v>355868.93451381545</v>
      </c>
      <c r="Q108" s="87">
        <f t="shared" si="14"/>
        <v>4448.3616814226934</v>
      </c>
      <c r="S108" s="84">
        <v>324566.63901534543</v>
      </c>
      <c r="T108" s="87">
        <v>3861.5879553315672</v>
      </c>
      <c r="V108" s="90">
        <f t="shared" si="15"/>
        <v>9.6443354725037178E-2</v>
      </c>
      <c r="X108" s="48"/>
      <c r="Y108" s="48"/>
      <c r="Z108" s="66"/>
    </row>
    <row r="109" spans="2:26" ht="13.5" thickBot="1" x14ac:dyDescent="0.3">
      <c r="B109" s="108">
        <v>166</v>
      </c>
      <c r="C109" s="109" t="s">
        <v>117</v>
      </c>
      <c r="D109" s="94"/>
      <c r="E109" s="110">
        <v>300</v>
      </c>
      <c r="F109" s="111">
        <v>0.75</v>
      </c>
      <c r="G109" s="39">
        <v>1</v>
      </c>
      <c r="H109" s="40">
        <f t="shared" si="11"/>
        <v>225</v>
      </c>
      <c r="I109" s="41">
        <v>0</v>
      </c>
      <c r="J109" s="41">
        <v>1</v>
      </c>
      <c r="K109" s="41">
        <v>0</v>
      </c>
      <c r="L109" s="85">
        <f t="shared" si="16"/>
        <v>225</v>
      </c>
      <c r="N109" s="86">
        <f t="shared" si="12"/>
        <v>2.7046999999999999</v>
      </c>
      <c r="P109" s="84">
        <f t="shared" si="13"/>
        <v>1000851.3124462061</v>
      </c>
      <c r="Q109" s="87">
        <f t="shared" si="14"/>
        <v>3336.1710414873537</v>
      </c>
      <c r="S109" s="84">
        <v>912816.25095643627</v>
      </c>
      <c r="T109" s="87">
        <v>2896.103966666054</v>
      </c>
      <c r="V109" s="90">
        <f t="shared" si="15"/>
        <v>9.6443354725036956E-2</v>
      </c>
      <c r="X109" s="48"/>
      <c r="Y109" s="48"/>
      <c r="Z109" s="66"/>
    </row>
    <row r="110" spans="2:26" ht="13.5" thickBot="1" x14ac:dyDescent="0.3">
      <c r="B110" s="105">
        <v>166</v>
      </c>
      <c r="C110" s="106" t="s">
        <v>118</v>
      </c>
      <c r="D110" s="98"/>
      <c r="E110" s="107">
        <v>92</v>
      </c>
      <c r="F110" s="100">
        <v>1</v>
      </c>
      <c r="G110" s="39">
        <v>1</v>
      </c>
      <c r="H110" s="40">
        <f t="shared" si="11"/>
        <v>92</v>
      </c>
      <c r="I110" s="41">
        <v>0</v>
      </c>
      <c r="J110" s="41">
        <v>1</v>
      </c>
      <c r="K110" s="41">
        <v>0</v>
      </c>
      <c r="L110" s="85">
        <f t="shared" si="16"/>
        <v>92</v>
      </c>
      <c r="N110" s="86">
        <f t="shared" si="12"/>
        <v>1.1059000000000001</v>
      </c>
      <c r="P110" s="84">
        <f t="shared" si="13"/>
        <v>409228.92240701721</v>
      </c>
      <c r="Q110" s="87">
        <f t="shared" si="14"/>
        <v>4448.1404609458395</v>
      </c>
      <c r="S110" s="84">
        <v>373233.07277432724</v>
      </c>
      <c r="T110" s="87">
        <v>3861.3959155672528</v>
      </c>
      <c r="V110" s="90">
        <f t="shared" si="15"/>
        <v>9.6443354725036956E-2</v>
      </c>
      <c r="X110" s="48"/>
      <c r="Y110" s="48"/>
    </row>
    <row r="111" spans="2:26" ht="13.5" thickBot="1" x14ac:dyDescent="0.3">
      <c r="B111" s="144">
        <v>307</v>
      </c>
      <c r="C111" s="145" t="s">
        <v>176</v>
      </c>
      <c r="D111" s="98"/>
      <c r="E111" s="147">
        <v>128.19999999999999</v>
      </c>
      <c r="F111" s="148">
        <v>1</v>
      </c>
      <c r="G111" s="156">
        <v>1</v>
      </c>
      <c r="H111" s="157">
        <f t="shared" si="11"/>
        <v>128.19999999999999</v>
      </c>
      <c r="I111" s="158">
        <v>0</v>
      </c>
      <c r="J111" s="158">
        <v>1</v>
      </c>
      <c r="K111" s="158">
        <v>0</v>
      </c>
      <c r="L111" s="159">
        <f t="shared" si="16"/>
        <v>128.19999999999999</v>
      </c>
      <c r="N111" s="182">
        <f t="shared" si="12"/>
        <v>1.5410999999999999</v>
      </c>
      <c r="P111" s="146">
        <f t="shared" si="13"/>
        <v>570270.99405140989</v>
      </c>
      <c r="Q111" s="89">
        <f t="shared" si="14"/>
        <v>4448.2916852684084</v>
      </c>
      <c r="S111" s="146">
        <v>520109.85482639988</v>
      </c>
      <c r="T111" s="89">
        <v>3861.52719221794</v>
      </c>
      <c r="V111" s="90">
        <f t="shared" si="15"/>
        <v>9.6443354725036956E-2</v>
      </c>
      <c r="X111" s="48"/>
      <c r="Y111" s="48"/>
    </row>
    <row r="112" spans="2:26" ht="13.5" thickBot="1" x14ac:dyDescent="0.3">
      <c r="B112" s="144">
        <v>26</v>
      </c>
      <c r="C112" s="145" t="s">
        <v>233</v>
      </c>
      <c r="D112" s="98"/>
      <c r="E112" s="147">
        <v>51</v>
      </c>
      <c r="F112" s="148">
        <v>1</v>
      </c>
      <c r="G112" s="156">
        <v>1</v>
      </c>
      <c r="H112" s="157">
        <f t="shared" si="11"/>
        <v>51</v>
      </c>
      <c r="I112" s="158">
        <v>0</v>
      </c>
      <c r="J112" s="158">
        <v>1</v>
      </c>
      <c r="K112" s="158">
        <v>0</v>
      </c>
      <c r="L112" s="159">
        <f t="shared" si="16"/>
        <v>51</v>
      </c>
      <c r="N112" s="182">
        <f t="shared" si="12"/>
        <v>0.61309999999999998</v>
      </c>
      <c r="P112" s="146">
        <f t="shared" si="13"/>
        <v>226872.45892733723</v>
      </c>
      <c r="Q112" s="89">
        <f t="shared" si="14"/>
        <v>4448.4795868105339</v>
      </c>
      <c r="R112" s="146">
        <f>($P$12*P112)/100</f>
        <v>83952230663.409424</v>
      </c>
      <c r="S112" s="146">
        <v>206916.71662712723</v>
      </c>
      <c r="T112" s="89">
        <v>3861.6903080758284</v>
      </c>
      <c r="U112" s="146">
        <f>($P$12*S112)/100</f>
        <v>76567777351.765442</v>
      </c>
      <c r="V112" s="90">
        <f t="shared" si="15"/>
        <v>9.6443354725036956E-2</v>
      </c>
      <c r="X112" s="48"/>
      <c r="Y112" s="48"/>
    </row>
    <row r="113" spans="2:26" ht="13.5" thickBot="1" x14ac:dyDescent="0.3">
      <c r="B113" s="112">
        <v>402</v>
      </c>
      <c r="C113" s="113" t="s">
        <v>226</v>
      </c>
      <c r="D113" s="94"/>
      <c r="E113" s="136">
        <v>292</v>
      </c>
      <c r="F113" s="114">
        <v>0.51400000000000001</v>
      </c>
      <c r="G113" s="156">
        <v>1</v>
      </c>
      <c r="H113" s="157">
        <f t="shared" si="11"/>
        <v>150.09</v>
      </c>
      <c r="I113" s="158">
        <v>0</v>
      </c>
      <c r="J113" s="158">
        <v>1</v>
      </c>
      <c r="K113" s="158">
        <v>0</v>
      </c>
      <c r="L113" s="159">
        <f t="shared" si="16"/>
        <v>150.09</v>
      </c>
      <c r="N113" s="182">
        <f t="shared" si="12"/>
        <v>1.8042</v>
      </c>
      <c r="P113" s="146">
        <f t="shared" si="13"/>
        <v>667628.91925738344</v>
      </c>
      <c r="Q113" s="89">
        <f t="shared" si="14"/>
        <v>2286.4004084156968</v>
      </c>
      <c r="S113" s="146">
        <v>608904.15941716358</v>
      </c>
      <c r="T113" s="89">
        <v>1984.8062973556289</v>
      </c>
      <c r="V113" s="90">
        <f t="shared" si="15"/>
        <v>9.6443354725036734E-2</v>
      </c>
      <c r="X113" s="48"/>
      <c r="Y113" s="48"/>
    </row>
    <row r="114" spans="2:26" ht="13.5" thickBot="1" x14ac:dyDescent="0.3">
      <c r="I114" s="3"/>
      <c r="S114" s="137"/>
      <c r="T114" s="137"/>
    </row>
    <row r="115" spans="2:26" ht="13.5" thickBot="1" x14ac:dyDescent="0.3">
      <c r="B115" s="50" t="s">
        <v>119</v>
      </c>
      <c r="C115" s="51"/>
      <c r="E115" s="52">
        <f>SUM(E14:E89)+SUM(E91:E113)</f>
        <v>11856.204999999998</v>
      </c>
      <c r="F115" s="35"/>
      <c r="G115" s="53"/>
      <c r="H115" s="35"/>
      <c r="I115" s="35"/>
      <c r="J115" s="35"/>
      <c r="K115" s="35"/>
      <c r="L115" s="54">
        <f>SUM(L14:L89)+SUM(L91:L113)</f>
        <v>8318.7000000000007</v>
      </c>
      <c r="N115" s="183">
        <f>SUM(N14:N89)+SUM(N91:N113)</f>
        <v>99.999800000000036</v>
      </c>
      <c r="P115" s="55">
        <f>SUM(P14:P89)+SUM(P91:P113)</f>
        <v>37004078.483513199</v>
      </c>
      <c r="Q115" s="56"/>
      <c r="S115" s="55">
        <v>22011445.05849319</v>
      </c>
      <c r="T115" s="56"/>
      <c r="X115" s="57">
        <f>SUM(X14:X89)</f>
        <v>1166659.7300000002</v>
      </c>
      <c r="Y115" s="58">
        <f>SUM(Y14:Y89)</f>
        <v>27144255.233525295</v>
      </c>
    </row>
    <row r="116" spans="2:26" x14ac:dyDescent="0.25">
      <c r="E116" s="204"/>
      <c r="F116" s="204"/>
      <c r="G116" s="59"/>
      <c r="H116" s="17"/>
      <c r="I116" s="60"/>
      <c r="J116" s="61"/>
      <c r="S116" s="4"/>
      <c r="T116" s="4"/>
    </row>
    <row r="117" spans="2:26" x14ac:dyDescent="0.25">
      <c r="E117" s="143"/>
      <c r="I117" s="3"/>
      <c r="Q117" s="62"/>
      <c r="R117" s="62"/>
      <c r="S117" s="138"/>
      <c r="T117" s="48"/>
      <c r="U117" s="62"/>
      <c r="V117" s="62"/>
      <c r="W117" s="62"/>
      <c r="Y117" s="17"/>
    </row>
    <row r="118" spans="2:26" x14ac:dyDescent="0.25">
      <c r="E118" s="165"/>
      <c r="H118" s="17"/>
      <c r="I118" s="17"/>
      <c r="P118" s="4" t="s">
        <v>120</v>
      </c>
      <c r="Q118" s="4">
        <f>SUM(L14:L89)</f>
        <v>6475.2200000000012</v>
      </c>
      <c r="Y118" s="17"/>
      <c r="Z118" s="17"/>
    </row>
    <row r="119" spans="2:26" x14ac:dyDescent="0.25">
      <c r="E119" s="165"/>
      <c r="P119" s="4" t="s">
        <v>121</v>
      </c>
      <c r="Q119" s="4">
        <f>SUM(L91:L113)</f>
        <v>1843.48</v>
      </c>
    </row>
    <row r="120" spans="2:26" x14ac:dyDescent="0.25">
      <c r="E120" s="165"/>
      <c r="P120" s="63" t="s">
        <v>122</v>
      </c>
      <c r="Q120" s="63">
        <f>Q118+Q119</f>
        <v>8318.7000000000007</v>
      </c>
      <c r="S120" s="64">
        <f>(Q120/Q118)-1</f>
        <v>0.28469766278211384</v>
      </c>
    </row>
    <row r="121" spans="2:26" x14ac:dyDescent="0.25">
      <c r="C121" s="205"/>
      <c r="D121" s="205"/>
      <c r="E121" s="205"/>
      <c r="F121" s="17"/>
    </row>
    <row r="122" spans="2:26" x14ac:dyDescent="0.25">
      <c r="E122" s="165"/>
    </row>
    <row r="123" spans="2:26" x14ac:dyDescent="0.25">
      <c r="C123" s="192"/>
      <c r="D123" s="192"/>
      <c r="E123" s="192"/>
    </row>
    <row r="124" spans="2:26" x14ac:dyDescent="0.25">
      <c r="E124" s="165"/>
      <c r="I124" s="65"/>
    </row>
    <row r="125" spans="2:26" x14ac:dyDescent="0.25">
      <c r="C125" s="192"/>
      <c r="D125" s="192"/>
      <c r="E125" s="192"/>
      <c r="F125" s="17"/>
      <c r="T125" s="23"/>
    </row>
    <row r="126" spans="2:26" x14ac:dyDescent="0.25">
      <c r="B126" s="1" t="s">
        <v>202</v>
      </c>
      <c r="E126" s="165"/>
      <c r="I126" s="65"/>
    </row>
    <row r="127" spans="2:26" x14ac:dyDescent="0.25">
      <c r="C127" s="192"/>
      <c r="D127" s="192"/>
      <c r="E127" s="192"/>
      <c r="F127" s="3"/>
    </row>
    <row r="129" spans="2:28" x14ac:dyDescent="0.25">
      <c r="F129" s="17"/>
    </row>
    <row r="132" spans="2:28" s="2" customFormat="1" x14ac:dyDescent="0.25">
      <c r="B132" s="1"/>
      <c r="C132" s="3"/>
      <c r="D132" s="1"/>
      <c r="E132" s="61"/>
      <c r="F132" s="1"/>
      <c r="H132" s="1"/>
      <c r="I132" s="1"/>
      <c r="J132" s="1"/>
      <c r="K132" s="1"/>
      <c r="L132" s="1"/>
      <c r="M132" s="1"/>
      <c r="N132" s="1"/>
      <c r="O132" s="1"/>
      <c r="P132" s="4"/>
      <c r="Q132" s="4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s="2" customFormat="1" x14ac:dyDescent="0.25">
      <c r="B133" s="1"/>
      <c r="C133" s="1"/>
      <c r="D133" s="1"/>
      <c r="E133" s="1"/>
      <c r="F133" s="20"/>
      <c r="H133" s="1"/>
      <c r="I133" s="1"/>
      <c r="J133" s="1"/>
      <c r="K133" s="1"/>
      <c r="L133" s="1"/>
      <c r="M133" s="1"/>
      <c r="N133" s="1"/>
      <c r="O133" s="1"/>
      <c r="P133" s="4"/>
      <c r="Q133" s="4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s="2" customFormat="1" x14ac:dyDescent="0.25">
      <c r="B134" s="1"/>
      <c r="C134" s="20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4"/>
      <c r="Q134" s="4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s="2" customFormat="1" x14ac:dyDescent="0.25">
      <c r="B135" s="1"/>
      <c r="C135" s="66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4"/>
      <c r="Q135" s="4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</row>
  </sheetData>
  <mergeCells count="8">
    <mergeCell ref="C125:E125"/>
    <mergeCell ref="C127:E127"/>
    <mergeCell ref="B2:M6"/>
    <mergeCell ref="S12:T12"/>
    <mergeCell ref="X12:Y12"/>
    <mergeCell ref="E116:F116"/>
    <mergeCell ref="C121:E121"/>
    <mergeCell ref="C123:E123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0D3C-D00F-4FC5-8586-DD70DE440440}">
  <sheetPr>
    <tabColor theme="4" tint="0.39997558519241921"/>
  </sheetPr>
  <dimension ref="A1:AB135"/>
  <sheetViews>
    <sheetView topLeftCell="M112" zoomScaleNormal="100" workbookViewId="0">
      <selection activeCell="P14" sqref="P14:Q113"/>
    </sheetView>
  </sheetViews>
  <sheetFormatPr baseColWidth="10" defaultColWidth="10.81640625" defaultRowHeight="13" x14ac:dyDescent="0.25"/>
  <cols>
    <col min="1" max="1" width="4.453125" style="1" customWidth="1"/>
    <col min="2" max="2" width="19.54296875" style="1" customWidth="1"/>
    <col min="3" max="3" width="29.453125" style="1" customWidth="1"/>
    <col min="4" max="4" width="1.453125" style="1" customWidth="1"/>
    <col min="5" max="5" width="11.453125" style="1" customWidth="1"/>
    <col min="6" max="6" width="14.453125" style="1" customWidth="1"/>
    <col min="7" max="7" width="13.81640625" style="2" customWidth="1"/>
    <col min="8" max="8" width="13.453125" style="1" customWidth="1"/>
    <col min="9" max="9" width="12.453125" style="1" customWidth="1"/>
    <col min="10" max="11" width="11.453125" style="1" customWidth="1"/>
    <col min="12" max="12" width="8.26953125" style="1" customWidth="1"/>
    <col min="13" max="13" width="0.1796875" style="1" customWidth="1"/>
    <col min="14" max="14" width="19.453125" style="1" customWidth="1"/>
    <col min="15" max="15" width="0.1796875" style="1" customWidth="1"/>
    <col min="16" max="16" width="22.7265625" style="4" customWidth="1"/>
    <col min="17" max="17" width="15" style="4" customWidth="1"/>
    <col min="18" max="18" width="1.7265625" style="1" customWidth="1"/>
    <col min="19" max="19" width="17.26953125" style="5" bestFit="1" customWidth="1"/>
    <col min="20" max="20" width="17.54296875" style="1" customWidth="1"/>
    <col min="21" max="21" width="1.7265625" style="1" customWidth="1"/>
    <col min="22" max="22" width="13.1796875" style="1" customWidth="1"/>
    <col min="23" max="23" width="1.7265625" style="1" customWidth="1"/>
    <col min="24" max="24" width="14.453125" style="1" bestFit="1" customWidth="1"/>
    <col min="25" max="25" width="15.81640625" style="1" customWidth="1"/>
    <col min="26" max="26" width="14.26953125" style="1" customWidth="1"/>
    <col min="27" max="27" width="11.81640625" style="1" bestFit="1" customWidth="1"/>
    <col min="28" max="28" width="15.7265625" style="1" customWidth="1"/>
    <col min="29" max="16384" width="10.81640625" style="1"/>
  </cols>
  <sheetData>
    <row r="1" spans="2:28" ht="13.5" thickBot="1" x14ac:dyDescent="0.3">
      <c r="I1" s="3"/>
    </row>
    <row r="2" spans="2:28" ht="13.5" thickBot="1" x14ac:dyDescent="0.3">
      <c r="B2" s="193" t="s">
        <v>232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P2" s="6" t="s">
        <v>0</v>
      </c>
      <c r="Q2" s="7">
        <f>T10</f>
        <v>47983389.831818178</v>
      </c>
      <c r="R2" s="8"/>
      <c r="S2" s="9" t="s">
        <v>1</v>
      </c>
      <c r="T2" s="10">
        <f>519334.36+137332.91+33332.73</f>
        <v>690000</v>
      </c>
      <c r="U2" s="8"/>
      <c r="W2" s="8"/>
    </row>
    <row r="3" spans="2:28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8"/>
      <c r="O3" s="11" t="s">
        <v>2</v>
      </c>
      <c r="P3" s="12"/>
      <c r="Q3" s="13"/>
      <c r="S3" s="9" t="s">
        <v>3</v>
      </c>
      <c r="T3" s="10"/>
    </row>
    <row r="4" spans="2:28" x14ac:dyDescent="0.25"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8"/>
      <c r="O4" s="14" t="s">
        <v>4</v>
      </c>
      <c r="P4" s="15"/>
      <c r="Q4" s="16"/>
      <c r="S4" s="9" t="s">
        <v>5</v>
      </c>
      <c r="T4" s="17">
        <v>119150</v>
      </c>
    </row>
    <row r="5" spans="2:28" ht="14.5" x14ac:dyDescent="0.35">
      <c r="B5" s="196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8"/>
      <c r="O5" s="14" t="s">
        <v>6</v>
      </c>
      <c r="P5" s="18" t="s">
        <v>7</v>
      </c>
      <c r="Q5" s="19">
        <f>987585+455909.31</f>
        <v>1443494.31</v>
      </c>
      <c r="S5" s="9" t="s">
        <v>8</v>
      </c>
      <c r="T5" s="17">
        <v>27642</v>
      </c>
      <c r="V5" s="20"/>
      <c r="Y5" s="21"/>
    </row>
    <row r="6" spans="2:28" ht="15" thickBot="1" x14ac:dyDescent="0.4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O6" s="14" t="s">
        <v>9</v>
      </c>
      <c r="P6" s="18" t="s">
        <v>220</v>
      </c>
      <c r="Q6" s="16">
        <v>5131447.5199999996</v>
      </c>
      <c r="S6" s="9" t="s">
        <v>10</v>
      </c>
      <c r="T6" s="77">
        <v>3603000.02</v>
      </c>
      <c r="V6" s="22"/>
      <c r="Y6" s="149"/>
      <c r="AB6" s="22"/>
    </row>
    <row r="7" spans="2:28" ht="13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0"/>
      <c r="O7" s="14" t="s">
        <v>11</v>
      </c>
      <c r="P7" s="25" t="s">
        <v>12</v>
      </c>
      <c r="Q7" s="19">
        <v>210450</v>
      </c>
      <c r="S7" s="9" t="s">
        <v>13</v>
      </c>
      <c r="T7" s="17">
        <f>Premisas!D11</f>
        <v>1043597.8118181818</v>
      </c>
      <c r="V7" s="20"/>
      <c r="Y7" s="149"/>
    </row>
    <row r="8" spans="2:28" ht="13" customHeight="1" x14ac:dyDescent="0.25">
      <c r="B8" s="26" t="s">
        <v>14</v>
      </c>
      <c r="C8" s="102"/>
      <c r="D8" s="24"/>
      <c r="E8" s="24"/>
      <c r="F8" s="24"/>
      <c r="G8" s="24"/>
      <c r="H8" s="24"/>
      <c r="I8" s="24"/>
      <c r="J8" s="24"/>
      <c r="K8" s="24"/>
      <c r="L8" s="24"/>
      <c r="M8" s="24"/>
      <c r="O8" s="14" t="s">
        <v>15</v>
      </c>
      <c r="P8" s="18" t="s">
        <v>181</v>
      </c>
      <c r="Q8" s="16">
        <v>477544.5</v>
      </c>
      <c r="S8" s="9" t="s">
        <v>16</v>
      </c>
      <c r="T8" s="17">
        <v>600000</v>
      </c>
    </row>
    <row r="9" spans="2:28" ht="13" customHeight="1" thickBot="1" x14ac:dyDescent="0.3">
      <c r="B9" s="26" t="s">
        <v>17</v>
      </c>
      <c r="C9" s="95"/>
      <c r="D9" s="24"/>
      <c r="E9" s="24"/>
      <c r="F9" s="24"/>
      <c r="G9" s="24"/>
      <c r="H9" s="24"/>
      <c r="I9" s="24"/>
      <c r="J9" s="24"/>
      <c r="K9" s="24"/>
      <c r="L9" s="24"/>
      <c r="M9" s="24"/>
      <c r="O9" s="27" t="s">
        <v>18</v>
      </c>
      <c r="P9" s="28"/>
      <c r="Q9" s="29">
        <v>0</v>
      </c>
      <c r="S9" s="9"/>
      <c r="T9" s="30">
        <v>41900000</v>
      </c>
      <c r="V9" s="31"/>
      <c r="W9" s="32"/>
      <c r="X9" s="150"/>
    </row>
    <row r="10" spans="2:28" ht="13.5" thickBot="1" x14ac:dyDescent="0.3">
      <c r="B10" s="26" t="s">
        <v>19</v>
      </c>
      <c r="C10" s="80"/>
      <c r="I10" s="3"/>
      <c r="P10" s="6" t="s">
        <v>20</v>
      </c>
      <c r="Q10" s="34">
        <f>Q2-Q3-Q4-Q5-Q6-Q7-Q8-Q9</f>
        <v>40720453.50181818</v>
      </c>
      <c r="S10" s="5" t="s">
        <v>21</v>
      </c>
      <c r="T10" s="17">
        <f>SUM(T2:T9)</f>
        <v>47983389.831818178</v>
      </c>
      <c r="V10" s="138"/>
      <c r="W10" s="32"/>
      <c r="X10" s="33"/>
      <c r="Z10" s="138"/>
    </row>
    <row r="11" spans="2:28" ht="13.5" thickBot="1" x14ac:dyDescent="0.3">
      <c r="I11" s="3"/>
    </row>
    <row r="12" spans="2:28" ht="26.5" thickBot="1" x14ac:dyDescent="0.3">
      <c r="B12" s="119" t="s">
        <v>22</v>
      </c>
      <c r="C12" s="120" t="s">
        <v>23</v>
      </c>
      <c r="E12" s="119" t="s">
        <v>24</v>
      </c>
      <c r="F12" s="121" t="s">
        <v>25</v>
      </c>
      <c r="G12" s="122" t="s">
        <v>26</v>
      </c>
      <c r="H12" s="123" t="s">
        <v>27</v>
      </c>
      <c r="I12" s="124" t="s">
        <v>28</v>
      </c>
      <c r="J12" s="121" t="s">
        <v>29</v>
      </c>
      <c r="K12" s="121" t="s">
        <v>30</v>
      </c>
      <c r="L12" s="120" t="s">
        <v>31</v>
      </c>
      <c r="M12" s="125"/>
      <c r="N12" s="180" t="s">
        <v>32</v>
      </c>
      <c r="O12" s="125"/>
      <c r="P12" s="126">
        <f>+Q10</f>
        <v>40720453.50181818</v>
      </c>
      <c r="Q12" s="127" t="s">
        <v>33</v>
      </c>
      <c r="S12" s="202" t="s">
        <v>241</v>
      </c>
      <c r="T12" s="203"/>
      <c r="V12" s="128" t="s">
        <v>34</v>
      </c>
      <c r="X12" s="202" t="s">
        <v>35</v>
      </c>
      <c r="Y12" s="203"/>
    </row>
    <row r="13" spans="2:28" ht="7" customHeight="1" thickBot="1" x14ac:dyDescent="0.3">
      <c r="I13" s="3"/>
      <c r="X13" s="5"/>
    </row>
    <row r="14" spans="2:28" x14ac:dyDescent="0.25">
      <c r="B14" s="160" t="s">
        <v>36</v>
      </c>
      <c r="C14" s="161" t="s">
        <v>198</v>
      </c>
      <c r="D14" s="94"/>
      <c r="E14" s="162">
        <v>211</v>
      </c>
      <c r="F14" s="163">
        <v>0.9</v>
      </c>
      <c r="G14" s="37">
        <v>1</v>
      </c>
      <c r="H14" s="38">
        <f t="shared" ref="H14:H85" si="0">ROUND(E14*G14*F14,2)</f>
        <v>189.9</v>
      </c>
      <c r="I14" s="36">
        <v>0</v>
      </c>
      <c r="J14" s="36">
        <v>1</v>
      </c>
      <c r="K14" s="36">
        <f t="shared" ref="K14:K84" si="1">ROUND(I14*J14,2)</f>
        <v>0</v>
      </c>
      <c r="L14" s="153">
        <f t="shared" ref="L14:L84" si="2">H14+K14</f>
        <v>189.9</v>
      </c>
      <c r="N14" s="181">
        <f t="shared" ref="N14:N77" si="3">ROUND((L14/$L$115)*100,4)</f>
        <v>2.2827999999999999</v>
      </c>
      <c r="P14" s="152">
        <f t="shared" ref="P14:P85" si="4">($P$12*N14)/100</f>
        <v>929566.51253950538</v>
      </c>
      <c r="Q14" s="154">
        <f t="shared" ref="Q14:Q85" si="5">P14/E14</f>
        <v>4405.528495447893</v>
      </c>
      <c r="R14" s="2"/>
      <c r="S14" s="152">
        <v>844730.79308322538</v>
      </c>
      <c r="T14" s="154">
        <v>4003.4634743280822</v>
      </c>
      <c r="U14" s="2"/>
      <c r="V14" s="155">
        <f t="shared" ref="V14:V78" si="6">(P14/S14)-1</f>
        <v>0.10042929670721934</v>
      </c>
      <c r="W14" s="2"/>
      <c r="X14" s="152">
        <v>43179.58</v>
      </c>
      <c r="Y14" s="154">
        <f t="shared" ref="Y14:Y48" si="7">+P14-X14</f>
        <v>886386.93253950542</v>
      </c>
      <c r="Z14" s="4"/>
    </row>
    <row r="15" spans="2:28" x14ac:dyDescent="0.25">
      <c r="B15" s="96" t="s">
        <v>37</v>
      </c>
      <c r="C15" s="97" t="s">
        <v>38</v>
      </c>
      <c r="D15" s="98"/>
      <c r="E15" s="99">
        <f>140.4+64.1</f>
        <v>204.5</v>
      </c>
      <c r="F15" s="100">
        <v>1</v>
      </c>
      <c r="G15" s="39">
        <v>1</v>
      </c>
      <c r="H15" s="40">
        <f t="shared" si="0"/>
        <v>204.5</v>
      </c>
      <c r="I15" s="41">
        <v>0</v>
      </c>
      <c r="J15" s="41">
        <v>1</v>
      </c>
      <c r="K15" s="41">
        <f t="shared" si="1"/>
        <v>0</v>
      </c>
      <c r="L15" s="85">
        <f t="shared" si="2"/>
        <v>204.5</v>
      </c>
      <c r="N15" s="86">
        <f t="shared" si="3"/>
        <v>2.4582999999999999</v>
      </c>
      <c r="P15" s="84">
        <f t="shared" si="4"/>
        <v>1001030.9084351963</v>
      </c>
      <c r="Q15" s="91">
        <f t="shared" si="5"/>
        <v>4895.0166671647739</v>
      </c>
      <c r="S15" s="84">
        <v>909673.08070636611</v>
      </c>
      <c r="T15" s="91">
        <v>4448.2791232585141</v>
      </c>
      <c r="V15" s="88">
        <f t="shared" si="6"/>
        <v>0.10042929670721956</v>
      </c>
      <c r="X15" s="84">
        <v>26671.86</v>
      </c>
      <c r="Y15" s="87">
        <f t="shared" si="7"/>
        <v>974359.04843519628</v>
      </c>
      <c r="Z15" s="4"/>
    </row>
    <row r="16" spans="2:28" x14ac:dyDescent="0.25">
      <c r="B16" s="96" t="s">
        <v>39</v>
      </c>
      <c r="C16" s="97" t="s">
        <v>40</v>
      </c>
      <c r="D16" s="98"/>
      <c r="E16" s="99">
        <v>81.3</v>
      </c>
      <c r="F16" s="100">
        <v>1</v>
      </c>
      <c r="G16" s="39">
        <v>1</v>
      </c>
      <c r="H16" s="40">
        <f t="shared" si="0"/>
        <v>81.3</v>
      </c>
      <c r="I16" s="41">
        <v>0</v>
      </c>
      <c r="J16" s="41">
        <v>1</v>
      </c>
      <c r="K16" s="41">
        <f t="shared" si="1"/>
        <v>0</v>
      </c>
      <c r="L16" s="85">
        <f t="shared" si="2"/>
        <v>81.3</v>
      </c>
      <c r="N16" s="86">
        <f t="shared" si="3"/>
        <v>0.97729999999999995</v>
      </c>
      <c r="P16" s="84">
        <f t="shared" si="4"/>
        <v>397960.99207326904</v>
      </c>
      <c r="Q16" s="91">
        <f t="shared" si="5"/>
        <v>4894.9691521927316</v>
      </c>
      <c r="S16" s="84">
        <v>361641.58230253897</v>
      </c>
      <c r="T16" s="91">
        <v>4448.2359446806759</v>
      </c>
      <c r="V16" s="88">
        <f t="shared" si="6"/>
        <v>0.10042929670721956</v>
      </c>
      <c r="X16" s="84">
        <v>15444.87</v>
      </c>
      <c r="Y16" s="87">
        <f t="shared" si="7"/>
        <v>382516.12207326904</v>
      </c>
      <c r="Z16" s="4"/>
    </row>
    <row r="17" spans="1:26" x14ac:dyDescent="0.25">
      <c r="B17" s="96" t="s">
        <v>41</v>
      </c>
      <c r="C17" s="97" t="s">
        <v>42</v>
      </c>
      <c r="D17" s="98"/>
      <c r="E17" s="99">
        <v>56.6</v>
      </c>
      <c r="F17" s="100">
        <v>1</v>
      </c>
      <c r="G17" s="39">
        <v>1</v>
      </c>
      <c r="H17" s="40">
        <f t="shared" si="0"/>
        <v>56.6</v>
      </c>
      <c r="I17" s="41">
        <v>0</v>
      </c>
      <c r="J17" s="41">
        <v>1</v>
      </c>
      <c r="K17" s="41">
        <f t="shared" si="1"/>
        <v>0</v>
      </c>
      <c r="L17" s="85">
        <f t="shared" si="2"/>
        <v>56.6</v>
      </c>
      <c r="N17" s="86">
        <f t="shared" si="3"/>
        <v>0.6804</v>
      </c>
      <c r="P17" s="84">
        <f t="shared" si="4"/>
        <v>277061.96562637092</v>
      </c>
      <c r="Q17" s="91">
        <f t="shared" si="5"/>
        <v>4895.0877319146803</v>
      </c>
      <c r="S17" s="84">
        <v>251776.25355433088</v>
      </c>
      <c r="T17" s="91">
        <v>4448.3437023733368</v>
      </c>
      <c r="V17" s="88">
        <f t="shared" si="6"/>
        <v>0.10042929670721956</v>
      </c>
      <c r="X17" s="84">
        <v>10752.68</v>
      </c>
      <c r="Y17" s="87">
        <f t="shared" si="7"/>
        <v>266309.28562637093</v>
      </c>
      <c r="Z17" s="4"/>
    </row>
    <row r="18" spans="1:26" x14ac:dyDescent="0.25">
      <c r="A18" s="1" t="s">
        <v>230</v>
      </c>
      <c r="B18" s="96" t="s">
        <v>43</v>
      </c>
      <c r="C18" s="97" t="s">
        <v>129</v>
      </c>
      <c r="D18" s="98"/>
      <c r="E18" s="99">
        <v>24.35</v>
      </c>
      <c r="F18" s="100">
        <v>1</v>
      </c>
      <c r="G18" s="39">
        <v>1</v>
      </c>
      <c r="H18" s="40">
        <f t="shared" si="0"/>
        <v>24.35</v>
      </c>
      <c r="I18" s="41">
        <v>0</v>
      </c>
      <c r="J18" s="41">
        <v>1</v>
      </c>
      <c r="K18" s="41">
        <f t="shared" si="1"/>
        <v>0</v>
      </c>
      <c r="L18" s="85">
        <f t="shared" si="2"/>
        <v>24.35</v>
      </c>
      <c r="N18" s="86">
        <f t="shared" si="3"/>
        <v>0.29270000000000002</v>
      </c>
      <c r="P18" s="84">
        <f t="shared" si="4"/>
        <v>119188.76739982182</v>
      </c>
      <c r="Q18" s="91">
        <f t="shared" si="5"/>
        <v>4894.8159096436066</v>
      </c>
      <c r="S18" s="84">
        <v>108311.15434355181</v>
      </c>
      <c r="T18" s="91">
        <v>4448.0966876201974</v>
      </c>
      <c r="V18" s="88">
        <f t="shared" si="6"/>
        <v>0.10042929670721956</v>
      </c>
      <c r="X18" s="84">
        <v>4625.1400000000003</v>
      </c>
      <c r="Y18" s="87">
        <f t="shared" si="7"/>
        <v>114563.62739982182</v>
      </c>
      <c r="Z18" s="4"/>
    </row>
    <row r="19" spans="1:26" x14ac:dyDescent="0.25">
      <c r="B19" s="96" t="s">
        <v>44</v>
      </c>
      <c r="C19" s="97" t="s">
        <v>45</v>
      </c>
      <c r="D19" s="98"/>
      <c r="E19" s="99">
        <v>55.25</v>
      </c>
      <c r="F19" s="100">
        <v>1</v>
      </c>
      <c r="G19" s="39">
        <v>1</v>
      </c>
      <c r="H19" s="40">
        <f t="shared" si="0"/>
        <v>55.25</v>
      </c>
      <c r="I19" s="41">
        <v>0</v>
      </c>
      <c r="J19" s="41">
        <v>1</v>
      </c>
      <c r="K19" s="41">
        <f t="shared" si="1"/>
        <v>0</v>
      </c>
      <c r="L19" s="85">
        <f t="shared" si="2"/>
        <v>55.25</v>
      </c>
      <c r="N19" s="86">
        <f t="shared" si="3"/>
        <v>0.66420000000000001</v>
      </c>
      <c r="P19" s="84">
        <f t="shared" si="4"/>
        <v>270465.25215907639</v>
      </c>
      <c r="Q19" s="87">
        <f t="shared" si="5"/>
        <v>4895.298681612242</v>
      </c>
      <c r="S19" s="84">
        <v>245781.58085065632</v>
      </c>
      <c r="T19" s="87">
        <v>4448.5354000118787</v>
      </c>
      <c r="V19" s="88">
        <f t="shared" si="6"/>
        <v>0.10042929670721978</v>
      </c>
      <c r="X19" s="84">
        <v>10495.66</v>
      </c>
      <c r="Y19" s="87">
        <f t="shared" si="7"/>
        <v>259969.59215907639</v>
      </c>
      <c r="Z19" s="4"/>
    </row>
    <row r="20" spans="1:26" x14ac:dyDescent="0.25">
      <c r="B20" s="101" t="s">
        <v>46</v>
      </c>
      <c r="C20" s="97" t="s">
        <v>123</v>
      </c>
      <c r="D20" s="98"/>
      <c r="E20" s="99">
        <v>48.9</v>
      </c>
      <c r="F20" s="100">
        <v>1</v>
      </c>
      <c r="G20" s="39">
        <v>1</v>
      </c>
      <c r="H20" s="40">
        <f t="shared" si="0"/>
        <v>48.9</v>
      </c>
      <c r="I20" s="41">
        <v>0</v>
      </c>
      <c r="J20" s="41">
        <v>1</v>
      </c>
      <c r="K20" s="41">
        <f t="shared" si="1"/>
        <v>0</v>
      </c>
      <c r="L20" s="85">
        <f t="shared" si="2"/>
        <v>48.9</v>
      </c>
      <c r="N20" s="86">
        <f t="shared" si="3"/>
        <v>0.58779999999999999</v>
      </c>
      <c r="P20" s="84">
        <f t="shared" si="4"/>
        <v>239354.82568368726</v>
      </c>
      <c r="Q20" s="87">
        <f t="shared" si="5"/>
        <v>4894.7817113228484</v>
      </c>
      <c r="S20" s="84">
        <v>217510.40834690724</v>
      </c>
      <c r="T20" s="87">
        <v>4448.0656103662013</v>
      </c>
      <c r="V20" s="88">
        <f t="shared" si="6"/>
        <v>0.10042929670721956</v>
      </c>
      <c r="X20" s="84">
        <v>9290.02</v>
      </c>
      <c r="Y20" s="87">
        <f t="shared" si="7"/>
        <v>230064.80568368727</v>
      </c>
      <c r="Z20" s="4"/>
    </row>
    <row r="21" spans="1:26" x14ac:dyDescent="0.25">
      <c r="B21" s="101" t="s">
        <v>47</v>
      </c>
      <c r="C21" s="97" t="s">
        <v>123</v>
      </c>
      <c r="D21" s="98"/>
      <c r="E21" s="99">
        <v>48.7</v>
      </c>
      <c r="F21" s="100">
        <v>1</v>
      </c>
      <c r="G21" s="39">
        <v>1</v>
      </c>
      <c r="H21" s="40">
        <f t="shared" si="0"/>
        <v>48.7</v>
      </c>
      <c r="I21" s="41">
        <v>0</v>
      </c>
      <c r="J21" s="41">
        <v>1</v>
      </c>
      <c r="K21" s="41">
        <f t="shared" si="1"/>
        <v>0</v>
      </c>
      <c r="L21" s="85">
        <f t="shared" si="2"/>
        <v>48.7</v>
      </c>
      <c r="N21" s="86">
        <f t="shared" si="3"/>
        <v>0.58540000000000003</v>
      </c>
      <c r="P21" s="84">
        <f t="shared" si="4"/>
        <v>238377.53479964365</v>
      </c>
      <c r="Q21" s="87">
        <f t="shared" si="5"/>
        <v>4894.8159096436066</v>
      </c>
      <c r="S21" s="84">
        <v>216622.30868710362</v>
      </c>
      <c r="T21" s="87">
        <v>4448.0966876201974</v>
      </c>
      <c r="V21" s="88">
        <f t="shared" si="6"/>
        <v>0.10042929670721956</v>
      </c>
      <c r="X21" s="84">
        <v>9251.5300000000007</v>
      </c>
      <c r="Y21" s="87">
        <f t="shared" si="7"/>
        <v>229126.00479964365</v>
      </c>
      <c r="Z21" s="4"/>
    </row>
    <row r="22" spans="1:26" x14ac:dyDescent="0.25">
      <c r="B22" s="101" t="s">
        <v>48</v>
      </c>
      <c r="C22" s="97" t="s">
        <v>124</v>
      </c>
      <c r="D22" s="98"/>
      <c r="E22" s="99">
        <v>43.65</v>
      </c>
      <c r="F22" s="100">
        <v>1</v>
      </c>
      <c r="G22" s="39">
        <v>1</v>
      </c>
      <c r="H22" s="40">
        <f t="shared" si="0"/>
        <v>43.65</v>
      </c>
      <c r="I22" s="41">
        <v>0</v>
      </c>
      <c r="J22" s="41">
        <v>1</v>
      </c>
      <c r="K22" s="41">
        <f t="shared" si="1"/>
        <v>0</v>
      </c>
      <c r="L22" s="85">
        <f t="shared" si="2"/>
        <v>43.65</v>
      </c>
      <c r="N22" s="86">
        <f t="shared" si="3"/>
        <v>0.52470000000000006</v>
      </c>
      <c r="P22" s="84">
        <f t="shared" si="4"/>
        <v>213660.21952404</v>
      </c>
      <c r="Q22" s="87">
        <f t="shared" si="5"/>
        <v>4894.8503900123715</v>
      </c>
      <c r="S22" s="84">
        <v>194160.78812456998</v>
      </c>
      <c r="T22" s="87">
        <v>4448.1280211814428</v>
      </c>
      <c r="V22" s="88">
        <f t="shared" si="6"/>
        <v>0.10042929670721956</v>
      </c>
      <c r="X22" s="84">
        <v>8291.73</v>
      </c>
      <c r="Y22" s="87">
        <f t="shared" si="7"/>
        <v>205368.48952403999</v>
      </c>
      <c r="Z22" s="4"/>
    </row>
    <row r="23" spans="1:26" x14ac:dyDescent="0.25">
      <c r="B23" s="96" t="s">
        <v>49</v>
      </c>
      <c r="C23" s="97" t="s">
        <v>51</v>
      </c>
      <c r="D23" s="98"/>
      <c r="E23" s="99">
        <v>44.85</v>
      </c>
      <c r="F23" s="100">
        <v>1</v>
      </c>
      <c r="G23" s="39">
        <v>1</v>
      </c>
      <c r="H23" s="40">
        <f t="shared" si="0"/>
        <v>44.85</v>
      </c>
      <c r="I23" s="41">
        <v>0</v>
      </c>
      <c r="J23" s="41">
        <v>1</v>
      </c>
      <c r="K23" s="41">
        <f t="shared" si="1"/>
        <v>0</v>
      </c>
      <c r="L23" s="85">
        <f t="shared" si="2"/>
        <v>44.85</v>
      </c>
      <c r="N23" s="86">
        <f t="shared" si="3"/>
        <v>0.53910000000000002</v>
      </c>
      <c r="P23" s="84">
        <f t="shared" si="4"/>
        <v>219523.9648283018</v>
      </c>
      <c r="Q23" s="87">
        <f t="shared" si="5"/>
        <v>4894.6257486800851</v>
      </c>
      <c r="R23" s="92"/>
      <c r="S23" s="84">
        <v>199489.38608339179</v>
      </c>
      <c r="T23" s="87">
        <v>4447.9238814580103</v>
      </c>
      <c r="U23" s="92"/>
      <c r="V23" s="88">
        <f t="shared" si="6"/>
        <v>0.10042929670721956</v>
      </c>
      <c r="W23" s="92"/>
      <c r="X23" s="84">
        <v>8520.19</v>
      </c>
      <c r="Y23" s="87">
        <f t="shared" si="7"/>
        <v>211003.7748283018</v>
      </c>
      <c r="Z23" s="4"/>
    </row>
    <row r="24" spans="1:26" x14ac:dyDescent="0.25">
      <c r="B24" s="96" t="s">
        <v>50</v>
      </c>
      <c r="C24" s="97" t="s">
        <v>51</v>
      </c>
      <c r="D24" s="98"/>
      <c r="E24" s="99">
        <v>55.65</v>
      </c>
      <c r="F24" s="100">
        <v>1</v>
      </c>
      <c r="G24" s="39">
        <v>1</v>
      </c>
      <c r="H24" s="40">
        <f t="shared" si="0"/>
        <v>55.65</v>
      </c>
      <c r="I24" s="41">
        <v>0</v>
      </c>
      <c r="J24" s="41">
        <v>1</v>
      </c>
      <c r="K24" s="41">
        <f t="shared" si="1"/>
        <v>0</v>
      </c>
      <c r="L24" s="85">
        <f t="shared" si="2"/>
        <v>55.65</v>
      </c>
      <c r="N24" s="86">
        <f t="shared" si="3"/>
        <v>0.66900000000000004</v>
      </c>
      <c r="P24" s="84">
        <f t="shared" si="4"/>
        <v>272419.83392716362</v>
      </c>
      <c r="Q24" s="87">
        <f t="shared" si="5"/>
        <v>4895.2351110002446</v>
      </c>
      <c r="S24" s="84">
        <v>247557.78017026361</v>
      </c>
      <c r="T24" s="87">
        <v>4448.4776310918887</v>
      </c>
      <c r="V24" s="88">
        <f t="shared" si="6"/>
        <v>0.10042929670721956</v>
      </c>
      <c r="X24" s="84">
        <v>10571.4</v>
      </c>
      <c r="Y24" s="87">
        <f t="shared" si="7"/>
        <v>261848.43392716363</v>
      </c>
      <c r="Z24" s="4"/>
    </row>
    <row r="25" spans="1:26" x14ac:dyDescent="0.25">
      <c r="B25" s="101" t="s">
        <v>52</v>
      </c>
      <c r="C25" s="97" t="s">
        <v>53</v>
      </c>
      <c r="D25" s="98"/>
      <c r="E25" s="99">
        <v>55.65</v>
      </c>
      <c r="F25" s="100">
        <v>1</v>
      </c>
      <c r="G25" s="39">
        <v>1</v>
      </c>
      <c r="H25" s="40">
        <f t="shared" si="0"/>
        <v>55.65</v>
      </c>
      <c r="I25" s="41">
        <v>0</v>
      </c>
      <c r="J25" s="41">
        <v>1</v>
      </c>
      <c r="K25" s="41">
        <f t="shared" si="1"/>
        <v>0</v>
      </c>
      <c r="L25" s="85">
        <f t="shared" si="2"/>
        <v>55.65</v>
      </c>
      <c r="M25" s="80"/>
      <c r="N25" s="86">
        <f t="shared" si="3"/>
        <v>0.66900000000000004</v>
      </c>
      <c r="O25" s="80"/>
      <c r="P25" s="84">
        <f t="shared" si="4"/>
        <v>272419.83392716362</v>
      </c>
      <c r="Q25" s="87">
        <f t="shared" si="5"/>
        <v>4895.2351110002446</v>
      </c>
      <c r="S25" s="84">
        <v>247557.78017026361</v>
      </c>
      <c r="T25" s="87">
        <v>4448.4776310918887</v>
      </c>
      <c r="V25" s="88">
        <f t="shared" si="6"/>
        <v>0.10042929670721956</v>
      </c>
      <c r="X25" s="84">
        <v>10571.4</v>
      </c>
      <c r="Y25" s="87">
        <f t="shared" si="7"/>
        <v>261848.43392716363</v>
      </c>
      <c r="Z25" s="4"/>
    </row>
    <row r="26" spans="1:26" x14ac:dyDescent="0.25">
      <c r="B26" s="101" t="s">
        <v>54</v>
      </c>
      <c r="C26" s="97" t="s">
        <v>55</v>
      </c>
      <c r="D26" s="98"/>
      <c r="E26" s="103">
        <f>44.85+43.5</f>
        <v>88.35</v>
      </c>
      <c r="F26" s="100">
        <v>1</v>
      </c>
      <c r="G26" s="39">
        <v>1</v>
      </c>
      <c r="H26" s="40">
        <f t="shared" si="0"/>
        <v>88.35</v>
      </c>
      <c r="I26" s="41">
        <v>0</v>
      </c>
      <c r="J26" s="41">
        <v>1</v>
      </c>
      <c r="K26" s="41">
        <f t="shared" si="1"/>
        <v>0</v>
      </c>
      <c r="L26" s="85">
        <f t="shared" si="2"/>
        <v>88.35</v>
      </c>
      <c r="N26" s="86">
        <f t="shared" si="3"/>
        <v>1.0621</v>
      </c>
      <c r="P26" s="84">
        <f t="shared" si="4"/>
        <v>432491.93664281094</v>
      </c>
      <c r="Q26" s="87">
        <f t="shared" si="5"/>
        <v>4895.2115069927668</v>
      </c>
      <c r="S26" s="84">
        <v>393021.10361560085</v>
      </c>
      <c r="T26" s="87">
        <v>4448.456181274486</v>
      </c>
      <c r="V26" s="88">
        <f t="shared" si="6"/>
        <v>0.10042929670721956</v>
      </c>
      <c r="X26" s="84">
        <v>16783.37</v>
      </c>
      <c r="Y26" s="87">
        <f t="shared" si="7"/>
        <v>415708.56664281094</v>
      </c>
      <c r="Z26" s="4"/>
    </row>
    <row r="27" spans="1:26" x14ac:dyDescent="0.25">
      <c r="B27" s="101" t="s">
        <v>211</v>
      </c>
      <c r="C27" s="97" t="s">
        <v>45</v>
      </c>
      <c r="D27" s="98"/>
      <c r="E27" s="103">
        <v>52.8</v>
      </c>
      <c r="F27" s="100">
        <v>1</v>
      </c>
      <c r="G27" s="39">
        <v>1</v>
      </c>
      <c r="H27" s="40">
        <f t="shared" si="0"/>
        <v>52.8</v>
      </c>
      <c r="I27" s="41">
        <v>0</v>
      </c>
      <c r="J27" s="41">
        <v>1</v>
      </c>
      <c r="K27" s="41">
        <v>0</v>
      </c>
      <c r="L27" s="85">
        <f t="shared" si="2"/>
        <v>52.8</v>
      </c>
      <c r="N27" s="86">
        <f t="shared" si="3"/>
        <v>0.63470000000000004</v>
      </c>
      <c r="P27" s="84">
        <f t="shared" si="4"/>
        <v>258452.71837604002</v>
      </c>
      <c r="Q27" s="87">
        <f t="shared" si="5"/>
        <v>4894.9378480310615</v>
      </c>
      <c r="S27" s="84">
        <v>234865.35586556996</v>
      </c>
      <c r="T27" s="87">
        <v>4448.2074974539764</v>
      </c>
      <c r="V27" s="88">
        <f t="shared" si="6"/>
        <v>0.10042929670721978</v>
      </c>
      <c r="X27" s="84">
        <v>16783.37</v>
      </c>
      <c r="Y27" s="87">
        <f t="shared" si="7"/>
        <v>241669.34837604003</v>
      </c>
      <c r="Z27" s="66"/>
    </row>
    <row r="28" spans="1:26" x14ac:dyDescent="0.25">
      <c r="B28" s="101" t="s">
        <v>212</v>
      </c>
      <c r="C28" s="97" t="s">
        <v>208</v>
      </c>
      <c r="D28" s="98"/>
      <c r="E28" s="103">
        <v>133.85</v>
      </c>
      <c r="F28" s="100">
        <v>1</v>
      </c>
      <c r="G28" s="39">
        <v>1</v>
      </c>
      <c r="H28" s="40">
        <f t="shared" si="0"/>
        <v>133.85</v>
      </c>
      <c r="I28" s="41">
        <v>0</v>
      </c>
      <c r="J28" s="41">
        <v>1</v>
      </c>
      <c r="K28" s="41">
        <f t="shared" si="1"/>
        <v>0</v>
      </c>
      <c r="L28" s="85">
        <f t="shared" si="2"/>
        <v>133.85</v>
      </c>
      <c r="M28" s="80"/>
      <c r="N28" s="86">
        <f t="shared" si="3"/>
        <v>1.609</v>
      </c>
      <c r="O28" s="80"/>
      <c r="P28" s="84">
        <f t="shared" si="4"/>
        <v>655192.09684425453</v>
      </c>
      <c r="Q28" s="87">
        <f t="shared" si="5"/>
        <v>4894.972707091928</v>
      </c>
      <c r="S28" s="84">
        <v>595396.81359335443</v>
      </c>
      <c r="T28" s="87">
        <v>4448.2391751464656</v>
      </c>
      <c r="V28" s="88">
        <f t="shared" si="6"/>
        <v>0.10042929670721956</v>
      </c>
      <c r="X28" s="84">
        <v>31563.96</v>
      </c>
      <c r="Y28" s="87">
        <f t="shared" si="7"/>
        <v>623628.13684425456</v>
      </c>
      <c r="Z28" s="4"/>
    </row>
    <row r="29" spans="1:26" x14ac:dyDescent="0.25">
      <c r="B29" s="101" t="s">
        <v>56</v>
      </c>
      <c r="C29" s="97" t="s">
        <v>57</v>
      </c>
      <c r="D29" s="98"/>
      <c r="E29" s="103">
        <v>232.05</v>
      </c>
      <c r="F29" s="100">
        <v>1</v>
      </c>
      <c r="G29" s="39">
        <v>1</v>
      </c>
      <c r="H29" s="40">
        <f t="shared" si="0"/>
        <v>232.05</v>
      </c>
      <c r="I29" s="41">
        <v>0</v>
      </c>
      <c r="J29" s="41">
        <v>1</v>
      </c>
      <c r="K29" s="41">
        <f t="shared" si="1"/>
        <v>0</v>
      </c>
      <c r="L29" s="85">
        <f t="shared" si="2"/>
        <v>232.05</v>
      </c>
      <c r="N29" s="86">
        <f t="shared" si="3"/>
        <v>2.7894999999999999</v>
      </c>
      <c r="P29" s="84">
        <f t="shared" si="4"/>
        <v>1135897.050433218</v>
      </c>
      <c r="Q29" s="87">
        <f t="shared" si="5"/>
        <v>4895.053007684628</v>
      </c>
      <c r="S29" s="84">
        <v>1032230.8337592679</v>
      </c>
      <c r="T29" s="87">
        <v>4448.3121472064977</v>
      </c>
      <c r="V29" s="88">
        <f t="shared" si="6"/>
        <v>0.10042929670721956</v>
      </c>
      <c r="X29" s="84">
        <v>44082.26</v>
      </c>
      <c r="Y29" s="87">
        <f t="shared" si="7"/>
        <v>1091814.790433218</v>
      </c>
      <c r="Z29" s="4"/>
    </row>
    <row r="30" spans="1:26" x14ac:dyDescent="0.25">
      <c r="B30" s="101" t="s">
        <v>58</v>
      </c>
      <c r="C30" s="97" t="s">
        <v>59</v>
      </c>
      <c r="D30" s="98"/>
      <c r="E30" s="103">
        <f>69.8+54.8</f>
        <v>124.6</v>
      </c>
      <c r="F30" s="100">
        <v>1</v>
      </c>
      <c r="G30" s="39">
        <v>1</v>
      </c>
      <c r="H30" s="40">
        <f t="shared" si="0"/>
        <v>124.6</v>
      </c>
      <c r="I30" s="41">
        <v>0</v>
      </c>
      <c r="J30" s="41">
        <v>1</v>
      </c>
      <c r="K30" s="41">
        <f t="shared" si="1"/>
        <v>0</v>
      </c>
      <c r="L30" s="85">
        <f t="shared" si="2"/>
        <v>124.6</v>
      </c>
      <c r="N30" s="86">
        <f t="shared" si="3"/>
        <v>1.4978</v>
      </c>
      <c r="P30" s="84">
        <f t="shared" si="4"/>
        <v>609910.95255023276</v>
      </c>
      <c r="Q30" s="87">
        <f t="shared" si="5"/>
        <v>4894.951465090151</v>
      </c>
      <c r="S30" s="84">
        <v>554248.19602245267</v>
      </c>
      <c r="T30" s="87">
        <v>4448.2198717692836</v>
      </c>
      <c r="V30" s="88">
        <f t="shared" si="6"/>
        <v>0.10042929670721956</v>
      </c>
      <c r="X30" s="84">
        <v>23670.79</v>
      </c>
      <c r="Y30" s="87">
        <f t="shared" si="7"/>
        <v>586240.16255023272</v>
      </c>
      <c r="Z30" s="4"/>
    </row>
    <row r="31" spans="1:26" x14ac:dyDescent="0.25">
      <c r="B31" s="96" t="s">
        <v>60</v>
      </c>
      <c r="C31" s="97" t="s">
        <v>61</v>
      </c>
      <c r="D31" s="98"/>
      <c r="E31" s="103">
        <v>89.65</v>
      </c>
      <c r="F31" s="100">
        <v>1</v>
      </c>
      <c r="G31" s="39">
        <v>1</v>
      </c>
      <c r="H31" s="40">
        <f t="shared" si="0"/>
        <v>89.65</v>
      </c>
      <c r="I31" s="41">
        <v>0</v>
      </c>
      <c r="J31" s="41">
        <v>1</v>
      </c>
      <c r="K31" s="41">
        <f t="shared" si="1"/>
        <v>0</v>
      </c>
      <c r="L31" s="85">
        <f t="shared" si="2"/>
        <v>89.65</v>
      </c>
      <c r="N31" s="86">
        <f t="shared" si="3"/>
        <v>1.0777000000000001</v>
      </c>
      <c r="P31" s="84">
        <f t="shared" si="4"/>
        <v>438844.32738909451</v>
      </c>
      <c r="Q31" s="87">
        <f t="shared" si="5"/>
        <v>4895.0845219084713</v>
      </c>
      <c r="S31" s="84">
        <v>398793.75140432449</v>
      </c>
      <c r="T31" s="87">
        <v>4448.3407853243107</v>
      </c>
      <c r="V31" s="88">
        <f t="shared" si="6"/>
        <v>0.10042929670721956</v>
      </c>
      <c r="X31" s="84">
        <v>17030.46</v>
      </c>
      <c r="Y31" s="87">
        <f t="shared" si="7"/>
        <v>421813.86738909449</v>
      </c>
      <c r="Z31" s="4"/>
    </row>
    <row r="32" spans="1:26" x14ac:dyDescent="0.25">
      <c r="B32" s="96" t="s">
        <v>62</v>
      </c>
      <c r="C32" s="97" t="s">
        <v>213</v>
      </c>
      <c r="D32" s="98"/>
      <c r="E32" s="103">
        <v>57.85</v>
      </c>
      <c r="F32" s="100">
        <v>1</v>
      </c>
      <c r="G32" s="39">
        <v>1</v>
      </c>
      <c r="H32" s="40">
        <f t="shared" si="0"/>
        <v>57.85</v>
      </c>
      <c r="I32" s="41">
        <v>0</v>
      </c>
      <c r="J32" s="41">
        <v>1</v>
      </c>
      <c r="K32" s="41">
        <f t="shared" si="1"/>
        <v>0</v>
      </c>
      <c r="L32" s="85">
        <f t="shared" si="2"/>
        <v>57.85</v>
      </c>
      <c r="N32" s="86">
        <f t="shared" si="3"/>
        <v>0.69540000000000002</v>
      </c>
      <c r="P32" s="84">
        <f t="shared" si="4"/>
        <v>283170.03365164361</v>
      </c>
      <c r="Q32" s="87">
        <f t="shared" si="5"/>
        <v>4894.9011867181262</v>
      </c>
      <c r="S32" s="84">
        <v>257326.8764281036</v>
      </c>
      <c r="T32" s="87">
        <v>4448.1741819896906</v>
      </c>
      <c r="V32" s="88">
        <f t="shared" si="6"/>
        <v>0.10042929670721934</v>
      </c>
      <c r="X32" s="84">
        <v>10989.83</v>
      </c>
      <c r="Y32" s="87">
        <f t="shared" si="7"/>
        <v>272180.20365164359</v>
      </c>
      <c r="Z32" s="4"/>
    </row>
    <row r="33" spans="2:26" x14ac:dyDescent="0.25">
      <c r="B33" s="101" t="s">
        <v>63</v>
      </c>
      <c r="C33" s="97" t="s">
        <v>125</v>
      </c>
      <c r="D33" s="98"/>
      <c r="E33" s="103">
        <v>51.5</v>
      </c>
      <c r="F33" s="100">
        <v>1</v>
      </c>
      <c r="G33" s="39">
        <v>1</v>
      </c>
      <c r="H33" s="40">
        <f t="shared" si="0"/>
        <v>51.5</v>
      </c>
      <c r="I33" s="41">
        <v>0</v>
      </c>
      <c r="J33" s="41">
        <v>1</v>
      </c>
      <c r="K33" s="41">
        <f t="shared" si="1"/>
        <v>0</v>
      </c>
      <c r="L33" s="85">
        <f t="shared" si="2"/>
        <v>51.5</v>
      </c>
      <c r="N33" s="86">
        <f t="shared" si="3"/>
        <v>0.61909999999999998</v>
      </c>
      <c r="P33" s="84">
        <f t="shared" si="4"/>
        <v>252100.32762975633</v>
      </c>
      <c r="Q33" s="87">
        <f t="shared" si="5"/>
        <v>4895.1519928108028</v>
      </c>
      <c r="S33" s="84">
        <v>229092.70807684629</v>
      </c>
      <c r="T33" s="87">
        <v>4448.4020985795396</v>
      </c>
      <c r="V33" s="88">
        <f t="shared" si="6"/>
        <v>0.10042929670721956</v>
      </c>
      <c r="X33" s="84">
        <v>9782.9500000000007</v>
      </c>
      <c r="Y33" s="87">
        <f t="shared" si="7"/>
        <v>242317.37762975632</v>
      </c>
      <c r="Z33" s="4"/>
    </row>
    <row r="34" spans="2:26" x14ac:dyDescent="0.25">
      <c r="B34" s="101" t="s">
        <v>64</v>
      </c>
      <c r="C34" s="104" t="s">
        <v>163</v>
      </c>
      <c r="D34" s="98"/>
      <c r="E34" s="103">
        <v>49.85</v>
      </c>
      <c r="F34" s="100">
        <v>1</v>
      </c>
      <c r="G34" s="39">
        <v>1</v>
      </c>
      <c r="H34" s="40">
        <f t="shared" si="0"/>
        <v>49.85</v>
      </c>
      <c r="I34" s="41">
        <v>0</v>
      </c>
      <c r="J34" s="41">
        <v>1</v>
      </c>
      <c r="K34" s="41">
        <f t="shared" si="1"/>
        <v>0</v>
      </c>
      <c r="L34" s="85">
        <f t="shared" si="2"/>
        <v>49.85</v>
      </c>
      <c r="N34" s="86">
        <f t="shared" si="3"/>
        <v>0.59930000000000005</v>
      </c>
      <c r="P34" s="84">
        <f t="shared" si="4"/>
        <v>244037.67783639635</v>
      </c>
      <c r="Q34" s="87">
        <f t="shared" si="5"/>
        <v>4895.439876356998</v>
      </c>
      <c r="S34" s="84">
        <v>221765.88588346634</v>
      </c>
      <c r="T34" s="87">
        <v>4448.6637087957142</v>
      </c>
      <c r="V34" s="88">
        <f t="shared" si="6"/>
        <v>0.10042929670721956</v>
      </c>
      <c r="X34" s="84">
        <v>9470.06</v>
      </c>
      <c r="Y34" s="87">
        <f t="shared" si="7"/>
        <v>234567.61783639636</v>
      </c>
      <c r="Z34" s="4"/>
    </row>
    <row r="35" spans="2:26" x14ac:dyDescent="0.25">
      <c r="B35" s="101" t="s">
        <v>65</v>
      </c>
      <c r="C35" s="104" t="s">
        <v>183</v>
      </c>
      <c r="D35" s="98"/>
      <c r="E35" s="103">
        <v>75.400000000000006</v>
      </c>
      <c r="F35" s="100">
        <v>1</v>
      </c>
      <c r="G35" s="39">
        <v>1</v>
      </c>
      <c r="H35" s="40">
        <f t="shared" si="0"/>
        <v>75.400000000000006</v>
      </c>
      <c r="I35" s="41">
        <v>0</v>
      </c>
      <c r="J35" s="41">
        <v>1</v>
      </c>
      <c r="K35" s="41">
        <f>ROUND(I35*J35,2)</f>
        <v>0</v>
      </c>
      <c r="L35" s="85">
        <f>H35+K35</f>
        <v>75.400000000000006</v>
      </c>
      <c r="N35" s="86">
        <f t="shared" si="3"/>
        <v>0.90639999999999998</v>
      </c>
      <c r="P35" s="84">
        <f t="shared" si="4"/>
        <v>369090.19054047996</v>
      </c>
      <c r="Q35" s="87">
        <f t="shared" si="5"/>
        <v>4895.0953652583548</v>
      </c>
      <c r="S35" s="84">
        <v>335405.63818583993</v>
      </c>
      <c r="T35" s="87">
        <v>4448.3506390694947</v>
      </c>
      <c r="V35" s="88">
        <f t="shared" si="6"/>
        <v>0.10042929670721956</v>
      </c>
      <c r="X35" s="84">
        <v>14322.66</v>
      </c>
      <c r="Y35" s="87">
        <f t="shared" si="7"/>
        <v>354767.53054047999</v>
      </c>
      <c r="Z35" s="4"/>
    </row>
    <row r="36" spans="2:26" x14ac:dyDescent="0.25">
      <c r="B36" s="101" t="s">
        <v>66</v>
      </c>
      <c r="C36" s="104" t="s">
        <v>126</v>
      </c>
      <c r="D36" s="98"/>
      <c r="E36" s="103">
        <v>45.15</v>
      </c>
      <c r="F36" s="100">
        <v>1</v>
      </c>
      <c r="G36" s="39">
        <v>1</v>
      </c>
      <c r="H36" s="40">
        <f t="shared" si="0"/>
        <v>45.15</v>
      </c>
      <c r="I36" s="41">
        <v>0</v>
      </c>
      <c r="J36" s="41">
        <v>1</v>
      </c>
      <c r="K36" s="41">
        <f t="shared" si="1"/>
        <v>0</v>
      </c>
      <c r="L36" s="85">
        <f t="shared" si="2"/>
        <v>45.15</v>
      </c>
      <c r="N36" s="86">
        <f t="shared" si="3"/>
        <v>0.54279999999999995</v>
      </c>
      <c r="P36" s="84">
        <f t="shared" si="4"/>
        <v>221030.62160786905</v>
      </c>
      <c r="Q36" s="87">
        <f t="shared" si="5"/>
        <v>4895.4733467966571</v>
      </c>
      <c r="S36" s="84">
        <v>200858.53972558904</v>
      </c>
      <c r="T36" s="87">
        <v>4448.6941245977641</v>
      </c>
      <c r="V36" s="88">
        <f t="shared" si="6"/>
        <v>0.10042929670721934</v>
      </c>
      <c r="X36" s="84">
        <v>8577.31</v>
      </c>
      <c r="Y36" s="87">
        <f t="shared" si="7"/>
        <v>212453.31160786905</v>
      </c>
      <c r="Z36" s="4"/>
    </row>
    <row r="37" spans="2:26" x14ac:dyDescent="0.25">
      <c r="B37" s="96" t="s">
        <v>68</v>
      </c>
      <c r="C37" s="97" t="s">
        <v>224</v>
      </c>
      <c r="D37" s="98"/>
      <c r="E37" s="103">
        <v>43.85</v>
      </c>
      <c r="F37" s="100">
        <v>1</v>
      </c>
      <c r="G37" s="39">
        <v>1</v>
      </c>
      <c r="H37" s="40">
        <f t="shared" si="0"/>
        <v>43.85</v>
      </c>
      <c r="I37" s="41">
        <v>0</v>
      </c>
      <c r="J37" s="41">
        <v>1</v>
      </c>
      <c r="K37" s="41">
        <f t="shared" si="1"/>
        <v>0</v>
      </c>
      <c r="L37" s="85">
        <f t="shared" si="2"/>
        <v>43.85</v>
      </c>
      <c r="N37" s="86">
        <f t="shared" si="3"/>
        <v>0.52710000000000001</v>
      </c>
      <c r="P37" s="84">
        <f t="shared" si="4"/>
        <v>214637.51040808365</v>
      </c>
      <c r="Q37" s="87">
        <f t="shared" si="5"/>
        <v>4894.8120959654198</v>
      </c>
      <c r="S37" s="84">
        <v>195048.8877843736</v>
      </c>
      <c r="T37" s="87">
        <v>4448.0932219925562</v>
      </c>
      <c r="V37" s="88">
        <f t="shared" si="6"/>
        <v>0.10042929670721956</v>
      </c>
      <c r="X37" s="84">
        <v>8330.2199999999993</v>
      </c>
      <c r="Y37" s="87">
        <f t="shared" si="7"/>
        <v>206307.29040808365</v>
      </c>
      <c r="Z37" s="4"/>
    </row>
    <row r="38" spans="2:26" x14ac:dyDescent="0.25">
      <c r="B38" s="101" t="s">
        <v>69</v>
      </c>
      <c r="C38" s="97" t="s">
        <v>225</v>
      </c>
      <c r="D38" s="98"/>
      <c r="E38" s="103">
        <v>55.4</v>
      </c>
      <c r="F38" s="100">
        <v>1</v>
      </c>
      <c r="G38" s="39">
        <v>1</v>
      </c>
      <c r="H38" s="40">
        <f t="shared" si="0"/>
        <v>55.4</v>
      </c>
      <c r="I38" s="41">
        <v>0</v>
      </c>
      <c r="J38" s="41">
        <v>1</v>
      </c>
      <c r="K38" s="41">
        <f t="shared" si="1"/>
        <v>0</v>
      </c>
      <c r="L38" s="85">
        <f t="shared" si="2"/>
        <v>55.4</v>
      </c>
      <c r="N38" s="86">
        <f t="shared" si="3"/>
        <v>0.66600000000000004</v>
      </c>
      <c r="P38" s="84">
        <f t="shared" si="4"/>
        <v>271198.22032210906</v>
      </c>
      <c r="Q38" s="87">
        <f t="shared" si="5"/>
        <v>4895.2747350561203</v>
      </c>
      <c r="S38" s="84">
        <v>246447.65559550907</v>
      </c>
      <c r="T38" s="87">
        <v>4448.5136389081063</v>
      </c>
      <c r="V38" s="88">
        <f t="shared" si="6"/>
        <v>0.10042929670721934</v>
      </c>
      <c r="X38" s="84">
        <v>10524.22</v>
      </c>
      <c r="Y38" s="87">
        <f t="shared" si="7"/>
        <v>260674.00032210906</v>
      </c>
      <c r="Z38" s="4"/>
    </row>
    <row r="39" spans="2:26" x14ac:dyDescent="0.25">
      <c r="B39" s="189" t="s">
        <v>70</v>
      </c>
      <c r="C39" s="79" t="s">
        <v>245</v>
      </c>
      <c r="D39" s="80"/>
      <c r="E39" s="81">
        <v>135.75</v>
      </c>
      <c r="F39" s="82">
        <v>1</v>
      </c>
      <c r="G39" s="166">
        <v>1</v>
      </c>
      <c r="H39" s="167">
        <f t="shared" si="0"/>
        <v>135.75</v>
      </c>
      <c r="I39" s="82">
        <v>0</v>
      </c>
      <c r="J39" s="82">
        <v>1</v>
      </c>
      <c r="K39" s="82">
        <f t="shared" si="1"/>
        <v>0</v>
      </c>
      <c r="L39" s="168">
        <f t="shared" si="2"/>
        <v>135.75</v>
      </c>
      <c r="M39" s="80"/>
      <c r="N39" s="190">
        <f t="shared" si="3"/>
        <v>1.6318999999999999</v>
      </c>
      <c r="O39" s="80"/>
      <c r="P39" s="169">
        <f t="shared" si="4"/>
        <v>664517.0806961708</v>
      </c>
      <c r="Q39" s="87">
        <f t="shared" si="5"/>
        <v>4895.1534489589012</v>
      </c>
      <c r="S39" s="169">
        <v>603870.76451398071</v>
      </c>
      <c r="T39" s="87">
        <v>4448.4034218341121</v>
      </c>
      <c r="V39" s="88">
        <f t="shared" si="6"/>
        <v>0.10042929670721956</v>
      </c>
      <c r="X39" s="84">
        <v>21922.55</v>
      </c>
      <c r="Y39" s="87">
        <f t="shared" si="7"/>
        <v>642594.53069617075</v>
      </c>
      <c r="Z39" s="4"/>
    </row>
    <row r="40" spans="2:26" x14ac:dyDescent="0.25">
      <c r="B40" s="189" t="s">
        <v>72</v>
      </c>
      <c r="C40" s="79" t="s">
        <v>245</v>
      </c>
      <c r="D40" s="80"/>
      <c r="E40" s="81">
        <v>21.6</v>
      </c>
      <c r="F40" s="82">
        <v>1</v>
      </c>
      <c r="G40" s="166">
        <v>1</v>
      </c>
      <c r="H40" s="167">
        <f t="shared" si="0"/>
        <v>21.6</v>
      </c>
      <c r="I40" s="82">
        <v>0</v>
      </c>
      <c r="J40" s="82">
        <v>1</v>
      </c>
      <c r="K40" s="82">
        <f t="shared" si="1"/>
        <v>0</v>
      </c>
      <c r="L40" s="168">
        <f t="shared" si="2"/>
        <v>21.6</v>
      </c>
      <c r="M40" s="80"/>
      <c r="N40" s="190">
        <f t="shared" si="3"/>
        <v>0.25969999999999999</v>
      </c>
      <c r="O40" s="80"/>
      <c r="P40" s="169">
        <f t="shared" si="4"/>
        <v>105751.0177442218</v>
      </c>
      <c r="Q40" s="87">
        <f t="shared" si="5"/>
        <v>4895.8804511213793</v>
      </c>
      <c r="S40" s="169">
        <v>96099.784021251791</v>
      </c>
      <c r="T40" s="87">
        <v>4449.0640750579532</v>
      </c>
      <c r="V40" s="88">
        <f t="shared" si="6"/>
        <v>0.10042929670721956</v>
      </c>
      <c r="X40" s="84">
        <v>21922.55</v>
      </c>
      <c r="Y40" s="87">
        <f t="shared" si="7"/>
        <v>83828.467744221794</v>
      </c>
      <c r="Z40" s="4"/>
    </row>
    <row r="41" spans="2:26" x14ac:dyDescent="0.25">
      <c r="B41" s="189" t="s">
        <v>214</v>
      </c>
      <c r="C41" s="79" t="s">
        <v>200</v>
      </c>
      <c r="D41" s="80"/>
      <c r="E41" s="81">
        <v>70</v>
      </c>
      <c r="F41" s="82">
        <v>1</v>
      </c>
      <c r="G41" s="166">
        <v>1</v>
      </c>
      <c r="H41" s="167">
        <f t="shared" si="0"/>
        <v>70</v>
      </c>
      <c r="I41" s="82">
        <v>0</v>
      </c>
      <c r="J41" s="82">
        <v>1</v>
      </c>
      <c r="K41" s="82">
        <f t="shared" si="1"/>
        <v>0</v>
      </c>
      <c r="L41" s="168">
        <f t="shared" si="2"/>
        <v>70</v>
      </c>
      <c r="M41" s="80"/>
      <c r="N41" s="190">
        <f t="shared" si="3"/>
        <v>0.84150000000000003</v>
      </c>
      <c r="O41" s="80"/>
      <c r="P41" s="169">
        <f t="shared" si="4"/>
        <v>342662.61621780001</v>
      </c>
      <c r="Q41" s="87">
        <f t="shared" si="5"/>
        <v>4895.1802316828571</v>
      </c>
      <c r="S41" s="169">
        <v>311389.94321864995</v>
      </c>
      <c r="T41" s="87">
        <v>4448.4277602664279</v>
      </c>
      <c r="V41" s="88">
        <f t="shared" si="6"/>
        <v>0.10042929670721956</v>
      </c>
      <c r="X41" s="84">
        <v>8377.4</v>
      </c>
      <c r="Y41" s="87">
        <f t="shared" si="7"/>
        <v>334285.21621779999</v>
      </c>
      <c r="Z41" s="4"/>
    </row>
    <row r="42" spans="2:26" x14ac:dyDescent="0.25">
      <c r="B42" s="96" t="s">
        <v>215</v>
      </c>
      <c r="C42" s="104" t="s">
        <v>179</v>
      </c>
      <c r="D42" s="98"/>
      <c r="E42" s="103">
        <v>74.25</v>
      </c>
      <c r="F42" s="100">
        <v>1</v>
      </c>
      <c r="G42" s="39">
        <v>1</v>
      </c>
      <c r="H42" s="40">
        <f t="shared" si="0"/>
        <v>74.25</v>
      </c>
      <c r="I42" s="41">
        <v>0</v>
      </c>
      <c r="J42" s="41">
        <v>1</v>
      </c>
      <c r="K42" s="41">
        <f t="shared" si="1"/>
        <v>0</v>
      </c>
      <c r="L42" s="85">
        <f t="shared" si="2"/>
        <v>74.25</v>
      </c>
      <c r="N42" s="86">
        <f t="shared" si="3"/>
        <v>0.89259999999999995</v>
      </c>
      <c r="P42" s="84">
        <f t="shared" si="4"/>
        <v>363470.76795722899</v>
      </c>
      <c r="Q42" s="87">
        <f t="shared" si="5"/>
        <v>4895.2291980771579</v>
      </c>
      <c r="S42" s="84">
        <v>330299.06514196901</v>
      </c>
      <c r="T42" s="87">
        <v>4448.4722578042965</v>
      </c>
      <c r="V42" s="88">
        <f t="shared" si="6"/>
        <v>0.10042929670721934</v>
      </c>
      <c r="X42" s="84">
        <v>25456.28</v>
      </c>
      <c r="Y42" s="87">
        <f t="shared" si="7"/>
        <v>338014.48795722902</v>
      </c>
      <c r="Z42" s="4"/>
    </row>
    <row r="43" spans="2:26" x14ac:dyDescent="0.25">
      <c r="B43" s="118" t="s">
        <v>73</v>
      </c>
      <c r="C43" s="117" t="s">
        <v>195</v>
      </c>
      <c r="D43" s="94"/>
      <c r="E43" s="115">
        <v>506.75</v>
      </c>
      <c r="F43" s="115">
        <v>0.75</v>
      </c>
      <c r="G43" s="39">
        <v>1</v>
      </c>
      <c r="H43" s="40">
        <f t="shared" si="0"/>
        <v>380.06</v>
      </c>
      <c r="I43" s="41">
        <v>0</v>
      </c>
      <c r="J43" s="41">
        <v>1</v>
      </c>
      <c r="K43" s="41">
        <f t="shared" si="1"/>
        <v>0</v>
      </c>
      <c r="L43" s="85">
        <f t="shared" si="2"/>
        <v>380.06</v>
      </c>
      <c r="N43" s="86">
        <f t="shared" si="3"/>
        <v>4.5686999999999998</v>
      </c>
      <c r="P43" s="84">
        <f t="shared" si="4"/>
        <v>1860395.359137567</v>
      </c>
      <c r="Q43" s="87">
        <f t="shared" si="5"/>
        <v>3671.2291250864669</v>
      </c>
      <c r="S43" s="84">
        <v>1690608.7148936968</v>
      </c>
      <c r="T43" s="87">
        <v>3336.179013110403</v>
      </c>
      <c r="V43" s="88">
        <f t="shared" si="6"/>
        <v>0.10042929670721956</v>
      </c>
      <c r="X43" s="84">
        <v>78940.31</v>
      </c>
      <c r="Y43" s="87">
        <f t="shared" si="7"/>
        <v>1781455.0491375669</v>
      </c>
      <c r="Z43" s="4"/>
    </row>
    <row r="44" spans="2:26" x14ac:dyDescent="0.25">
      <c r="B44" s="116" t="s">
        <v>74</v>
      </c>
      <c r="C44" s="117" t="s">
        <v>231</v>
      </c>
      <c r="D44" s="94"/>
      <c r="E44" s="115">
        <f>244</f>
        <v>244</v>
      </c>
      <c r="F44" s="111">
        <v>1</v>
      </c>
      <c r="G44" s="39">
        <v>1</v>
      </c>
      <c r="H44" s="40">
        <f t="shared" si="0"/>
        <v>244</v>
      </c>
      <c r="I44" s="41">
        <v>0</v>
      </c>
      <c r="J44" s="41">
        <v>1</v>
      </c>
      <c r="K44" s="41">
        <f t="shared" si="1"/>
        <v>0</v>
      </c>
      <c r="L44" s="85">
        <f t="shared" si="2"/>
        <v>244</v>
      </c>
      <c r="N44" s="86">
        <f t="shared" si="3"/>
        <v>2.9331999999999998</v>
      </c>
      <c r="P44" s="84">
        <f t="shared" si="4"/>
        <v>1194412.3421153307</v>
      </c>
      <c r="Q44" s="87">
        <f t="shared" si="5"/>
        <v>4895.1325496529953</v>
      </c>
      <c r="S44" s="84">
        <v>1085405.8008900105</v>
      </c>
      <c r="T44" s="87">
        <v>4448.3844298770928</v>
      </c>
      <c r="V44" s="88">
        <f t="shared" si="6"/>
        <v>0.10042929670721956</v>
      </c>
      <c r="X44" s="84">
        <v>23936.51</v>
      </c>
      <c r="Y44" s="87">
        <f t="shared" si="7"/>
        <v>1170475.8321153307</v>
      </c>
      <c r="Z44" s="4"/>
    </row>
    <row r="45" spans="2:26" x14ac:dyDescent="0.25">
      <c r="B45" s="116" t="s">
        <v>75</v>
      </c>
      <c r="C45" s="117" t="s">
        <v>76</v>
      </c>
      <c r="D45" s="94"/>
      <c r="E45" s="115">
        <f>221.7-69.3</f>
        <v>152.39999999999998</v>
      </c>
      <c r="F45" s="111">
        <v>0.75</v>
      </c>
      <c r="G45" s="39">
        <v>1</v>
      </c>
      <c r="H45" s="40">
        <f t="shared" si="0"/>
        <v>114.3</v>
      </c>
      <c r="I45" s="41">
        <v>0</v>
      </c>
      <c r="J45" s="41">
        <v>1</v>
      </c>
      <c r="K45" s="41">
        <f t="shared" si="1"/>
        <v>0</v>
      </c>
      <c r="L45" s="85">
        <f t="shared" si="2"/>
        <v>114.3</v>
      </c>
      <c r="N45" s="86">
        <f t="shared" si="3"/>
        <v>1.3740000000000001</v>
      </c>
      <c r="P45" s="84">
        <f t="shared" si="4"/>
        <v>559499.03111498186</v>
      </c>
      <c r="Q45" s="87">
        <f t="shared" si="5"/>
        <v>3671.253485006443</v>
      </c>
      <c r="S45" s="84">
        <v>508437.05523758172</v>
      </c>
      <c r="T45" s="87">
        <v>3336.2011498528991</v>
      </c>
      <c r="V45" s="88">
        <f t="shared" si="6"/>
        <v>0.10042929670721978</v>
      </c>
      <c r="X45" s="84">
        <v>31587.55</v>
      </c>
      <c r="Y45" s="87">
        <f t="shared" si="7"/>
        <v>527911.48111498181</v>
      </c>
      <c r="Z45" s="4"/>
    </row>
    <row r="46" spans="2:26" x14ac:dyDescent="0.25">
      <c r="B46" s="116" t="s">
        <v>75</v>
      </c>
      <c r="C46" s="117" t="s">
        <v>190</v>
      </c>
      <c r="D46" s="94"/>
      <c r="E46" s="115">
        <v>69.3</v>
      </c>
      <c r="F46" s="111">
        <v>0</v>
      </c>
      <c r="G46" s="39">
        <v>0</v>
      </c>
      <c r="H46" s="40">
        <f t="shared" si="0"/>
        <v>0</v>
      </c>
      <c r="I46" s="41">
        <v>0</v>
      </c>
      <c r="J46" s="41">
        <v>1</v>
      </c>
      <c r="K46" s="41">
        <f t="shared" si="1"/>
        <v>0</v>
      </c>
      <c r="L46" s="85">
        <f t="shared" si="2"/>
        <v>0</v>
      </c>
      <c r="N46" s="86">
        <f t="shared" si="3"/>
        <v>0</v>
      </c>
      <c r="P46" s="84">
        <f t="shared" si="4"/>
        <v>0</v>
      </c>
      <c r="Q46" s="87">
        <f t="shared" si="5"/>
        <v>0</v>
      </c>
      <c r="S46" s="84">
        <v>0</v>
      </c>
      <c r="T46" s="87">
        <v>0</v>
      </c>
      <c r="V46" s="88" t="e">
        <f t="shared" si="6"/>
        <v>#DIV/0!</v>
      </c>
      <c r="X46" s="84">
        <v>0</v>
      </c>
      <c r="Y46" s="87">
        <f t="shared" si="7"/>
        <v>0</v>
      </c>
      <c r="Z46" s="4"/>
    </row>
    <row r="47" spans="2:26" x14ac:dyDescent="0.25">
      <c r="B47" s="116" t="s">
        <v>77</v>
      </c>
      <c r="C47" s="117" t="s">
        <v>78</v>
      </c>
      <c r="D47" s="94"/>
      <c r="E47" s="115">
        <f>109.55-35.65</f>
        <v>73.900000000000006</v>
      </c>
      <c r="F47" s="111">
        <v>0.75</v>
      </c>
      <c r="G47" s="39">
        <v>1</v>
      </c>
      <c r="H47" s="40">
        <f t="shared" si="0"/>
        <v>55.43</v>
      </c>
      <c r="I47" s="41">
        <v>0</v>
      </c>
      <c r="J47" s="41">
        <v>1</v>
      </c>
      <c r="K47" s="41">
        <f t="shared" si="1"/>
        <v>0</v>
      </c>
      <c r="L47" s="85">
        <f t="shared" si="2"/>
        <v>55.43</v>
      </c>
      <c r="N47" s="86">
        <f t="shared" si="3"/>
        <v>0.6663</v>
      </c>
      <c r="P47" s="84">
        <f t="shared" si="4"/>
        <v>271320.38168261456</v>
      </c>
      <c r="Q47" s="87">
        <f t="shared" si="5"/>
        <v>3671.4530674237421</v>
      </c>
      <c r="S47" s="84">
        <v>246558.66805298452</v>
      </c>
      <c r="T47" s="87">
        <v>3336.3825176317255</v>
      </c>
      <c r="V47" s="88">
        <f t="shared" si="6"/>
        <v>0.10042929670721956</v>
      </c>
      <c r="X47" s="84">
        <v>15607.53</v>
      </c>
      <c r="Y47" s="87">
        <f t="shared" si="7"/>
        <v>255712.85168261456</v>
      </c>
      <c r="Z47" s="4"/>
    </row>
    <row r="48" spans="2:26" x14ac:dyDescent="0.25">
      <c r="B48" s="116" t="s">
        <v>79</v>
      </c>
      <c r="C48" s="117" t="s">
        <v>209</v>
      </c>
      <c r="D48" s="94"/>
      <c r="E48" s="115">
        <f>219.1+35.65-106.95</f>
        <v>147.80000000000001</v>
      </c>
      <c r="F48" s="111">
        <v>0.75</v>
      </c>
      <c r="G48" s="39">
        <v>1</v>
      </c>
      <c r="H48" s="40">
        <f t="shared" si="0"/>
        <v>110.85</v>
      </c>
      <c r="I48" s="41">
        <v>0</v>
      </c>
      <c r="J48" s="41">
        <v>1</v>
      </c>
      <c r="K48" s="41">
        <f t="shared" si="1"/>
        <v>0</v>
      </c>
      <c r="L48" s="85">
        <f t="shared" si="2"/>
        <v>110.85</v>
      </c>
      <c r="N48" s="86">
        <f t="shared" si="3"/>
        <v>1.3325</v>
      </c>
      <c r="P48" s="84">
        <f t="shared" si="4"/>
        <v>542600.04291172733</v>
      </c>
      <c r="Q48" s="87">
        <f t="shared" si="5"/>
        <v>3671.1775569129045</v>
      </c>
      <c r="S48" s="84">
        <v>493080.33195347717</v>
      </c>
      <c r="T48" s="87">
        <v>3336.1321512413879</v>
      </c>
      <c r="V48" s="88">
        <f t="shared" si="6"/>
        <v>0.10042929670721978</v>
      </c>
      <c r="X48" s="84">
        <v>31217.54</v>
      </c>
      <c r="Y48" s="87">
        <f t="shared" si="7"/>
        <v>511382.50291172735</v>
      </c>
      <c r="Z48" s="66"/>
    </row>
    <row r="49" spans="2:26" x14ac:dyDescent="0.25">
      <c r="B49" s="116" t="s">
        <v>79</v>
      </c>
      <c r="C49" s="117" t="s">
        <v>209</v>
      </c>
      <c r="D49" s="94"/>
      <c r="E49" s="115">
        <v>106.95</v>
      </c>
      <c r="F49" s="111">
        <v>0</v>
      </c>
      <c r="G49" s="39">
        <v>1</v>
      </c>
      <c r="H49" s="40">
        <f t="shared" si="0"/>
        <v>0</v>
      </c>
      <c r="I49" s="41">
        <v>0</v>
      </c>
      <c r="J49" s="41">
        <v>1</v>
      </c>
      <c r="K49" s="41">
        <f t="shared" si="1"/>
        <v>0</v>
      </c>
      <c r="L49" s="85">
        <f t="shared" si="2"/>
        <v>0</v>
      </c>
      <c r="N49" s="86">
        <f t="shared" si="3"/>
        <v>0</v>
      </c>
      <c r="P49" s="84">
        <f t="shared" si="4"/>
        <v>0</v>
      </c>
      <c r="Q49" s="87">
        <f t="shared" si="5"/>
        <v>0</v>
      </c>
      <c r="S49" s="84">
        <v>0</v>
      </c>
      <c r="T49" s="87">
        <v>0</v>
      </c>
      <c r="V49" s="88" t="e">
        <f t="shared" si="6"/>
        <v>#DIV/0!</v>
      </c>
      <c r="X49" s="84"/>
      <c r="Y49" s="87"/>
      <c r="Z49" s="66"/>
    </row>
    <row r="50" spans="2:26" x14ac:dyDescent="0.25">
      <c r="B50" s="116" t="s">
        <v>80</v>
      </c>
      <c r="C50" s="117" t="s">
        <v>210</v>
      </c>
      <c r="D50" s="94"/>
      <c r="E50" s="115">
        <f>219.1-71.3</f>
        <v>147.80000000000001</v>
      </c>
      <c r="F50" s="111">
        <v>0.75</v>
      </c>
      <c r="G50" s="39">
        <v>1</v>
      </c>
      <c r="H50" s="40">
        <f t="shared" si="0"/>
        <v>110.85</v>
      </c>
      <c r="I50" s="41">
        <v>0</v>
      </c>
      <c r="J50" s="41">
        <v>1</v>
      </c>
      <c r="K50" s="41">
        <f t="shared" si="1"/>
        <v>0</v>
      </c>
      <c r="L50" s="85">
        <f t="shared" si="2"/>
        <v>110.85</v>
      </c>
      <c r="N50" s="86">
        <f t="shared" si="3"/>
        <v>1.3325</v>
      </c>
      <c r="P50" s="84">
        <f t="shared" si="4"/>
        <v>542600.04291172733</v>
      </c>
      <c r="Q50" s="87">
        <f t="shared" si="5"/>
        <v>3671.1775569129045</v>
      </c>
      <c r="S50" s="84">
        <v>493080.33195347717</v>
      </c>
      <c r="T50" s="87">
        <v>3336.1321512413879</v>
      </c>
      <c r="V50" s="88">
        <f t="shared" si="6"/>
        <v>0.10042929670721978</v>
      </c>
      <c r="X50" s="84">
        <v>31217.54</v>
      </c>
      <c r="Y50" s="87">
        <f t="shared" ref="Y50:Y89" si="8">+P50-X50</f>
        <v>511382.50291172735</v>
      </c>
      <c r="Z50" s="4"/>
    </row>
    <row r="51" spans="2:26" x14ac:dyDescent="0.25">
      <c r="B51" s="116" t="s">
        <v>80</v>
      </c>
      <c r="C51" s="117" t="s">
        <v>210</v>
      </c>
      <c r="D51" s="94"/>
      <c r="E51" s="115">
        <v>71.3</v>
      </c>
      <c r="F51" s="111">
        <v>0</v>
      </c>
      <c r="G51" s="39">
        <v>0</v>
      </c>
      <c r="H51" s="40">
        <f t="shared" si="0"/>
        <v>0</v>
      </c>
      <c r="I51" s="41">
        <v>0</v>
      </c>
      <c r="J51" s="41">
        <v>1</v>
      </c>
      <c r="K51" s="41">
        <f t="shared" si="1"/>
        <v>0</v>
      </c>
      <c r="L51" s="85">
        <f t="shared" si="2"/>
        <v>0</v>
      </c>
      <c r="N51" s="86">
        <f t="shared" si="3"/>
        <v>0</v>
      </c>
      <c r="P51" s="84">
        <f t="shared" si="4"/>
        <v>0</v>
      </c>
      <c r="Q51" s="87">
        <f t="shared" si="5"/>
        <v>0</v>
      </c>
      <c r="S51" s="84">
        <v>0</v>
      </c>
      <c r="T51" s="87">
        <v>0</v>
      </c>
      <c r="V51" s="88"/>
      <c r="X51" s="84"/>
      <c r="Y51" s="87"/>
      <c r="Z51" s="4"/>
    </row>
    <row r="52" spans="2:26" x14ac:dyDescent="0.25">
      <c r="B52" s="116" t="s">
        <v>81</v>
      </c>
      <c r="C52" s="117" t="s">
        <v>82</v>
      </c>
      <c r="D52" s="94"/>
      <c r="E52" s="115">
        <f>168.85-50.65</f>
        <v>118.19999999999999</v>
      </c>
      <c r="F52" s="111">
        <v>0.75</v>
      </c>
      <c r="G52" s="39">
        <v>1</v>
      </c>
      <c r="H52" s="40">
        <f t="shared" si="0"/>
        <v>88.65</v>
      </c>
      <c r="I52" s="41">
        <v>0</v>
      </c>
      <c r="J52" s="41">
        <v>1</v>
      </c>
      <c r="K52" s="41">
        <f t="shared" si="1"/>
        <v>0</v>
      </c>
      <c r="L52" s="85">
        <f t="shared" si="2"/>
        <v>88.65</v>
      </c>
      <c r="N52" s="86">
        <f t="shared" si="3"/>
        <v>1.0657000000000001</v>
      </c>
      <c r="P52" s="84">
        <f t="shared" si="4"/>
        <v>433957.87296887639</v>
      </c>
      <c r="Q52" s="87">
        <f t="shared" si="5"/>
        <v>3671.3864041360102</v>
      </c>
      <c r="S52" s="84">
        <v>394353.2531053063</v>
      </c>
      <c r="T52" s="87">
        <v>3336.3219382851635</v>
      </c>
      <c r="V52" s="88">
        <f t="shared" si="6"/>
        <v>0.10042929670721956</v>
      </c>
      <c r="X52" s="84">
        <v>23972.51</v>
      </c>
      <c r="Y52" s="87">
        <f t="shared" si="8"/>
        <v>409985.36296887638</v>
      </c>
      <c r="Z52" s="4"/>
    </row>
    <row r="53" spans="2:26" x14ac:dyDescent="0.25">
      <c r="B53" s="116" t="s">
        <v>81</v>
      </c>
      <c r="C53" s="117" t="s">
        <v>192</v>
      </c>
      <c r="D53" s="94"/>
      <c r="E53" s="115">
        <v>50.65</v>
      </c>
      <c r="F53" s="111">
        <v>0</v>
      </c>
      <c r="G53" s="39">
        <v>0</v>
      </c>
      <c r="H53" s="40">
        <f t="shared" si="0"/>
        <v>0</v>
      </c>
      <c r="I53" s="41">
        <v>0</v>
      </c>
      <c r="J53" s="41">
        <v>1</v>
      </c>
      <c r="K53" s="41">
        <f t="shared" si="1"/>
        <v>0</v>
      </c>
      <c r="L53" s="85">
        <f t="shared" si="2"/>
        <v>0</v>
      </c>
      <c r="N53" s="86">
        <f t="shared" si="3"/>
        <v>0</v>
      </c>
      <c r="P53" s="84">
        <f t="shared" si="4"/>
        <v>0</v>
      </c>
      <c r="Q53" s="87">
        <f t="shared" si="5"/>
        <v>0</v>
      </c>
      <c r="S53" s="84">
        <v>0</v>
      </c>
      <c r="T53" s="87">
        <v>0</v>
      </c>
      <c r="V53" s="88"/>
      <c r="X53" s="84"/>
      <c r="Y53" s="87"/>
      <c r="Z53" s="4"/>
    </row>
    <row r="54" spans="2:26" x14ac:dyDescent="0.25">
      <c r="B54" s="116" t="s">
        <v>83</v>
      </c>
      <c r="C54" s="117" t="s">
        <v>171</v>
      </c>
      <c r="D54" s="94"/>
      <c r="E54" s="115">
        <f>149.55-11.9</f>
        <v>137.65</v>
      </c>
      <c r="F54" s="111">
        <v>0.75</v>
      </c>
      <c r="G54" s="39">
        <v>1</v>
      </c>
      <c r="H54" s="40">
        <f t="shared" si="0"/>
        <v>103.24</v>
      </c>
      <c r="I54" s="41">
        <v>0</v>
      </c>
      <c r="J54" s="41">
        <v>1</v>
      </c>
      <c r="K54" s="41">
        <f t="shared" si="1"/>
        <v>0</v>
      </c>
      <c r="L54" s="85">
        <f t="shared" si="2"/>
        <v>103.24</v>
      </c>
      <c r="N54" s="86">
        <f t="shared" si="3"/>
        <v>1.2411000000000001</v>
      </c>
      <c r="P54" s="84">
        <f t="shared" si="4"/>
        <v>505381.54841106548</v>
      </c>
      <c r="Q54" s="87">
        <f t="shared" si="5"/>
        <v>3671.4969009158408</v>
      </c>
      <c r="S54" s="84">
        <v>459258.5365759554</v>
      </c>
      <c r="T54" s="87">
        <v>3336.4223507152587</v>
      </c>
      <c r="V54" s="88">
        <f t="shared" si="6"/>
        <v>0.10042929670721956</v>
      </c>
      <c r="X54" s="84">
        <v>21306.69</v>
      </c>
      <c r="Y54" s="87">
        <f t="shared" si="8"/>
        <v>484074.85841106548</v>
      </c>
      <c r="Z54" s="4"/>
    </row>
    <row r="55" spans="2:26" x14ac:dyDescent="0.25">
      <c r="B55" s="116" t="s">
        <v>83</v>
      </c>
      <c r="C55" s="117" t="s">
        <v>193</v>
      </c>
      <c r="D55" s="94"/>
      <c r="E55" s="115">
        <v>11.9</v>
      </c>
      <c r="F55" s="111">
        <v>0</v>
      </c>
      <c r="G55" s="39">
        <v>0</v>
      </c>
      <c r="H55" s="40">
        <f t="shared" si="0"/>
        <v>0</v>
      </c>
      <c r="I55" s="41">
        <v>0</v>
      </c>
      <c r="J55" s="41">
        <v>1</v>
      </c>
      <c r="K55" s="41">
        <f t="shared" si="1"/>
        <v>0</v>
      </c>
      <c r="L55" s="85">
        <f t="shared" si="2"/>
        <v>0</v>
      </c>
      <c r="N55" s="86">
        <f t="shared" si="3"/>
        <v>0</v>
      </c>
      <c r="P55" s="84">
        <f t="shared" si="4"/>
        <v>0</v>
      </c>
      <c r="Q55" s="87">
        <f t="shared" si="5"/>
        <v>0</v>
      </c>
      <c r="S55" s="84">
        <v>0</v>
      </c>
      <c r="T55" s="87">
        <v>0</v>
      </c>
      <c r="V55" s="88"/>
      <c r="X55" s="84"/>
      <c r="Y55" s="87"/>
      <c r="Z55" s="4"/>
    </row>
    <row r="56" spans="2:26" x14ac:dyDescent="0.25">
      <c r="B56" s="78" t="s">
        <v>218</v>
      </c>
      <c r="C56" s="79" t="s">
        <v>219</v>
      </c>
      <c r="D56" s="80"/>
      <c r="E56" s="81">
        <v>612.85</v>
      </c>
      <c r="F56" s="82">
        <v>0.3</v>
      </c>
      <c r="G56" s="166">
        <v>1</v>
      </c>
      <c r="H56" s="167">
        <f t="shared" si="0"/>
        <v>183.86</v>
      </c>
      <c r="I56" s="82">
        <v>0</v>
      </c>
      <c r="J56" s="82">
        <v>1</v>
      </c>
      <c r="K56" s="82">
        <f t="shared" si="1"/>
        <v>0</v>
      </c>
      <c r="L56" s="168">
        <f t="shared" si="2"/>
        <v>183.86</v>
      </c>
      <c r="N56" s="86">
        <f t="shared" si="3"/>
        <v>2.2101999999999999</v>
      </c>
      <c r="P56" s="169">
        <f t="shared" si="4"/>
        <v>900003.46329718549</v>
      </c>
      <c r="Q56" s="170">
        <f t="shared" si="5"/>
        <v>1468.5542356158692</v>
      </c>
      <c r="R56" s="80"/>
      <c r="S56" s="169">
        <v>817865.7783741653</v>
      </c>
      <c r="T56" s="170">
        <v>1334.5284790310277</v>
      </c>
      <c r="U56" s="80"/>
      <c r="V56" s="171">
        <f t="shared" si="6"/>
        <v>0.10042929670721956</v>
      </c>
      <c r="W56" s="80"/>
      <c r="X56" s="169"/>
      <c r="Y56" s="170">
        <f t="shared" si="8"/>
        <v>900003.46329718549</v>
      </c>
      <c r="Z56" s="4"/>
    </row>
    <row r="57" spans="2:26" x14ac:dyDescent="0.25">
      <c r="B57" s="101" t="s">
        <v>84</v>
      </c>
      <c r="C57" s="97" t="s">
        <v>222</v>
      </c>
      <c r="D57" s="98"/>
      <c r="E57" s="103">
        <v>30.05</v>
      </c>
      <c r="F57" s="100">
        <v>1</v>
      </c>
      <c r="G57" s="39">
        <v>1</v>
      </c>
      <c r="H57" s="40">
        <f t="shared" si="0"/>
        <v>30.05</v>
      </c>
      <c r="I57" s="41">
        <v>0</v>
      </c>
      <c r="J57" s="41">
        <v>1</v>
      </c>
      <c r="K57" s="41">
        <f>ROUND(I57*J57,2)</f>
        <v>0</v>
      </c>
      <c r="L57" s="85">
        <f>H57+K57</f>
        <v>30.05</v>
      </c>
      <c r="N57" s="86">
        <f t="shared" si="3"/>
        <v>0.36120000000000002</v>
      </c>
      <c r="P57" s="84">
        <f t="shared" si="4"/>
        <v>147082.27804856727</v>
      </c>
      <c r="Q57" s="87">
        <f t="shared" si="5"/>
        <v>4894.5849600188776</v>
      </c>
      <c r="S57" s="84">
        <v>133658.99880044724</v>
      </c>
      <c r="T57" s="87">
        <v>4447.8868153227031</v>
      </c>
      <c r="V57" s="88">
        <f t="shared" si="6"/>
        <v>0.10042929670721956</v>
      </c>
      <c r="X57" s="84">
        <v>5709.1</v>
      </c>
      <c r="Y57" s="87">
        <f t="shared" si="8"/>
        <v>141373.17804856726</v>
      </c>
      <c r="Z57" s="4"/>
    </row>
    <row r="58" spans="2:26" x14ac:dyDescent="0.25">
      <c r="B58" s="116"/>
      <c r="C58" s="117" t="s">
        <v>85</v>
      </c>
      <c r="D58" s="94"/>
      <c r="E58" s="115">
        <v>1934.81</v>
      </c>
      <c r="F58" s="111">
        <v>0.08</v>
      </c>
      <c r="G58" s="39">
        <v>1</v>
      </c>
      <c r="H58" s="40">
        <f t="shared" si="0"/>
        <v>154.78</v>
      </c>
      <c r="I58" s="41">
        <v>0</v>
      </c>
      <c r="J58" s="41">
        <v>1</v>
      </c>
      <c r="K58" s="41">
        <f>ROUND(I58*J58,2)</f>
        <v>0</v>
      </c>
      <c r="L58" s="85">
        <f>H58+K58</f>
        <v>154.78</v>
      </c>
      <c r="N58" s="86">
        <f t="shared" si="3"/>
        <v>1.8606</v>
      </c>
      <c r="P58" s="84">
        <f t="shared" si="4"/>
        <v>757644.75785482908</v>
      </c>
      <c r="Q58" s="87">
        <f t="shared" si="5"/>
        <v>391.58612879550401</v>
      </c>
      <c r="S58" s="84">
        <v>688499.261262769</v>
      </c>
      <c r="T58" s="87">
        <v>355.84851290967538</v>
      </c>
      <c r="V58" s="88">
        <f t="shared" si="6"/>
        <v>0.10042929670721956</v>
      </c>
      <c r="X58" s="84">
        <v>24417.02</v>
      </c>
      <c r="Y58" s="87">
        <f t="shared" si="8"/>
        <v>733227.73785482906</v>
      </c>
      <c r="Z58" s="4"/>
    </row>
    <row r="59" spans="2:26" x14ac:dyDescent="0.25">
      <c r="B59" s="116" t="s">
        <v>86</v>
      </c>
      <c r="C59" s="117" t="s">
        <v>244</v>
      </c>
      <c r="D59" s="94"/>
      <c r="E59" s="115">
        <v>565</v>
      </c>
      <c r="F59" s="191">
        <v>0.5</v>
      </c>
      <c r="G59" s="39">
        <v>1</v>
      </c>
      <c r="H59" s="40">
        <f t="shared" si="0"/>
        <v>282.5</v>
      </c>
      <c r="I59" s="41">
        <v>0</v>
      </c>
      <c r="J59" s="41">
        <v>1</v>
      </c>
      <c r="K59" s="41">
        <f t="shared" si="1"/>
        <v>0</v>
      </c>
      <c r="L59" s="85">
        <f t="shared" si="2"/>
        <v>282.5</v>
      </c>
      <c r="N59" s="86">
        <f t="shared" si="3"/>
        <v>3.3959999999999999</v>
      </c>
      <c r="P59" s="84">
        <f t="shared" si="4"/>
        <v>1382866.6009217454</v>
      </c>
      <c r="Q59" s="87">
        <f t="shared" si="5"/>
        <v>2447.5515060561866</v>
      </c>
      <c r="S59" s="84">
        <v>1256661.0186221453</v>
      </c>
      <c r="T59" s="87">
        <v>2224.1787940214963</v>
      </c>
      <c r="V59" s="88">
        <f t="shared" si="6"/>
        <v>0.10042929670721956</v>
      </c>
      <c r="X59" s="84"/>
      <c r="Y59" s="87">
        <f t="shared" si="8"/>
        <v>1382866.6009217454</v>
      </c>
      <c r="Z59" s="4"/>
    </row>
    <row r="60" spans="2:26" x14ac:dyDescent="0.25">
      <c r="B60" s="101" t="s">
        <v>186</v>
      </c>
      <c r="C60" s="97" t="s">
        <v>199</v>
      </c>
      <c r="D60" s="98"/>
      <c r="E60" s="103">
        <v>31</v>
      </c>
      <c r="F60" s="100">
        <v>1</v>
      </c>
      <c r="G60" s="39">
        <v>1</v>
      </c>
      <c r="H60" s="40">
        <f t="shared" si="0"/>
        <v>31</v>
      </c>
      <c r="I60" s="41">
        <v>0</v>
      </c>
      <c r="J60" s="41">
        <v>1</v>
      </c>
      <c r="K60" s="41">
        <f t="shared" si="1"/>
        <v>0</v>
      </c>
      <c r="L60" s="85">
        <f t="shared" si="2"/>
        <v>31</v>
      </c>
      <c r="N60" s="86">
        <f t="shared" si="3"/>
        <v>0.37269999999999998</v>
      </c>
      <c r="P60" s="84">
        <f t="shared" si="4"/>
        <v>151765.13020127636</v>
      </c>
      <c r="Q60" s="87">
        <f t="shared" si="5"/>
        <v>4895.6493613314951</v>
      </c>
      <c r="S60" s="84">
        <v>137914.47633700634</v>
      </c>
      <c r="T60" s="87">
        <v>4448.8540753873012</v>
      </c>
      <c r="V60" s="88">
        <f t="shared" si="6"/>
        <v>0.10042929670721956</v>
      </c>
      <c r="X60" s="84"/>
      <c r="Y60" s="87">
        <f t="shared" si="8"/>
        <v>151765.13020127636</v>
      </c>
      <c r="Z60" s="4"/>
    </row>
    <row r="61" spans="2:26" x14ac:dyDescent="0.25">
      <c r="B61" s="101" t="s">
        <v>187</v>
      </c>
      <c r="C61" s="97" t="s">
        <v>188</v>
      </c>
      <c r="D61" s="98"/>
      <c r="E61" s="103">
        <v>45.3</v>
      </c>
      <c r="F61" s="100">
        <v>1</v>
      </c>
      <c r="G61" s="39">
        <v>1</v>
      </c>
      <c r="H61" s="40">
        <f>ROUND(E61*G61*F61,2)</f>
        <v>45.3</v>
      </c>
      <c r="I61" s="41">
        <v>0</v>
      </c>
      <c r="J61" s="41">
        <v>1</v>
      </c>
      <c r="K61" s="41">
        <f>ROUND(I61*J61,2)</f>
        <v>0</v>
      </c>
      <c r="L61" s="85">
        <f>H61+K61</f>
        <v>45.3</v>
      </c>
      <c r="N61" s="86">
        <f t="shared" si="3"/>
        <v>0.54459999999999997</v>
      </c>
      <c r="P61" s="84">
        <f>($P$12*N61)/100</f>
        <v>221763.5897709018</v>
      </c>
      <c r="Q61" s="87">
        <f>P61/E61</f>
        <v>4895.4434828013646</v>
      </c>
      <c r="S61" s="84">
        <v>201524.61447044174</v>
      </c>
      <c r="T61" s="87">
        <v>4448.6669861024666</v>
      </c>
      <c r="V61" s="88">
        <f t="shared" si="6"/>
        <v>0.10042929670721978</v>
      </c>
      <c r="X61" s="84"/>
      <c r="Y61" s="87">
        <f t="shared" si="8"/>
        <v>221763.5897709018</v>
      </c>
      <c r="Z61" s="4"/>
    </row>
    <row r="62" spans="2:26" x14ac:dyDescent="0.25">
      <c r="B62" s="101" t="s">
        <v>88</v>
      </c>
      <c r="C62" s="97" t="s">
        <v>89</v>
      </c>
      <c r="D62" s="98"/>
      <c r="E62" s="103">
        <v>39.799999999999997</v>
      </c>
      <c r="F62" s="100">
        <v>1</v>
      </c>
      <c r="G62" s="39">
        <v>1</v>
      </c>
      <c r="H62" s="40">
        <f t="shared" si="0"/>
        <v>39.799999999999997</v>
      </c>
      <c r="I62" s="41">
        <v>0</v>
      </c>
      <c r="J62" s="41">
        <v>1</v>
      </c>
      <c r="K62" s="41">
        <f t="shared" si="1"/>
        <v>0</v>
      </c>
      <c r="L62" s="85">
        <f t="shared" si="2"/>
        <v>39.799999999999997</v>
      </c>
      <c r="N62" s="86">
        <f t="shared" si="3"/>
        <v>0.47839999999999999</v>
      </c>
      <c r="P62" s="84">
        <f t="shared" si="4"/>
        <v>194806.64955269816</v>
      </c>
      <c r="Q62" s="87">
        <f t="shared" si="5"/>
        <v>4894.639435997442</v>
      </c>
      <c r="S62" s="84">
        <v>177027.86552085812</v>
      </c>
      <c r="T62" s="87">
        <v>4447.9363196195509</v>
      </c>
      <c r="V62" s="88">
        <f t="shared" si="6"/>
        <v>0.10042929670721956</v>
      </c>
      <c r="X62" s="84">
        <v>7560.4</v>
      </c>
      <c r="Y62" s="87">
        <f t="shared" si="8"/>
        <v>187246.24955269817</v>
      </c>
      <c r="Z62" s="4"/>
    </row>
    <row r="63" spans="2:26" x14ac:dyDescent="0.25">
      <c r="B63" s="101" t="s">
        <v>161</v>
      </c>
      <c r="C63" s="97" t="s">
        <v>194</v>
      </c>
      <c r="D63" s="98"/>
      <c r="E63" s="103">
        <v>43.5</v>
      </c>
      <c r="F63" s="100">
        <v>1</v>
      </c>
      <c r="G63" s="39">
        <v>1</v>
      </c>
      <c r="H63" s="40">
        <f t="shared" si="0"/>
        <v>43.5</v>
      </c>
      <c r="I63" s="41">
        <v>0</v>
      </c>
      <c r="J63" s="41">
        <v>1</v>
      </c>
      <c r="K63" s="41">
        <f t="shared" si="1"/>
        <v>0</v>
      </c>
      <c r="L63" s="85">
        <f t="shared" si="2"/>
        <v>43.5</v>
      </c>
      <c r="N63" s="86">
        <f t="shared" si="3"/>
        <v>0.52290000000000003</v>
      </c>
      <c r="P63" s="84">
        <f t="shared" si="4"/>
        <v>212927.25136100728</v>
      </c>
      <c r="Q63" s="87">
        <f t="shared" si="5"/>
        <v>4894.8793416323515</v>
      </c>
      <c r="R63" s="2"/>
      <c r="S63" s="84">
        <v>193494.71337971726</v>
      </c>
      <c r="T63" s="87">
        <v>4448.1543305682126</v>
      </c>
      <c r="U63" s="2"/>
      <c r="V63" s="88">
        <f t="shared" si="6"/>
        <v>0.10042929670721956</v>
      </c>
      <c r="W63" s="2"/>
      <c r="X63" s="84">
        <v>7551.71</v>
      </c>
      <c r="Y63" s="87">
        <f t="shared" si="8"/>
        <v>205375.54136100729</v>
      </c>
      <c r="Z63" s="4"/>
    </row>
    <row r="64" spans="2:26" x14ac:dyDescent="0.25">
      <c r="B64" s="101" t="s">
        <v>162</v>
      </c>
      <c r="C64" s="97" t="s">
        <v>216</v>
      </c>
      <c r="D64" s="98"/>
      <c r="E64" s="100">
        <f>(39.75+33.85+33.8+43.4)*0.85+(23.65/2)</f>
        <v>140.00499999999997</v>
      </c>
      <c r="F64" s="100">
        <v>1</v>
      </c>
      <c r="G64" s="39">
        <v>1</v>
      </c>
      <c r="H64" s="40">
        <f t="shared" si="0"/>
        <v>140.01</v>
      </c>
      <c r="I64" s="41">
        <v>0</v>
      </c>
      <c r="J64" s="41">
        <v>1</v>
      </c>
      <c r="K64" s="41">
        <f t="shared" si="1"/>
        <v>0</v>
      </c>
      <c r="L64" s="85">
        <f t="shared" si="2"/>
        <v>140.01</v>
      </c>
      <c r="N64" s="86">
        <f t="shared" si="3"/>
        <v>1.6831</v>
      </c>
      <c r="P64" s="84">
        <f t="shared" si="4"/>
        <v>685365.95288910181</v>
      </c>
      <c r="Q64" s="87">
        <f t="shared" si="5"/>
        <v>4895.2962600557266</v>
      </c>
      <c r="R64" s="93"/>
      <c r="S64" s="84">
        <v>622816.8905897917</v>
      </c>
      <c r="T64" s="87">
        <v>4448.5331994556755</v>
      </c>
      <c r="U64" s="93"/>
      <c r="V64" s="88">
        <f t="shared" si="6"/>
        <v>0.10042929670721956</v>
      </c>
      <c r="W64" s="93"/>
      <c r="X64" s="84">
        <v>27406.92</v>
      </c>
      <c r="Y64" s="87">
        <f t="shared" si="8"/>
        <v>657959.03288910177</v>
      </c>
      <c r="Z64" s="4"/>
    </row>
    <row r="65" spans="2:26" x14ac:dyDescent="0.25">
      <c r="B65" s="116" t="s">
        <v>90</v>
      </c>
      <c r="C65" s="117" t="s">
        <v>127</v>
      </c>
      <c r="D65" s="94"/>
      <c r="E65" s="115">
        <f>150.45+23.65-23.65</f>
        <v>150.44999999999999</v>
      </c>
      <c r="F65" s="111">
        <v>0.8</v>
      </c>
      <c r="G65" s="39">
        <v>1</v>
      </c>
      <c r="H65" s="40">
        <f t="shared" si="0"/>
        <v>120.36</v>
      </c>
      <c r="I65" s="41">
        <v>0</v>
      </c>
      <c r="J65" s="41">
        <v>1</v>
      </c>
      <c r="K65" s="41">
        <f t="shared" si="1"/>
        <v>0</v>
      </c>
      <c r="L65" s="85">
        <f t="shared" si="2"/>
        <v>120.36</v>
      </c>
      <c r="N65" s="86">
        <f t="shared" si="3"/>
        <v>1.4469000000000001</v>
      </c>
      <c r="P65" s="84">
        <f t="shared" si="4"/>
        <v>589184.24171780725</v>
      </c>
      <c r="Q65" s="87">
        <f t="shared" si="5"/>
        <v>3916.146505269573</v>
      </c>
      <c r="S65" s="84">
        <v>535413.08240411722</v>
      </c>
      <c r="T65" s="87">
        <v>3558.7443164115471</v>
      </c>
      <c r="V65" s="88">
        <f t="shared" si="6"/>
        <v>0.10042929670721956</v>
      </c>
      <c r="X65" s="84">
        <v>29766.05</v>
      </c>
      <c r="Y65" s="87">
        <f t="shared" si="8"/>
        <v>559418.1917178072</v>
      </c>
      <c r="Z65" s="4"/>
    </row>
    <row r="66" spans="2:26" x14ac:dyDescent="0.25">
      <c r="B66" s="101" t="s">
        <v>91</v>
      </c>
      <c r="C66" s="97" t="s">
        <v>181</v>
      </c>
      <c r="D66" s="98"/>
      <c r="E66" s="103">
        <v>0</v>
      </c>
      <c r="F66" s="100">
        <v>1</v>
      </c>
      <c r="G66" s="39">
        <v>1</v>
      </c>
      <c r="H66" s="40">
        <f t="shared" si="0"/>
        <v>0</v>
      </c>
      <c r="I66" s="41">
        <v>0</v>
      </c>
      <c r="J66" s="41">
        <v>1</v>
      </c>
      <c r="K66" s="41">
        <f t="shared" si="1"/>
        <v>0</v>
      </c>
      <c r="L66" s="85">
        <f t="shared" si="2"/>
        <v>0</v>
      </c>
      <c r="N66" s="86">
        <f t="shared" si="3"/>
        <v>0</v>
      </c>
      <c r="P66" s="84">
        <f t="shared" si="4"/>
        <v>0</v>
      </c>
      <c r="Q66" s="87" t="e">
        <f t="shared" si="5"/>
        <v>#DIV/0!</v>
      </c>
      <c r="S66" s="84">
        <v>0</v>
      </c>
      <c r="T66" s="87" t="e">
        <v>#DIV/0!</v>
      </c>
      <c r="V66" s="88" t="e">
        <f t="shared" si="6"/>
        <v>#DIV/0!</v>
      </c>
      <c r="X66" s="84">
        <v>26253.42</v>
      </c>
      <c r="Y66" s="87">
        <f t="shared" si="8"/>
        <v>-26253.42</v>
      </c>
      <c r="Z66" s="4"/>
    </row>
    <row r="67" spans="2:26" x14ac:dyDescent="0.25">
      <c r="B67" s="101" t="s">
        <v>92</v>
      </c>
      <c r="C67" s="97" t="s">
        <v>181</v>
      </c>
      <c r="D67" s="98"/>
      <c r="E67" s="103">
        <v>0</v>
      </c>
      <c r="F67" s="100">
        <v>1</v>
      </c>
      <c r="G67" s="39">
        <v>1</v>
      </c>
      <c r="H67" s="40">
        <f t="shared" si="0"/>
        <v>0</v>
      </c>
      <c r="I67" s="41">
        <v>0</v>
      </c>
      <c r="J67" s="41">
        <v>1</v>
      </c>
      <c r="K67" s="41">
        <f t="shared" si="1"/>
        <v>0</v>
      </c>
      <c r="L67" s="85">
        <f t="shared" si="2"/>
        <v>0</v>
      </c>
      <c r="N67" s="86">
        <f t="shared" si="3"/>
        <v>0</v>
      </c>
      <c r="P67" s="84">
        <f t="shared" si="4"/>
        <v>0</v>
      </c>
      <c r="Q67" s="87" t="e">
        <f t="shared" si="5"/>
        <v>#DIV/0!</v>
      </c>
      <c r="S67" s="84">
        <v>0</v>
      </c>
      <c r="T67" s="87" t="e">
        <v>#DIV/0!</v>
      </c>
      <c r="V67" s="88" t="e">
        <f t="shared" si="6"/>
        <v>#DIV/0!</v>
      </c>
      <c r="X67" s="84">
        <v>7750.37</v>
      </c>
      <c r="Y67" s="87">
        <f t="shared" si="8"/>
        <v>-7750.37</v>
      </c>
      <c r="Z67" s="4"/>
    </row>
    <row r="68" spans="2:26" x14ac:dyDescent="0.25">
      <c r="B68" s="116" t="s">
        <v>93</v>
      </c>
      <c r="C68" s="109" t="s">
        <v>95</v>
      </c>
      <c r="D68" s="94"/>
      <c r="E68" s="115">
        <v>39.200000000000003</v>
      </c>
      <c r="F68" s="111">
        <v>0.8</v>
      </c>
      <c r="G68" s="39">
        <v>1</v>
      </c>
      <c r="H68" s="40">
        <f t="shared" si="0"/>
        <v>31.36</v>
      </c>
      <c r="I68" s="41">
        <v>0</v>
      </c>
      <c r="J68" s="41">
        <v>1</v>
      </c>
      <c r="K68" s="41">
        <f t="shared" si="1"/>
        <v>0</v>
      </c>
      <c r="L68" s="85">
        <f t="shared" si="2"/>
        <v>31.36</v>
      </c>
      <c r="N68" s="86">
        <f t="shared" si="3"/>
        <v>0.377</v>
      </c>
      <c r="P68" s="84">
        <f t="shared" si="4"/>
        <v>153516.10970185453</v>
      </c>
      <c r="Q68" s="87">
        <f t="shared" si="5"/>
        <v>3916.2272883126152</v>
      </c>
      <c r="S68" s="84">
        <v>139505.65489415452</v>
      </c>
      <c r="T68" s="87">
        <v>3558.8177268916966</v>
      </c>
      <c r="V68" s="88">
        <f t="shared" si="6"/>
        <v>0.10042929670721956</v>
      </c>
      <c r="X68" s="84">
        <v>7447.41</v>
      </c>
      <c r="Y68" s="87">
        <f t="shared" si="8"/>
        <v>146068.69970185452</v>
      </c>
      <c r="Z68" s="4"/>
    </row>
    <row r="69" spans="2:26" x14ac:dyDescent="0.25">
      <c r="B69" s="108" t="s">
        <v>94</v>
      </c>
      <c r="C69" s="109" t="s">
        <v>95</v>
      </c>
      <c r="D69" s="94"/>
      <c r="E69" s="115">
        <v>179.3</v>
      </c>
      <c r="F69" s="111">
        <v>0.8</v>
      </c>
      <c r="G69" s="39">
        <v>1</v>
      </c>
      <c r="H69" s="40">
        <f t="shared" si="0"/>
        <v>143.44</v>
      </c>
      <c r="I69" s="41">
        <v>0</v>
      </c>
      <c r="J69" s="41">
        <v>1</v>
      </c>
      <c r="K69" s="41">
        <f t="shared" si="1"/>
        <v>0</v>
      </c>
      <c r="L69" s="85">
        <f t="shared" si="2"/>
        <v>143.44</v>
      </c>
      <c r="N69" s="86">
        <f t="shared" si="3"/>
        <v>1.7242999999999999</v>
      </c>
      <c r="P69" s="84">
        <f t="shared" si="4"/>
        <v>702142.77973185095</v>
      </c>
      <c r="Q69" s="87">
        <f t="shared" si="5"/>
        <v>3916.0221959389341</v>
      </c>
      <c r="S69" s="84">
        <v>638062.60141642077</v>
      </c>
      <c r="T69" s="87">
        <v>3558.6313520157319</v>
      </c>
      <c r="V69" s="88">
        <f t="shared" si="6"/>
        <v>0.10042929670721978</v>
      </c>
      <c r="X69" s="84">
        <v>26481.89</v>
      </c>
      <c r="Y69" s="87">
        <f t="shared" si="8"/>
        <v>675660.88973185094</v>
      </c>
      <c r="Z69" s="4"/>
    </row>
    <row r="70" spans="2:26" x14ac:dyDescent="0.25">
      <c r="B70" s="105" t="s">
        <v>96</v>
      </c>
      <c r="C70" s="106" t="s">
        <v>97</v>
      </c>
      <c r="D70" s="98"/>
      <c r="E70" s="103">
        <v>58</v>
      </c>
      <c r="F70" s="100">
        <v>1</v>
      </c>
      <c r="G70" s="39">
        <v>1</v>
      </c>
      <c r="H70" s="40">
        <f t="shared" si="0"/>
        <v>58</v>
      </c>
      <c r="I70" s="41">
        <v>0</v>
      </c>
      <c r="J70" s="41">
        <v>1</v>
      </c>
      <c r="K70" s="41">
        <f>ROUND(I70*J70,2)</f>
        <v>0</v>
      </c>
      <c r="L70" s="85">
        <f>H70+K70</f>
        <v>58</v>
      </c>
      <c r="N70" s="86">
        <f t="shared" si="3"/>
        <v>0.69720000000000004</v>
      </c>
      <c r="P70" s="84">
        <f t="shared" si="4"/>
        <v>283903.00181467639</v>
      </c>
      <c r="Q70" s="87">
        <f t="shared" si="5"/>
        <v>4894.8793416323515</v>
      </c>
      <c r="S70" s="84">
        <v>257992.95117295635</v>
      </c>
      <c r="T70" s="87">
        <v>4448.1543305682126</v>
      </c>
      <c r="V70" s="88">
        <f t="shared" si="6"/>
        <v>0.10042929670721956</v>
      </c>
      <c r="X70" s="84">
        <v>11018.39</v>
      </c>
      <c r="Y70" s="87">
        <f t="shared" si="8"/>
        <v>272884.61181467638</v>
      </c>
      <c r="Z70" s="4"/>
    </row>
    <row r="71" spans="2:26" x14ac:dyDescent="0.25">
      <c r="B71" s="105" t="s">
        <v>100</v>
      </c>
      <c r="C71" s="106" t="s">
        <v>128</v>
      </c>
      <c r="D71" s="98"/>
      <c r="E71" s="103">
        <v>33.200000000000003</v>
      </c>
      <c r="F71" s="100">
        <v>1</v>
      </c>
      <c r="G71" s="39">
        <v>1</v>
      </c>
      <c r="H71" s="40">
        <f t="shared" si="0"/>
        <v>33.200000000000003</v>
      </c>
      <c r="I71" s="41">
        <v>0</v>
      </c>
      <c r="J71" s="41">
        <v>1</v>
      </c>
      <c r="K71" s="41">
        <f t="shared" si="1"/>
        <v>0</v>
      </c>
      <c r="L71" s="85">
        <f t="shared" si="2"/>
        <v>33.200000000000003</v>
      </c>
      <c r="N71" s="86">
        <f t="shared" si="3"/>
        <v>0.39910000000000001</v>
      </c>
      <c r="P71" s="84">
        <f t="shared" si="4"/>
        <v>162515.32992575635</v>
      </c>
      <c r="Q71" s="87">
        <f t="shared" si="5"/>
        <v>4895.040058004709</v>
      </c>
      <c r="S71" s="84">
        <v>147683.57259484634</v>
      </c>
      <c r="T71" s="87">
        <v>4448.3003793628413</v>
      </c>
      <c r="V71" s="88">
        <f t="shared" si="6"/>
        <v>0.10042929670721956</v>
      </c>
      <c r="X71" s="84">
        <v>8513.99</v>
      </c>
      <c r="Y71" s="87">
        <f t="shared" si="8"/>
        <v>154001.33992575636</v>
      </c>
      <c r="Z71" s="4"/>
    </row>
    <row r="72" spans="2:26" x14ac:dyDescent="0.25">
      <c r="B72" s="105" t="s">
        <v>99</v>
      </c>
      <c r="C72" s="106" t="s">
        <v>164</v>
      </c>
      <c r="D72" s="98"/>
      <c r="E72" s="103">
        <v>43</v>
      </c>
      <c r="F72" s="100">
        <v>1</v>
      </c>
      <c r="G72" s="39">
        <v>1</v>
      </c>
      <c r="H72" s="40">
        <f t="shared" si="0"/>
        <v>43</v>
      </c>
      <c r="I72" s="41">
        <v>0</v>
      </c>
      <c r="J72" s="41">
        <v>1</v>
      </c>
      <c r="K72" s="41">
        <f>ROUND(I72*J72,2)</f>
        <v>0</v>
      </c>
      <c r="L72" s="85">
        <f>H72+K72</f>
        <v>43</v>
      </c>
      <c r="N72" s="86">
        <f t="shared" si="3"/>
        <v>0.51690000000000003</v>
      </c>
      <c r="P72" s="84">
        <f t="shared" si="4"/>
        <v>210484.02415089819</v>
      </c>
      <c r="Q72" s="87">
        <f t="shared" si="5"/>
        <v>4894.9773058348419</v>
      </c>
      <c r="S72" s="84">
        <v>191274.46423020816</v>
      </c>
      <c r="T72" s="87">
        <v>4448.2433541908877</v>
      </c>
      <c r="V72" s="88">
        <f t="shared" si="6"/>
        <v>0.10042929670721956</v>
      </c>
      <c r="X72" s="84">
        <v>8168.81</v>
      </c>
      <c r="Y72" s="87">
        <f t="shared" si="8"/>
        <v>202315.21415089819</v>
      </c>
      <c r="Z72" s="4"/>
    </row>
    <row r="73" spans="2:26" x14ac:dyDescent="0.25">
      <c r="B73" s="105" t="s">
        <v>98</v>
      </c>
      <c r="C73" s="106" t="s">
        <v>165</v>
      </c>
      <c r="D73" s="98"/>
      <c r="E73" s="103">
        <v>43</v>
      </c>
      <c r="F73" s="100">
        <v>1</v>
      </c>
      <c r="G73" s="39">
        <v>1</v>
      </c>
      <c r="H73" s="40">
        <f t="shared" si="0"/>
        <v>43</v>
      </c>
      <c r="I73" s="41">
        <v>0</v>
      </c>
      <c r="J73" s="41">
        <v>1</v>
      </c>
      <c r="K73" s="41">
        <f>ROUND(I73*J73,2)</f>
        <v>0</v>
      </c>
      <c r="L73" s="85">
        <f>H73+K73</f>
        <v>43</v>
      </c>
      <c r="N73" s="86">
        <f t="shared" si="3"/>
        <v>0.51690000000000003</v>
      </c>
      <c r="P73" s="84">
        <f t="shared" si="4"/>
        <v>210484.02415089819</v>
      </c>
      <c r="Q73" s="87">
        <f t="shared" si="5"/>
        <v>4894.9773058348419</v>
      </c>
      <c r="S73" s="84">
        <v>191274.46423020816</v>
      </c>
      <c r="T73" s="87">
        <v>4448.2433541908877</v>
      </c>
      <c r="V73" s="88">
        <f t="shared" si="6"/>
        <v>0.10042929670721956</v>
      </c>
      <c r="X73" s="84">
        <v>8168.81</v>
      </c>
      <c r="Y73" s="87">
        <f t="shared" si="8"/>
        <v>202315.21415089819</v>
      </c>
      <c r="Z73" s="4"/>
    </row>
    <row r="74" spans="2:26" x14ac:dyDescent="0.25">
      <c r="B74" s="108" t="s">
        <v>170</v>
      </c>
      <c r="C74" s="109" t="s">
        <v>180</v>
      </c>
      <c r="D74" s="94"/>
      <c r="E74" s="115">
        <v>101.8</v>
      </c>
      <c r="F74" s="111">
        <v>0.7</v>
      </c>
      <c r="G74" s="39">
        <v>1</v>
      </c>
      <c r="H74" s="40">
        <f t="shared" si="0"/>
        <v>71.260000000000005</v>
      </c>
      <c r="I74" s="41">
        <v>0</v>
      </c>
      <c r="J74" s="41">
        <v>1</v>
      </c>
      <c r="K74" s="41">
        <f t="shared" si="1"/>
        <v>0</v>
      </c>
      <c r="L74" s="85">
        <f t="shared" si="2"/>
        <v>71.260000000000005</v>
      </c>
      <c r="N74" s="86">
        <f t="shared" si="3"/>
        <v>0.85660000000000003</v>
      </c>
      <c r="P74" s="84">
        <f t="shared" si="4"/>
        <v>348811.40469657449</v>
      </c>
      <c r="Q74" s="87">
        <f t="shared" si="5"/>
        <v>3426.4381600842289</v>
      </c>
      <c r="S74" s="84">
        <v>316977.5702449145</v>
      </c>
      <c r="T74" s="87">
        <v>3113.7285878675298</v>
      </c>
      <c r="V74" s="88">
        <f t="shared" si="6"/>
        <v>0.10042929670721934</v>
      </c>
      <c r="X74" s="84">
        <v>32553.55</v>
      </c>
      <c r="Y74" s="87">
        <f t="shared" si="8"/>
        <v>316257.8546965745</v>
      </c>
      <c r="Z74" s="4"/>
    </row>
    <row r="75" spans="2:26" x14ac:dyDescent="0.25">
      <c r="B75" s="108" t="s">
        <v>169</v>
      </c>
      <c r="C75" s="109" t="s">
        <v>108</v>
      </c>
      <c r="D75" s="94"/>
      <c r="E75" s="115">
        <v>88.6</v>
      </c>
      <c r="F75" s="111">
        <v>0.7</v>
      </c>
      <c r="G75" s="39">
        <v>1</v>
      </c>
      <c r="H75" s="40">
        <f t="shared" si="0"/>
        <v>62.02</v>
      </c>
      <c r="I75" s="41">
        <v>0</v>
      </c>
      <c r="J75" s="41">
        <v>1</v>
      </c>
      <c r="K75" s="41">
        <f t="shared" si="1"/>
        <v>0</v>
      </c>
      <c r="L75" s="85">
        <f t="shared" si="2"/>
        <v>62.02</v>
      </c>
      <c r="N75" s="86">
        <f t="shared" si="3"/>
        <v>0.74550000000000005</v>
      </c>
      <c r="P75" s="84">
        <f t="shared" si="4"/>
        <v>303570.98085605452</v>
      </c>
      <c r="Q75" s="87">
        <f t="shared" si="5"/>
        <v>3426.3090390073876</v>
      </c>
      <c r="S75" s="84">
        <v>275865.95682650449</v>
      </c>
      <c r="T75" s="87">
        <v>3113.6112508634819</v>
      </c>
      <c r="V75" s="88">
        <f t="shared" si="6"/>
        <v>0.10042929670721956</v>
      </c>
      <c r="X75" s="84">
        <v>32553.55</v>
      </c>
      <c r="Y75" s="87">
        <f t="shared" si="8"/>
        <v>271017.43085605453</v>
      </c>
      <c r="Z75" s="4"/>
    </row>
    <row r="76" spans="2:26" x14ac:dyDescent="0.25">
      <c r="B76" s="105" t="s">
        <v>101</v>
      </c>
      <c r="C76" s="106" t="s">
        <v>223</v>
      </c>
      <c r="D76" s="98"/>
      <c r="E76" s="103">
        <f>93.1+30.25</f>
        <v>123.35</v>
      </c>
      <c r="F76" s="100">
        <v>1</v>
      </c>
      <c r="G76" s="39">
        <v>1</v>
      </c>
      <c r="H76" s="40">
        <f t="shared" si="0"/>
        <v>123.35</v>
      </c>
      <c r="I76" s="41">
        <v>0</v>
      </c>
      <c r="J76" s="41">
        <v>1</v>
      </c>
      <c r="K76" s="41">
        <f t="shared" si="1"/>
        <v>0</v>
      </c>
      <c r="L76" s="85">
        <f t="shared" si="2"/>
        <v>123.35</v>
      </c>
      <c r="N76" s="86">
        <f t="shared" si="3"/>
        <v>1.4827999999999999</v>
      </c>
      <c r="P76" s="84">
        <f t="shared" si="4"/>
        <v>603802.88452495995</v>
      </c>
      <c r="Q76" s="87">
        <f t="shared" si="5"/>
        <v>4895.0375721520877</v>
      </c>
      <c r="S76" s="84">
        <v>548697.57314867992</v>
      </c>
      <c r="T76" s="87">
        <v>4448.2981203784348</v>
      </c>
      <c r="V76" s="88">
        <f t="shared" si="6"/>
        <v>0.10042929670721956</v>
      </c>
      <c r="X76" s="84">
        <v>0</v>
      </c>
      <c r="Y76" s="87">
        <f t="shared" si="8"/>
        <v>603802.88452495995</v>
      </c>
      <c r="Z76" s="4"/>
    </row>
    <row r="77" spans="2:26" x14ac:dyDescent="0.25">
      <c r="B77" s="105" t="s">
        <v>102</v>
      </c>
      <c r="C77" s="106" t="s">
        <v>223</v>
      </c>
      <c r="D77" s="98"/>
      <c r="E77" s="103">
        <v>95.65</v>
      </c>
      <c r="F77" s="100">
        <v>1</v>
      </c>
      <c r="G77" s="39">
        <v>1</v>
      </c>
      <c r="H77" s="40">
        <f t="shared" si="0"/>
        <v>95.65</v>
      </c>
      <c r="I77" s="41">
        <v>0</v>
      </c>
      <c r="J77" s="41">
        <v>1</v>
      </c>
      <c r="K77" s="41">
        <f t="shared" si="1"/>
        <v>0</v>
      </c>
      <c r="L77" s="85">
        <f t="shared" si="2"/>
        <v>95.65</v>
      </c>
      <c r="N77" s="86">
        <f t="shared" si="3"/>
        <v>1.1497999999999999</v>
      </c>
      <c r="P77" s="84">
        <f t="shared" si="4"/>
        <v>468203.77436390542</v>
      </c>
      <c r="Q77" s="87">
        <f t="shared" si="5"/>
        <v>4894.9688903701553</v>
      </c>
      <c r="S77" s="84">
        <v>425473.74535092531</v>
      </c>
      <c r="T77" s="87">
        <v>4448.2357067530083</v>
      </c>
      <c r="V77" s="88">
        <f t="shared" si="6"/>
        <v>0.10042929670721978</v>
      </c>
      <c r="X77" s="84"/>
      <c r="Y77" s="87">
        <f t="shared" si="8"/>
        <v>468203.77436390542</v>
      </c>
      <c r="Z77" s="4"/>
    </row>
    <row r="78" spans="2:26" x14ac:dyDescent="0.25">
      <c r="B78" s="105" t="s">
        <v>103</v>
      </c>
      <c r="C78" s="106" t="s">
        <v>104</v>
      </c>
      <c r="D78" s="98"/>
      <c r="E78" s="103">
        <v>60.65</v>
      </c>
      <c r="F78" s="100">
        <v>1</v>
      </c>
      <c r="G78" s="39">
        <v>1</v>
      </c>
      <c r="H78" s="40">
        <f t="shared" si="0"/>
        <v>60.65</v>
      </c>
      <c r="I78" s="41">
        <v>0</v>
      </c>
      <c r="J78" s="41">
        <v>1</v>
      </c>
      <c r="K78" s="41">
        <f t="shared" si="1"/>
        <v>0</v>
      </c>
      <c r="L78" s="85">
        <f t="shared" si="2"/>
        <v>60.65</v>
      </c>
      <c r="N78" s="86">
        <f t="shared" ref="N78:N89" si="9">ROUND((L78/$L$115)*100,4)</f>
        <v>0.72909999999999997</v>
      </c>
      <c r="P78" s="84">
        <f t="shared" si="4"/>
        <v>296892.82648175635</v>
      </c>
      <c r="Q78" s="87">
        <f t="shared" si="5"/>
        <v>4895.1826295425617</v>
      </c>
      <c r="S78" s="84">
        <v>269797.2758178463</v>
      </c>
      <c r="T78" s="87">
        <v>4448.4299392884795</v>
      </c>
      <c r="V78" s="88">
        <f t="shared" si="6"/>
        <v>0.10042929670721956</v>
      </c>
      <c r="X78" s="84">
        <v>11521.26</v>
      </c>
      <c r="Y78" s="87">
        <f t="shared" si="8"/>
        <v>285371.56648175634</v>
      </c>
      <c r="Z78" s="4"/>
    </row>
    <row r="79" spans="2:26" x14ac:dyDescent="0.25">
      <c r="B79" s="105" t="s">
        <v>204</v>
      </c>
      <c r="C79" s="106" t="s">
        <v>205</v>
      </c>
      <c r="D79" s="98"/>
      <c r="E79" s="103">
        <v>97.55</v>
      </c>
      <c r="F79" s="100">
        <v>0.8</v>
      </c>
      <c r="G79" s="172">
        <v>1</v>
      </c>
      <c r="H79" s="173">
        <f t="shared" si="0"/>
        <v>78.040000000000006</v>
      </c>
      <c r="I79" s="174">
        <v>0</v>
      </c>
      <c r="J79" s="174">
        <v>1</v>
      </c>
      <c r="K79" s="174">
        <f t="shared" si="1"/>
        <v>0</v>
      </c>
      <c r="L79" s="175">
        <f t="shared" si="2"/>
        <v>78.040000000000006</v>
      </c>
      <c r="M79" s="80"/>
      <c r="N79" s="86">
        <f t="shared" si="9"/>
        <v>0.93810000000000004</v>
      </c>
      <c r="O79" s="80"/>
      <c r="P79" s="84">
        <f t="shared" si="4"/>
        <v>381998.57430055633</v>
      </c>
      <c r="Q79" s="87">
        <f t="shared" si="5"/>
        <v>3915.9259282476305</v>
      </c>
      <c r="S79" s="84">
        <v>347135.95452574635</v>
      </c>
      <c r="T79" s="87">
        <v>3558.5438700742834</v>
      </c>
      <c r="V79" s="88">
        <f t="shared" ref="V79:V86" si="10">(P79/S79)-1</f>
        <v>0.10042929670721934</v>
      </c>
      <c r="X79" s="84">
        <v>18700.47</v>
      </c>
      <c r="Y79" s="87">
        <f t="shared" si="8"/>
        <v>363298.10430055636</v>
      </c>
      <c r="Z79" s="4"/>
    </row>
    <row r="80" spans="2:26" x14ac:dyDescent="0.25">
      <c r="B80" s="105" t="s">
        <v>207</v>
      </c>
      <c r="C80" s="106" t="s">
        <v>206</v>
      </c>
      <c r="D80" s="98"/>
      <c r="E80" s="103">
        <v>33.700000000000003</v>
      </c>
      <c r="F80" s="100">
        <v>0.8</v>
      </c>
      <c r="G80" s="172">
        <v>1</v>
      </c>
      <c r="H80" s="173">
        <f t="shared" si="0"/>
        <v>26.96</v>
      </c>
      <c r="I80" s="174">
        <v>0</v>
      </c>
      <c r="J80" s="174">
        <v>1</v>
      </c>
      <c r="K80" s="174">
        <f t="shared" si="1"/>
        <v>0</v>
      </c>
      <c r="L80" s="175">
        <f t="shared" si="2"/>
        <v>26.96</v>
      </c>
      <c r="M80" s="80"/>
      <c r="N80" s="86">
        <f t="shared" si="9"/>
        <v>0.3241</v>
      </c>
      <c r="O80" s="80"/>
      <c r="P80" s="84">
        <f t="shared" si="4"/>
        <v>131974.98979939273</v>
      </c>
      <c r="Q80" s="87">
        <f t="shared" si="5"/>
        <v>3916.1718041362824</v>
      </c>
      <c r="S80" s="84">
        <v>119930.45822598271</v>
      </c>
      <c r="T80" s="87">
        <v>3558.7673064089822</v>
      </c>
      <c r="V80" s="88">
        <f t="shared" si="10"/>
        <v>0.10042929670721956</v>
      </c>
      <c r="X80" s="84">
        <v>18700.47</v>
      </c>
      <c r="Y80" s="87">
        <f t="shared" si="8"/>
        <v>113274.51979939273</v>
      </c>
      <c r="Z80" s="4"/>
    </row>
    <row r="81" spans="2:26" x14ac:dyDescent="0.25">
      <c r="B81" s="105" t="s">
        <v>105</v>
      </c>
      <c r="C81" s="106" t="s">
        <v>227</v>
      </c>
      <c r="D81" s="98"/>
      <c r="E81" s="103">
        <v>96.05</v>
      </c>
      <c r="F81" s="100">
        <v>1</v>
      </c>
      <c r="G81" s="172">
        <v>1</v>
      </c>
      <c r="H81" s="173">
        <f t="shared" si="0"/>
        <v>96.05</v>
      </c>
      <c r="I81" s="174">
        <v>0</v>
      </c>
      <c r="J81" s="174">
        <v>1</v>
      </c>
      <c r="K81" s="174">
        <f t="shared" si="1"/>
        <v>0</v>
      </c>
      <c r="L81" s="175">
        <f t="shared" si="2"/>
        <v>96.05</v>
      </c>
      <c r="N81" s="86">
        <f t="shared" si="9"/>
        <v>1.1546000000000001</v>
      </c>
      <c r="P81" s="84">
        <f t="shared" si="4"/>
        <v>470158.35613199271</v>
      </c>
      <c r="Q81" s="87">
        <f t="shared" si="5"/>
        <v>4894.9334318791534</v>
      </c>
      <c r="S81" s="84">
        <v>427249.94467053266</v>
      </c>
      <c r="T81" s="87">
        <v>4448.2034843366237</v>
      </c>
      <c r="V81" s="88">
        <f t="shared" si="10"/>
        <v>0.10042929670721956</v>
      </c>
      <c r="X81" s="84">
        <v>18246.03</v>
      </c>
      <c r="Y81" s="87">
        <f t="shared" si="8"/>
        <v>451912.32613199274</v>
      </c>
      <c r="Z81" s="4"/>
    </row>
    <row r="82" spans="2:26" x14ac:dyDescent="0.25">
      <c r="B82" s="105" t="s">
        <v>106</v>
      </c>
      <c r="C82" s="106" t="s">
        <v>184</v>
      </c>
      <c r="D82" s="98"/>
      <c r="E82" s="103">
        <v>66.8</v>
      </c>
      <c r="F82" s="100">
        <v>1</v>
      </c>
      <c r="G82" s="172">
        <v>1</v>
      </c>
      <c r="H82" s="173">
        <f t="shared" si="0"/>
        <v>66.8</v>
      </c>
      <c r="I82" s="174">
        <v>0</v>
      </c>
      <c r="J82" s="174">
        <v>1</v>
      </c>
      <c r="K82" s="174">
        <f t="shared" si="1"/>
        <v>0</v>
      </c>
      <c r="L82" s="175">
        <f t="shared" si="2"/>
        <v>66.8</v>
      </c>
      <c r="N82" s="86">
        <f t="shared" si="9"/>
        <v>0.80300000000000005</v>
      </c>
      <c r="P82" s="84">
        <f t="shared" si="4"/>
        <v>326985.24161960004</v>
      </c>
      <c r="Q82" s="87">
        <f t="shared" si="5"/>
        <v>4894.988647000001</v>
      </c>
      <c r="S82" s="84">
        <v>297143.34450929996</v>
      </c>
      <c r="T82" s="87">
        <v>4448.2536603188619</v>
      </c>
      <c r="V82" s="88">
        <f t="shared" si="10"/>
        <v>0.10042929670721978</v>
      </c>
      <c r="X82" s="84"/>
      <c r="Y82" s="87">
        <f t="shared" si="8"/>
        <v>326985.24161960004</v>
      </c>
      <c r="Z82" s="4"/>
    </row>
    <row r="83" spans="2:26" x14ac:dyDescent="0.25">
      <c r="B83" s="105" t="s">
        <v>185</v>
      </c>
      <c r="C83" s="106" t="s">
        <v>197</v>
      </c>
      <c r="D83" s="98"/>
      <c r="E83" s="103">
        <v>42.8</v>
      </c>
      <c r="F83" s="100">
        <v>1</v>
      </c>
      <c r="G83" s="172">
        <v>1</v>
      </c>
      <c r="H83" s="173">
        <f t="shared" si="0"/>
        <v>42.8</v>
      </c>
      <c r="I83" s="174">
        <v>0</v>
      </c>
      <c r="J83" s="174">
        <v>1</v>
      </c>
      <c r="K83" s="174">
        <f t="shared" si="1"/>
        <v>0</v>
      </c>
      <c r="L83" s="175">
        <f t="shared" si="2"/>
        <v>42.8</v>
      </c>
      <c r="N83" s="86">
        <f t="shared" si="9"/>
        <v>0.51449999999999996</v>
      </c>
      <c r="P83" s="84">
        <f t="shared" si="4"/>
        <v>209506.73326685451</v>
      </c>
      <c r="Q83" s="87">
        <f t="shared" si="5"/>
        <v>4895.0171324031435</v>
      </c>
      <c r="S83" s="84">
        <v>190386.36457040449</v>
      </c>
      <c r="T83" s="87">
        <v>4448.2795460374882</v>
      </c>
      <c r="V83" s="88">
        <f t="shared" si="10"/>
        <v>0.10042929670721956</v>
      </c>
      <c r="X83" s="84"/>
      <c r="Y83" s="87"/>
      <c r="Z83" s="4"/>
    </row>
    <row r="84" spans="2:26" x14ac:dyDescent="0.25">
      <c r="B84" s="105" t="s">
        <v>177</v>
      </c>
      <c r="C84" s="106" t="s">
        <v>107</v>
      </c>
      <c r="D84" s="98"/>
      <c r="E84" s="103">
        <f>95.65+95.65+95.2+200.8</f>
        <v>487.3</v>
      </c>
      <c r="F84" s="100">
        <v>1</v>
      </c>
      <c r="G84" s="172">
        <v>1</v>
      </c>
      <c r="H84" s="173">
        <f t="shared" si="0"/>
        <v>487.3</v>
      </c>
      <c r="I84" s="174">
        <v>0</v>
      </c>
      <c r="J84" s="174">
        <v>1</v>
      </c>
      <c r="K84" s="174">
        <f t="shared" si="1"/>
        <v>0</v>
      </c>
      <c r="L84" s="175">
        <f t="shared" si="2"/>
        <v>487.3</v>
      </c>
      <c r="N84" s="86">
        <f t="shared" si="9"/>
        <v>5.8578999999999999</v>
      </c>
      <c r="P84" s="84">
        <f t="shared" si="4"/>
        <v>2385363.4456830071</v>
      </c>
      <c r="Q84" s="87">
        <f t="shared" si="5"/>
        <v>4895.0614522532469</v>
      </c>
      <c r="S84" s="84">
        <v>2167666.2488182168</v>
      </c>
      <c r="T84" s="87">
        <v>4448.3198210921746</v>
      </c>
      <c r="V84" s="88">
        <f t="shared" si="10"/>
        <v>0.10042929670721956</v>
      </c>
      <c r="X84" s="84">
        <v>54426.44</v>
      </c>
      <c r="Y84" s="87">
        <f t="shared" si="8"/>
        <v>2330937.0056830072</v>
      </c>
      <c r="Z84" s="4"/>
    </row>
    <row r="85" spans="2:26" x14ac:dyDescent="0.25">
      <c r="B85" s="116" t="s">
        <v>109</v>
      </c>
      <c r="C85" s="109" t="s">
        <v>172</v>
      </c>
      <c r="D85" s="94"/>
      <c r="E85" s="115">
        <f>89</f>
        <v>89</v>
      </c>
      <c r="F85" s="111">
        <v>1</v>
      </c>
      <c r="G85" s="172">
        <v>1</v>
      </c>
      <c r="H85" s="173">
        <f t="shared" si="0"/>
        <v>89</v>
      </c>
      <c r="I85" s="174">
        <v>0</v>
      </c>
      <c r="J85" s="174">
        <v>1</v>
      </c>
      <c r="K85" s="174">
        <f>ROUND(I85*J85,2)</f>
        <v>0</v>
      </c>
      <c r="L85" s="175">
        <f>H85+K85</f>
        <v>89</v>
      </c>
      <c r="N85" s="86">
        <f t="shared" si="9"/>
        <v>1.0699000000000001</v>
      </c>
      <c r="P85" s="84">
        <f t="shared" si="4"/>
        <v>435668.13201595278</v>
      </c>
      <c r="Q85" s="87">
        <f t="shared" si="5"/>
        <v>4895.1475507410423</v>
      </c>
      <c r="S85" s="84">
        <v>395907.4275099627</v>
      </c>
      <c r="T85" s="87">
        <v>4448.3980619096928</v>
      </c>
      <c r="V85" s="88">
        <f t="shared" si="10"/>
        <v>0.10042929670721956</v>
      </c>
      <c r="X85" s="84">
        <v>16242.01</v>
      </c>
      <c r="Y85" s="87">
        <f t="shared" si="8"/>
        <v>419426.12201595277</v>
      </c>
      <c r="Z85" s="4"/>
    </row>
    <row r="86" spans="2:26" x14ac:dyDescent="0.25">
      <c r="B86" s="116" t="s">
        <v>189</v>
      </c>
      <c r="C86" s="109" t="s">
        <v>191</v>
      </c>
      <c r="D86" s="94"/>
      <c r="E86" s="115">
        <v>19.600000000000001</v>
      </c>
      <c r="F86" s="111">
        <v>0</v>
      </c>
      <c r="G86" s="172">
        <v>0</v>
      </c>
      <c r="H86" s="173">
        <f>ROUND(E86*G86*F86,2)</f>
        <v>0</v>
      </c>
      <c r="I86" s="174">
        <v>0</v>
      </c>
      <c r="J86" s="174">
        <v>1</v>
      </c>
      <c r="K86" s="174">
        <f>ROUND(I86*J86,2)</f>
        <v>0</v>
      </c>
      <c r="L86" s="175">
        <f>H86+K86</f>
        <v>0</v>
      </c>
      <c r="N86" s="86">
        <f t="shared" si="9"/>
        <v>0</v>
      </c>
      <c r="P86" s="84">
        <f>($P$12*N86)/100</f>
        <v>0</v>
      </c>
      <c r="Q86" s="87">
        <f>P86/E86</f>
        <v>0</v>
      </c>
      <c r="S86" s="84">
        <v>0</v>
      </c>
      <c r="T86" s="87">
        <v>0</v>
      </c>
      <c r="V86" s="88" t="e">
        <f t="shared" si="10"/>
        <v>#DIV/0!</v>
      </c>
      <c r="X86" s="84">
        <v>0</v>
      </c>
      <c r="Y86" s="87">
        <f t="shared" si="8"/>
        <v>0</v>
      </c>
      <c r="Z86" s="4"/>
    </row>
    <row r="87" spans="2:26" x14ac:dyDescent="0.25">
      <c r="B87" s="105" t="s">
        <v>110</v>
      </c>
      <c r="C87" s="106" t="s">
        <v>173</v>
      </c>
      <c r="D87" s="98"/>
      <c r="E87" s="103">
        <v>89.6</v>
      </c>
      <c r="F87" s="100">
        <v>1</v>
      </c>
      <c r="G87" s="172">
        <v>1</v>
      </c>
      <c r="H87" s="173">
        <f>ROUND(E87*G87*F87,2)</f>
        <v>89.6</v>
      </c>
      <c r="I87" s="174">
        <v>0</v>
      </c>
      <c r="J87" s="174">
        <v>1</v>
      </c>
      <c r="K87" s="174">
        <f>ROUND(I87*J87,2)</f>
        <v>0</v>
      </c>
      <c r="L87" s="175">
        <f>H87+K87</f>
        <v>89.6</v>
      </c>
      <c r="N87" s="86">
        <f t="shared" si="9"/>
        <v>1.0770999999999999</v>
      </c>
      <c r="P87" s="84">
        <f>($P$12*N87)/100</f>
        <v>438600.00466808357</v>
      </c>
      <c r="Q87" s="87">
        <f>P87/E87</f>
        <v>4895.0893378134333</v>
      </c>
      <c r="S87" s="84">
        <v>398571.72648937354</v>
      </c>
      <c r="T87" s="87">
        <v>4448.3451617117589</v>
      </c>
      <c r="V87" s="88">
        <f>(P87/S87)-1</f>
        <v>0.10042929670721956</v>
      </c>
      <c r="X87" s="84">
        <v>17021.759999999998</v>
      </c>
      <c r="Y87" s="87">
        <f t="shared" si="8"/>
        <v>421578.24466808356</v>
      </c>
      <c r="Z87" s="4"/>
    </row>
    <row r="88" spans="2:26" x14ac:dyDescent="0.25">
      <c r="B88" s="184"/>
      <c r="C88" s="185" t="s">
        <v>234</v>
      </c>
      <c r="D88" s="98"/>
      <c r="E88" s="186">
        <v>68</v>
      </c>
      <c r="F88" s="100">
        <v>1</v>
      </c>
      <c r="G88" s="172">
        <v>1</v>
      </c>
      <c r="H88" s="173">
        <f>ROUND(E88*G88*F88,2)</f>
        <v>68</v>
      </c>
      <c r="I88" s="174">
        <v>0</v>
      </c>
      <c r="J88" s="174">
        <v>1</v>
      </c>
      <c r="K88" s="174">
        <f>ROUND(I88*J88,2)</f>
        <v>0</v>
      </c>
      <c r="L88" s="175">
        <f>H88+K88</f>
        <v>68</v>
      </c>
      <c r="N88" s="86">
        <f t="shared" si="9"/>
        <v>0.81740000000000002</v>
      </c>
      <c r="P88" s="84">
        <f>($P$12*N88)/100</f>
        <v>332848.98692386178</v>
      </c>
      <c r="Q88" s="87">
        <f>P88/E88</f>
        <v>4894.838042997967</v>
      </c>
      <c r="S88" s="84">
        <v>302471.94246812176</v>
      </c>
      <c r="T88" s="87">
        <v>4448.1168010017909</v>
      </c>
      <c r="V88" s="88">
        <f>(P88/S88)-1</f>
        <v>0.10042929670721956</v>
      </c>
      <c r="X88" s="187"/>
      <c r="Y88" s="188"/>
      <c r="Z88" s="4"/>
    </row>
    <row r="89" spans="2:26" ht="13.5" thickBot="1" x14ac:dyDescent="0.3">
      <c r="B89" s="144" t="s">
        <v>178</v>
      </c>
      <c r="C89" s="145" t="s">
        <v>221</v>
      </c>
      <c r="D89" s="98"/>
      <c r="E89" s="164">
        <v>76</v>
      </c>
      <c r="F89" s="148">
        <v>1</v>
      </c>
      <c r="G89" s="176">
        <v>1</v>
      </c>
      <c r="H89" s="177">
        <f>ROUND(E89*G89*F89,2)</f>
        <v>76</v>
      </c>
      <c r="I89" s="178">
        <v>0</v>
      </c>
      <c r="J89" s="178">
        <v>1</v>
      </c>
      <c r="K89" s="178">
        <f>ROUND(I89*J89,2)</f>
        <v>0</v>
      </c>
      <c r="L89" s="179">
        <f>H89+K89</f>
        <v>76</v>
      </c>
      <c r="M89" s="80"/>
      <c r="N89" s="182">
        <f t="shared" si="9"/>
        <v>0.91359999999999997</v>
      </c>
      <c r="O89" s="80"/>
      <c r="P89" s="146">
        <f>($P$12*N89)/100</f>
        <v>372022.06319261086</v>
      </c>
      <c r="Q89" s="89">
        <f>P89/E89</f>
        <v>4895.0271472711956</v>
      </c>
      <c r="S89" s="146">
        <v>338069.93716525083</v>
      </c>
      <c r="T89" s="89">
        <v>4448.2886469111954</v>
      </c>
      <c r="V89" s="90">
        <f>(P89/S89)-1</f>
        <v>0.10042929670721956</v>
      </c>
      <c r="X89" s="146">
        <v>15437.42</v>
      </c>
      <c r="Y89" s="89">
        <f t="shared" si="8"/>
        <v>356584.64319261088</v>
      </c>
      <c r="Z89" s="4"/>
    </row>
    <row r="90" spans="2:26" ht="13.5" thickBot="1" x14ac:dyDescent="0.3">
      <c r="B90" s="42"/>
      <c r="C90" s="43"/>
      <c r="E90" s="44"/>
      <c r="F90" s="44"/>
      <c r="G90" s="45"/>
      <c r="H90" s="46"/>
      <c r="I90" s="44"/>
      <c r="J90" s="44"/>
      <c r="K90" s="44"/>
      <c r="L90" s="44"/>
      <c r="N90" s="47"/>
      <c r="P90" s="48"/>
      <c r="Q90" s="48"/>
      <c r="S90" s="48"/>
      <c r="T90" s="48"/>
      <c r="V90" s="49"/>
      <c r="X90" s="48"/>
      <c r="Y90" s="48"/>
      <c r="Z90" s="66"/>
    </row>
    <row r="91" spans="2:26" ht="13.5" thickBot="1" x14ac:dyDescent="0.3">
      <c r="B91" s="139">
        <v>148</v>
      </c>
      <c r="C91" s="140" t="s">
        <v>111</v>
      </c>
      <c r="D91" s="98"/>
      <c r="E91" s="141">
        <v>20</v>
      </c>
      <c r="F91" s="142">
        <v>1</v>
      </c>
      <c r="G91" s="37">
        <v>1</v>
      </c>
      <c r="H91" s="38">
        <f t="shared" ref="H91:H113" si="11">ROUND(E91*G91*F91,2)</f>
        <v>20</v>
      </c>
      <c r="I91" s="36">
        <v>0</v>
      </c>
      <c r="J91" s="36">
        <v>1</v>
      </c>
      <c r="K91" s="36">
        <v>0</v>
      </c>
      <c r="L91" s="153">
        <f>H91+K91</f>
        <v>20</v>
      </c>
      <c r="N91" s="181">
        <f t="shared" ref="N91:N113" si="12">ROUND((L91/$L$115)*100,4)</f>
        <v>0.2404</v>
      </c>
      <c r="P91" s="152">
        <f t="shared" ref="P91:P113" si="13">($P$12*N91)/100</f>
        <v>97891.970218370916</v>
      </c>
      <c r="Q91" s="154">
        <f t="shared" ref="Q91:Q113" si="14">P91/E91</f>
        <v>4894.5985109185458</v>
      </c>
      <c r="S91" s="152">
        <v>88957.982590330896</v>
      </c>
      <c r="T91" s="154">
        <v>4447.8991295165451</v>
      </c>
      <c r="V91" s="90">
        <f t="shared" ref="V91:V113" si="15">(P91/S91)-1</f>
        <v>0.10042929670721956</v>
      </c>
      <c r="X91" s="48"/>
      <c r="Y91" s="48"/>
      <c r="Z91" s="66"/>
    </row>
    <row r="92" spans="2:26" ht="13.5" thickBot="1" x14ac:dyDescent="0.3">
      <c r="B92" s="105">
        <v>149</v>
      </c>
      <c r="C92" s="106" t="s">
        <v>112</v>
      </c>
      <c r="D92" s="98"/>
      <c r="E92" s="107">
        <v>28</v>
      </c>
      <c r="F92" s="100">
        <v>1</v>
      </c>
      <c r="G92" s="39">
        <v>1</v>
      </c>
      <c r="H92" s="40">
        <f t="shared" si="11"/>
        <v>28</v>
      </c>
      <c r="I92" s="41">
        <v>0</v>
      </c>
      <c r="J92" s="41">
        <v>1</v>
      </c>
      <c r="K92" s="41">
        <v>0</v>
      </c>
      <c r="L92" s="85">
        <f t="shared" ref="L92:L113" si="16">H92+K92</f>
        <v>28</v>
      </c>
      <c r="N92" s="86">
        <f t="shared" si="12"/>
        <v>0.33660000000000001</v>
      </c>
      <c r="P92" s="84">
        <f t="shared" si="13"/>
        <v>137065.04648712001</v>
      </c>
      <c r="Q92" s="87">
        <f t="shared" si="14"/>
        <v>4895.1802316828571</v>
      </c>
      <c r="S92" s="84">
        <v>124555.97728745999</v>
      </c>
      <c r="T92" s="87">
        <v>4448.4277602664279</v>
      </c>
      <c r="V92" s="90">
        <f t="shared" si="15"/>
        <v>0.10042929670721956</v>
      </c>
      <c r="X92" s="48"/>
      <c r="Y92" s="48"/>
      <c r="Z92" s="66"/>
    </row>
    <row r="93" spans="2:26" ht="13.5" thickBot="1" x14ac:dyDescent="0.3">
      <c r="B93" s="105">
        <v>150</v>
      </c>
      <c r="C93" s="106" t="s">
        <v>203</v>
      </c>
      <c r="D93" s="98"/>
      <c r="E93" s="107">
        <v>65</v>
      </c>
      <c r="F93" s="100">
        <v>1</v>
      </c>
      <c r="G93" s="39">
        <v>1</v>
      </c>
      <c r="H93" s="40">
        <f t="shared" si="11"/>
        <v>65</v>
      </c>
      <c r="I93" s="41">
        <v>0</v>
      </c>
      <c r="J93" s="41">
        <v>1</v>
      </c>
      <c r="K93" s="41">
        <v>0</v>
      </c>
      <c r="L93" s="85">
        <f t="shared" si="16"/>
        <v>65</v>
      </c>
      <c r="N93" s="86">
        <f t="shared" si="12"/>
        <v>0.78139999999999998</v>
      </c>
      <c r="P93" s="84">
        <f t="shared" si="13"/>
        <v>318189.62366320728</v>
      </c>
      <c r="Q93" s="87">
        <f t="shared" si="14"/>
        <v>4895.2249794339587</v>
      </c>
      <c r="S93" s="84">
        <v>289150.4475710672</v>
      </c>
      <c r="T93" s="87">
        <v>4448.4684241702644</v>
      </c>
      <c r="V93" s="90">
        <f t="shared" si="15"/>
        <v>0.10042929670721978</v>
      </c>
      <c r="X93" s="48"/>
      <c r="Y93" s="48"/>
      <c r="Z93" s="66"/>
    </row>
    <row r="94" spans="2:26" ht="13.5" thickBot="1" x14ac:dyDescent="0.3">
      <c r="B94" s="105">
        <v>151</v>
      </c>
      <c r="C94" s="106" t="s">
        <v>174</v>
      </c>
      <c r="D94" s="98"/>
      <c r="E94" s="107">
        <v>67</v>
      </c>
      <c r="F94" s="100">
        <v>1</v>
      </c>
      <c r="G94" s="39">
        <v>1</v>
      </c>
      <c r="H94" s="40">
        <f t="shared" si="11"/>
        <v>67</v>
      </c>
      <c r="I94" s="41">
        <v>0</v>
      </c>
      <c r="J94" s="41">
        <v>1</v>
      </c>
      <c r="K94" s="41">
        <v>0</v>
      </c>
      <c r="L94" s="85">
        <f t="shared" si="16"/>
        <v>67</v>
      </c>
      <c r="N94" s="86">
        <f t="shared" si="12"/>
        <v>0.8054</v>
      </c>
      <c r="P94" s="84">
        <f t="shared" si="13"/>
        <v>327962.53250364366</v>
      </c>
      <c r="Q94" s="87">
        <f t="shared" si="14"/>
        <v>4894.963171696174</v>
      </c>
      <c r="S94" s="84">
        <v>298031.44416910358</v>
      </c>
      <c r="T94" s="87">
        <v>4448.2305099866207</v>
      </c>
      <c r="V94" s="90">
        <f t="shared" si="15"/>
        <v>0.10042929670721978</v>
      </c>
      <c r="X94" s="48"/>
      <c r="Y94" s="48"/>
      <c r="Z94" s="66"/>
    </row>
    <row r="95" spans="2:26" ht="13.5" thickBot="1" x14ac:dyDescent="0.3">
      <c r="B95" s="105">
        <v>152</v>
      </c>
      <c r="C95" s="106" t="s">
        <v>113</v>
      </c>
      <c r="D95" s="98"/>
      <c r="E95" s="107">
        <v>89</v>
      </c>
      <c r="F95" s="100">
        <v>1</v>
      </c>
      <c r="G95" s="39">
        <v>1</v>
      </c>
      <c r="H95" s="40">
        <f t="shared" si="11"/>
        <v>89</v>
      </c>
      <c r="I95" s="41">
        <v>0</v>
      </c>
      <c r="J95" s="41">
        <v>1</v>
      </c>
      <c r="K95" s="41">
        <v>0</v>
      </c>
      <c r="L95" s="85">
        <f t="shared" si="16"/>
        <v>89</v>
      </c>
      <c r="N95" s="86">
        <f t="shared" si="12"/>
        <v>1.0699000000000001</v>
      </c>
      <c r="P95" s="84">
        <f t="shared" si="13"/>
        <v>435668.13201595278</v>
      </c>
      <c r="Q95" s="87">
        <f t="shared" si="14"/>
        <v>4895.1475507410423</v>
      </c>
      <c r="S95" s="84">
        <v>395907.4275099627</v>
      </c>
      <c r="T95" s="87">
        <v>4448.3980619096928</v>
      </c>
      <c r="V95" s="90">
        <f t="shared" si="15"/>
        <v>0.10042929670721956</v>
      </c>
      <c r="X95" s="48"/>
      <c r="Y95" s="48"/>
      <c r="Z95" s="66"/>
    </row>
    <row r="96" spans="2:26" ht="13.5" thickBot="1" x14ac:dyDescent="0.3">
      <c r="B96" s="105">
        <v>153</v>
      </c>
      <c r="C96" s="106" t="s">
        <v>166</v>
      </c>
      <c r="D96" s="98"/>
      <c r="E96" s="107">
        <v>26</v>
      </c>
      <c r="F96" s="100">
        <v>1</v>
      </c>
      <c r="G96" s="39">
        <v>1</v>
      </c>
      <c r="H96" s="40">
        <f t="shared" si="11"/>
        <v>26</v>
      </c>
      <c r="I96" s="41">
        <v>0</v>
      </c>
      <c r="J96" s="41">
        <v>1</v>
      </c>
      <c r="K96" s="41">
        <v>0</v>
      </c>
      <c r="L96" s="85">
        <f t="shared" si="16"/>
        <v>26</v>
      </c>
      <c r="N96" s="86">
        <f t="shared" si="12"/>
        <v>0.3125</v>
      </c>
      <c r="P96" s="84">
        <f t="shared" si="13"/>
        <v>127251.41719318181</v>
      </c>
      <c r="Q96" s="87">
        <f t="shared" si="14"/>
        <v>4894.2852766608394</v>
      </c>
      <c r="S96" s="84">
        <v>115637.9765369318</v>
      </c>
      <c r="T96" s="87">
        <v>4447.6144821896851</v>
      </c>
      <c r="V96" s="90">
        <f t="shared" si="15"/>
        <v>0.10042929670721956</v>
      </c>
      <c r="X96" s="48"/>
      <c r="Y96" s="48"/>
      <c r="Z96" s="66"/>
    </row>
    <row r="97" spans="2:26" ht="13.5" thickBot="1" x14ac:dyDescent="0.3">
      <c r="B97" s="105">
        <v>154</v>
      </c>
      <c r="C97" s="106" t="s">
        <v>167</v>
      </c>
      <c r="D97" s="98"/>
      <c r="E97" s="107">
        <v>14.19</v>
      </c>
      <c r="F97" s="100">
        <v>1</v>
      </c>
      <c r="G97" s="39">
        <v>1</v>
      </c>
      <c r="H97" s="40">
        <f t="shared" si="11"/>
        <v>14.19</v>
      </c>
      <c r="I97" s="41">
        <v>0</v>
      </c>
      <c r="J97" s="41">
        <v>1</v>
      </c>
      <c r="K97" s="41">
        <v>0</v>
      </c>
      <c r="L97" s="85">
        <f t="shared" si="16"/>
        <v>14.19</v>
      </c>
      <c r="N97" s="86">
        <f t="shared" si="12"/>
        <v>0.1706</v>
      </c>
      <c r="P97" s="84">
        <f t="shared" si="13"/>
        <v>69469.093674101823</v>
      </c>
      <c r="Q97" s="87">
        <f t="shared" si="14"/>
        <v>4895.6373272799028</v>
      </c>
      <c r="S97" s="84">
        <v>63129.084151041803</v>
      </c>
      <c r="T97" s="87">
        <v>4448.8431396083024</v>
      </c>
      <c r="V97" s="90">
        <f t="shared" si="15"/>
        <v>0.10042929670721978</v>
      </c>
      <c r="X97" s="48"/>
      <c r="Y97" s="48"/>
      <c r="Z97" s="66"/>
    </row>
    <row r="98" spans="2:26" ht="13.5" thickBot="1" x14ac:dyDescent="0.3">
      <c r="B98" s="105">
        <v>155</v>
      </c>
      <c r="C98" s="106" t="s">
        <v>114</v>
      </c>
      <c r="D98" s="98"/>
      <c r="E98" s="107">
        <v>134</v>
      </c>
      <c r="F98" s="100">
        <v>1</v>
      </c>
      <c r="G98" s="39">
        <v>1</v>
      </c>
      <c r="H98" s="40">
        <f t="shared" si="11"/>
        <v>134</v>
      </c>
      <c r="I98" s="41">
        <v>0</v>
      </c>
      <c r="J98" s="41">
        <v>1</v>
      </c>
      <c r="K98" s="41">
        <v>0</v>
      </c>
      <c r="L98" s="85">
        <f t="shared" si="16"/>
        <v>134</v>
      </c>
      <c r="N98" s="86">
        <f t="shared" si="12"/>
        <v>1.6108</v>
      </c>
      <c r="P98" s="84">
        <f t="shared" si="13"/>
        <v>655925.06500728731</v>
      </c>
      <c r="Q98" s="87">
        <f t="shared" si="14"/>
        <v>4894.963171696174</v>
      </c>
      <c r="S98" s="84">
        <v>596062.88833820715</v>
      </c>
      <c r="T98" s="87">
        <v>4448.2305099866207</v>
      </c>
      <c r="V98" s="90">
        <f t="shared" si="15"/>
        <v>0.10042929670721978</v>
      </c>
      <c r="X98" s="48"/>
      <c r="Y98" s="48"/>
      <c r="Z98" s="66"/>
    </row>
    <row r="99" spans="2:26" ht="13.5" thickBot="1" x14ac:dyDescent="0.3">
      <c r="B99" s="105">
        <v>156</v>
      </c>
      <c r="C99" s="106" t="s">
        <v>115</v>
      </c>
      <c r="D99" s="98"/>
      <c r="E99" s="107">
        <v>72</v>
      </c>
      <c r="F99" s="100">
        <v>1</v>
      </c>
      <c r="G99" s="39">
        <v>1</v>
      </c>
      <c r="H99" s="40">
        <f t="shared" si="11"/>
        <v>72</v>
      </c>
      <c r="I99" s="41">
        <v>0</v>
      </c>
      <c r="J99" s="41">
        <v>1</v>
      </c>
      <c r="K99" s="41">
        <v>0</v>
      </c>
      <c r="L99" s="85">
        <f t="shared" si="16"/>
        <v>72</v>
      </c>
      <c r="N99" s="86">
        <f t="shared" si="12"/>
        <v>0.86550000000000005</v>
      </c>
      <c r="P99" s="84">
        <f t="shared" si="13"/>
        <v>352435.52505823632</v>
      </c>
      <c r="Q99" s="87">
        <f t="shared" si="14"/>
        <v>4894.9378480310597</v>
      </c>
      <c r="S99" s="84">
        <v>320270.93981668632</v>
      </c>
      <c r="T99" s="87">
        <v>4448.2074974539764</v>
      </c>
      <c r="V99" s="90">
        <f t="shared" si="15"/>
        <v>0.10042929670721934</v>
      </c>
      <c r="X99" s="48"/>
      <c r="Y99" s="48"/>
      <c r="Z99" s="66"/>
    </row>
    <row r="100" spans="2:26" ht="13.5" thickBot="1" x14ac:dyDescent="0.3">
      <c r="B100" s="105">
        <v>157</v>
      </c>
      <c r="C100" s="106" t="s">
        <v>182</v>
      </c>
      <c r="D100" s="98"/>
      <c r="E100" s="107">
        <v>103</v>
      </c>
      <c r="F100" s="100">
        <v>1</v>
      </c>
      <c r="G100" s="39">
        <v>1</v>
      </c>
      <c r="H100" s="40">
        <f t="shared" si="11"/>
        <v>103</v>
      </c>
      <c r="I100" s="41">
        <v>0</v>
      </c>
      <c r="J100" s="41">
        <v>1</v>
      </c>
      <c r="K100" s="41">
        <v>0</v>
      </c>
      <c r="L100" s="85">
        <f t="shared" si="16"/>
        <v>103</v>
      </c>
      <c r="N100" s="86">
        <f t="shared" si="12"/>
        <v>1.2382</v>
      </c>
      <c r="P100" s="84">
        <f t="shared" si="13"/>
        <v>504200.65525951266</v>
      </c>
      <c r="Q100" s="87">
        <f t="shared" si="14"/>
        <v>4895.1519928108028</v>
      </c>
      <c r="S100" s="84">
        <v>458185.41615369258</v>
      </c>
      <c r="T100" s="87">
        <v>4448.4020985795396</v>
      </c>
      <c r="V100" s="90">
        <f t="shared" si="15"/>
        <v>0.10042929670721956</v>
      </c>
      <c r="X100" s="48"/>
      <c r="Y100" s="48"/>
      <c r="Z100" s="66"/>
    </row>
    <row r="101" spans="2:26" ht="13.5" thickBot="1" x14ac:dyDescent="0.3">
      <c r="B101" s="105">
        <v>158</v>
      </c>
      <c r="C101" s="106" t="s">
        <v>201</v>
      </c>
      <c r="D101" s="98"/>
      <c r="E101" s="107">
        <v>45</v>
      </c>
      <c r="F101" s="100">
        <v>1</v>
      </c>
      <c r="G101" s="39">
        <v>1</v>
      </c>
      <c r="H101" s="40">
        <f t="shared" si="11"/>
        <v>45</v>
      </c>
      <c r="I101" s="41">
        <v>0</v>
      </c>
      <c r="J101" s="41">
        <v>1</v>
      </c>
      <c r="K101" s="41">
        <v>0</v>
      </c>
      <c r="L101" s="85">
        <f t="shared" si="16"/>
        <v>45</v>
      </c>
      <c r="N101" s="86">
        <f t="shared" si="12"/>
        <v>0.54090000000000005</v>
      </c>
      <c r="P101" s="84">
        <f t="shared" si="13"/>
        <v>220256.93299133459</v>
      </c>
      <c r="Q101" s="87">
        <f t="shared" si="14"/>
        <v>4894.5985109185467</v>
      </c>
      <c r="S101" s="84">
        <v>200155.46082824454</v>
      </c>
      <c r="T101" s="87">
        <v>4447.8991295165451</v>
      </c>
      <c r="V101" s="90">
        <f t="shared" si="15"/>
        <v>0.10042929670721956</v>
      </c>
      <c r="X101" s="48"/>
      <c r="Y101" s="48"/>
      <c r="Z101" s="66"/>
    </row>
    <row r="102" spans="2:26" ht="13.5" thickBot="1" x14ac:dyDescent="0.3">
      <c r="B102" s="105">
        <v>159</v>
      </c>
      <c r="C102" s="106" t="s">
        <v>201</v>
      </c>
      <c r="D102" s="98"/>
      <c r="E102" s="107">
        <v>48</v>
      </c>
      <c r="F102" s="100">
        <v>1</v>
      </c>
      <c r="G102" s="39">
        <v>1</v>
      </c>
      <c r="H102" s="40">
        <f t="shared" si="11"/>
        <v>48</v>
      </c>
      <c r="I102" s="41">
        <v>0</v>
      </c>
      <c r="J102" s="41">
        <v>1</v>
      </c>
      <c r="K102" s="41">
        <v>0</v>
      </c>
      <c r="L102" s="85">
        <f t="shared" si="16"/>
        <v>48</v>
      </c>
      <c r="N102" s="86">
        <f t="shared" si="12"/>
        <v>0.57699999999999996</v>
      </c>
      <c r="P102" s="84">
        <f t="shared" si="13"/>
        <v>234957.01670549088</v>
      </c>
      <c r="Q102" s="87">
        <f t="shared" si="14"/>
        <v>4894.9378480310597</v>
      </c>
      <c r="S102" s="84">
        <v>213513.95987779085</v>
      </c>
      <c r="T102" s="87">
        <v>4448.2074974539764</v>
      </c>
      <c r="V102" s="90">
        <f t="shared" si="15"/>
        <v>0.10042929670721956</v>
      </c>
      <c r="X102" s="48"/>
      <c r="Y102" s="48"/>
      <c r="Z102" s="66"/>
    </row>
    <row r="103" spans="2:26" ht="13.5" thickBot="1" x14ac:dyDescent="0.3">
      <c r="B103" s="105">
        <v>160</v>
      </c>
      <c r="C103" s="106" t="s">
        <v>196</v>
      </c>
      <c r="D103" s="98"/>
      <c r="E103" s="107">
        <v>79</v>
      </c>
      <c r="F103" s="100">
        <v>1</v>
      </c>
      <c r="G103" s="39">
        <v>1</v>
      </c>
      <c r="H103" s="40">
        <f t="shared" si="11"/>
        <v>79</v>
      </c>
      <c r="I103" s="41">
        <v>0</v>
      </c>
      <c r="J103" s="41">
        <v>1</v>
      </c>
      <c r="K103" s="41">
        <v>0</v>
      </c>
      <c r="L103" s="85">
        <f t="shared" si="16"/>
        <v>79</v>
      </c>
      <c r="N103" s="86">
        <f t="shared" si="12"/>
        <v>0.94969999999999999</v>
      </c>
      <c r="P103" s="84">
        <f t="shared" si="13"/>
        <v>386722.14690676727</v>
      </c>
      <c r="Q103" s="87">
        <f t="shared" si="14"/>
        <v>4895.21704945275</v>
      </c>
      <c r="S103" s="84">
        <v>351428.4362147972</v>
      </c>
      <c r="T103" s="87">
        <v>4448.4612179088253</v>
      </c>
      <c r="V103" s="90">
        <f t="shared" si="15"/>
        <v>0.10042929670721956</v>
      </c>
      <c r="X103" s="48"/>
      <c r="Y103" s="48"/>
      <c r="Z103" s="66"/>
    </row>
    <row r="104" spans="2:26" ht="13.5" thickBot="1" x14ac:dyDescent="0.3">
      <c r="B104" s="105">
        <v>161</v>
      </c>
      <c r="C104" s="106" t="s">
        <v>116</v>
      </c>
      <c r="D104" s="98"/>
      <c r="E104" s="107">
        <v>95</v>
      </c>
      <c r="F104" s="100">
        <v>1</v>
      </c>
      <c r="G104" s="39">
        <v>1</v>
      </c>
      <c r="H104" s="40">
        <f t="shared" si="11"/>
        <v>95</v>
      </c>
      <c r="I104" s="41">
        <v>0</v>
      </c>
      <c r="J104" s="41">
        <v>1</v>
      </c>
      <c r="K104" s="41">
        <v>0</v>
      </c>
      <c r="L104" s="85">
        <f t="shared" si="16"/>
        <v>95</v>
      </c>
      <c r="N104" s="86">
        <f t="shared" si="12"/>
        <v>1.1419999999999999</v>
      </c>
      <c r="P104" s="84">
        <f t="shared" si="13"/>
        <v>465027.57899076358</v>
      </c>
      <c r="Q104" s="87">
        <f t="shared" si="14"/>
        <v>4895.0271472711956</v>
      </c>
      <c r="S104" s="84">
        <v>422587.42145656352</v>
      </c>
      <c r="T104" s="87">
        <v>4448.2886469111945</v>
      </c>
      <c r="V104" s="90">
        <f t="shared" si="15"/>
        <v>0.10042929670721956</v>
      </c>
      <c r="X104" s="48"/>
      <c r="Y104" s="48"/>
      <c r="Z104" s="66"/>
    </row>
    <row r="105" spans="2:26" ht="13.5" thickBot="1" x14ac:dyDescent="0.3">
      <c r="B105" s="105">
        <v>162</v>
      </c>
      <c r="C105" s="106" t="s">
        <v>217</v>
      </c>
      <c r="D105" s="98"/>
      <c r="E105" s="107">
        <v>95</v>
      </c>
      <c r="F105" s="100">
        <v>1</v>
      </c>
      <c r="G105" s="39">
        <v>1</v>
      </c>
      <c r="H105" s="40">
        <f t="shared" si="11"/>
        <v>95</v>
      </c>
      <c r="I105" s="41">
        <v>0</v>
      </c>
      <c r="J105" s="41">
        <v>1</v>
      </c>
      <c r="K105" s="41">
        <v>0</v>
      </c>
      <c r="L105" s="85">
        <f t="shared" si="16"/>
        <v>95</v>
      </c>
      <c r="N105" s="86">
        <f t="shared" si="12"/>
        <v>1.1419999999999999</v>
      </c>
      <c r="P105" s="84">
        <f t="shared" si="13"/>
        <v>465027.57899076358</v>
      </c>
      <c r="Q105" s="87">
        <f t="shared" si="14"/>
        <v>4895.0271472711956</v>
      </c>
      <c r="S105" s="84">
        <v>422587.42145656352</v>
      </c>
      <c r="T105" s="87">
        <v>4448.2886469111945</v>
      </c>
      <c r="V105" s="90">
        <f t="shared" si="15"/>
        <v>0.10042929670721956</v>
      </c>
      <c r="X105" s="48"/>
      <c r="Y105" s="48"/>
      <c r="Z105" s="66"/>
    </row>
    <row r="106" spans="2:26" ht="13.5" thickBot="1" x14ac:dyDescent="0.3">
      <c r="B106" s="105">
        <v>163</v>
      </c>
      <c r="C106" s="106" t="s">
        <v>175</v>
      </c>
      <c r="D106" s="98"/>
      <c r="E106" s="107">
        <v>67</v>
      </c>
      <c r="F106" s="100">
        <v>1</v>
      </c>
      <c r="G106" s="39">
        <v>1</v>
      </c>
      <c r="H106" s="40">
        <f t="shared" si="11"/>
        <v>67</v>
      </c>
      <c r="I106" s="41">
        <v>0</v>
      </c>
      <c r="J106" s="41">
        <v>1</v>
      </c>
      <c r="K106" s="41">
        <v>0</v>
      </c>
      <c r="L106" s="85">
        <f t="shared" si="16"/>
        <v>67</v>
      </c>
      <c r="N106" s="86">
        <f t="shared" si="12"/>
        <v>0.8054</v>
      </c>
      <c r="P106" s="84">
        <f t="shared" si="13"/>
        <v>327962.53250364366</v>
      </c>
      <c r="Q106" s="87">
        <f t="shared" si="14"/>
        <v>4894.963171696174</v>
      </c>
      <c r="S106" s="84">
        <v>298031.44416910358</v>
      </c>
      <c r="T106" s="87">
        <v>4448.2305099866207</v>
      </c>
      <c r="V106" s="90">
        <f t="shared" si="15"/>
        <v>0.10042929670721978</v>
      </c>
      <c r="X106" s="48"/>
      <c r="Y106" s="48"/>
      <c r="Z106" s="66"/>
    </row>
    <row r="107" spans="2:26" ht="13.5" thickBot="1" x14ac:dyDescent="0.3">
      <c r="B107" s="105">
        <v>164</v>
      </c>
      <c r="C107" s="106" t="s">
        <v>228</v>
      </c>
      <c r="D107" s="98"/>
      <c r="E107" s="107">
        <v>70</v>
      </c>
      <c r="F107" s="100">
        <v>1</v>
      </c>
      <c r="G107" s="39">
        <v>1</v>
      </c>
      <c r="H107" s="40">
        <f t="shared" si="11"/>
        <v>70</v>
      </c>
      <c r="I107" s="41">
        <v>0</v>
      </c>
      <c r="J107" s="41">
        <v>1</v>
      </c>
      <c r="K107" s="41">
        <v>0</v>
      </c>
      <c r="L107" s="85">
        <f t="shared" si="16"/>
        <v>70</v>
      </c>
      <c r="N107" s="86">
        <f t="shared" si="12"/>
        <v>0.84150000000000003</v>
      </c>
      <c r="P107" s="84">
        <f t="shared" si="13"/>
        <v>342662.61621780001</v>
      </c>
      <c r="Q107" s="87">
        <f t="shared" si="14"/>
        <v>4895.1802316828571</v>
      </c>
      <c r="S107" s="84">
        <v>311389.94321864995</v>
      </c>
      <c r="T107" s="87">
        <v>4448.4277602664279</v>
      </c>
      <c r="V107" s="90">
        <f t="shared" si="15"/>
        <v>0.10042929670721956</v>
      </c>
      <c r="X107" s="48"/>
      <c r="Y107" s="48"/>
      <c r="Z107" s="66"/>
    </row>
    <row r="108" spans="2:26" ht="13.5" thickBot="1" x14ac:dyDescent="0.3">
      <c r="B108" s="105">
        <v>165</v>
      </c>
      <c r="C108" s="106" t="s">
        <v>67</v>
      </c>
      <c r="D108" s="98"/>
      <c r="E108" s="107">
        <v>80</v>
      </c>
      <c r="F108" s="100">
        <v>1</v>
      </c>
      <c r="G108" s="39">
        <v>1</v>
      </c>
      <c r="H108" s="40">
        <f t="shared" si="11"/>
        <v>80</v>
      </c>
      <c r="I108" s="41">
        <v>0</v>
      </c>
      <c r="J108" s="41">
        <v>1</v>
      </c>
      <c r="K108" s="41">
        <v>0</v>
      </c>
      <c r="L108" s="85">
        <f t="shared" si="16"/>
        <v>80</v>
      </c>
      <c r="N108" s="86">
        <f t="shared" si="12"/>
        <v>0.9617</v>
      </c>
      <c r="P108" s="84">
        <f t="shared" si="13"/>
        <v>391608.60132698546</v>
      </c>
      <c r="Q108" s="87">
        <f t="shared" si="14"/>
        <v>4895.1075165873181</v>
      </c>
      <c r="S108" s="84">
        <v>355868.93451381545</v>
      </c>
      <c r="T108" s="87">
        <v>4448.3616814226934</v>
      </c>
      <c r="V108" s="90">
        <f t="shared" si="15"/>
        <v>0.10042929670721934</v>
      </c>
      <c r="X108" s="48"/>
      <c r="Y108" s="48"/>
      <c r="Z108" s="66"/>
    </row>
    <row r="109" spans="2:26" ht="13.5" thickBot="1" x14ac:dyDescent="0.3">
      <c r="B109" s="108">
        <v>166</v>
      </c>
      <c r="C109" s="109" t="s">
        <v>117</v>
      </c>
      <c r="D109" s="94"/>
      <c r="E109" s="110">
        <v>300</v>
      </c>
      <c r="F109" s="111">
        <v>0.75</v>
      </c>
      <c r="G109" s="39">
        <v>1</v>
      </c>
      <c r="H109" s="40">
        <f t="shared" si="11"/>
        <v>225</v>
      </c>
      <c r="I109" s="41">
        <v>0</v>
      </c>
      <c r="J109" s="41">
        <v>1</v>
      </c>
      <c r="K109" s="41">
        <v>0</v>
      </c>
      <c r="L109" s="85">
        <f t="shared" si="16"/>
        <v>225</v>
      </c>
      <c r="N109" s="86">
        <f t="shared" si="12"/>
        <v>2.7046999999999999</v>
      </c>
      <c r="P109" s="84">
        <f t="shared" si="13"/>
        <v>1101366.1058636762</v>
      </c>
      <c r="Q109" s="87">
        <f t="shared" si="14"/>
        <v>3671.2203528789205</v>
      </c>
      <c r="S109" s="84">
        <v>1000851.3124462061</v>
      </c>
      <c r="T109" s="87">
        <v>3336.1710414873537</v>
      </c>
      <c r="V109" s="90">
        <f t="shared" si="15"/>
        <v>0.10042929670721956</v>
      </c>
      <c r="X109" s="48"/>
      <c r="Y109" s="48"/>
      <c r="Z109" s="66"/>
    </row>
    <row r="110" spans="2:26" ht="13.5" thickBot="1" x14ac:dyDescent="0.3">
      <c r="B110" s="105">
        <v>166</v>
      </c>
      <c r="C110" s="106" t="s">
        <v>118</v>
      </c>
      <c r="D110" s="98"/>
      <c r="E110" s="107">
        <v>92</v>
      </c>
      <c r="F110" s="100">
        <v>1</v>
      </c>
      <c r="G110" s="39">
        <v>1</v>
      </c>
      <c r="H110" s="40">
        <f t="shared" si="11"/>
        <v>92</v>
      </c>
      <c r="I110" s="41">
        <v>0</v>
      </c>
      <c r="J110" s="41">
        <v>1</v>
      </c>
      <c r="K110" s="41">
        <v>0</v>
      </c>
      <c r="L110" s="85">
        <f t="shared" si="16"/>
        <v>92</v>
      </c>
      <c r="N110" s="86">
        <f t="shared" si="12"/>
        <v>1.1059000000000001</v>
      </c>
      <c r="P110" s="84">
        <f t="shared" si="13"/>
        <v>450327.49527660728</v>
      </c>
      <c r="Q110" s="87">
        <f t="shared" si="14"/>
        <v>4894.8640790935578</v>
      </c>
      <c r="S110" s="84">
        <v>409228.92240701721</v>
      </c>
      <c r="T110" s="87">
        <v>4448.1404609458395</v>
      </c>
      <c r="V110" s="90">
        <f t="shared" si="15"/>
        <v>0.10042929670721956</v>
      </c>
      <c r="X110" s="48"/>
      <c r="Y110" s="48"/>
    </row>
    <row r="111" spans="2:26" ht="13.5" thickBot="1" x14ac:dyDescent="0.3">
      <c r="B111" s="144">
        <v>307</v>
      </c>
      <c r="C111" s="145" t="s">
        <v>176</v>
      </c>
      <c r="D111" s="98"/>
      <c r="E111" s="147">
        <v>128.19999999999999</v>
      </c>
      <c r="F111" s="148">
        <v>1</v>
      </c>
      <c r="G111" s="156">
        <v>1</v>
      </c>
      <c r="H111" s="157">
        <f t="shared" si="11"/>
        <v>128.19999999999999</v>
      </c>
      <c r="I111" s="158">
        <v>0</v>
      </c>
      <c r="J111" s="158">
        <v>1</v>
      </c>
      <c r="K111" s="158">
        <v>0</v>
      </c>
      <c r="L111" s="159">
        <f t="shared" si="16"/>
        <v>128.19999999999999</v>
      </c>
      <c r="N111" s="182">
        <f t="shared" si="12"/>
        <v>1.5410999999999999</v>
      </c>
      <c r="P111" s="146">
        <f t="shared" si="13"/>
        <v>627542.90891651995</v>
      </c>
      <c r="Q111" s="89">
        <f t="shared" si="14"/>
        <v>4895.0304907684867</v>
      </c>
      <c r="S111" s="146">
        <v>570270.99405140989</v>
      </c>
      <c r="T111" s="89">
        <v>4448.2916852684084</v>
      </c>
      <c r="V111" s="90">
        <f t="shared" si="15"/>
        <v>0.10042929670721956</v>
      </c>
      <c r="X111" s="48"/>
      <c r="Y111" s="48"/>
    </row>
    <row r="112" spans="2:26" ht="13.5" thickBot="1" x14ac:dyDescent="0.3">
      <c r="B112" s="144">
        <v>26</v>
      </c>
      <c r="C112" s="145" t="s">
        <v>233</v>
      </c>
      <c r="D112" s="98"/>
      <c r="E112" s="147">
        <v>51</v>
      </c>
      <c r="F112" s="148">
        <v>1</v>
      </c>
      <c r="G112" s="156">
        <v>1</v>
      </c>
      <c r="H112" s="157">
        <f t="shared" si="11"/>
        <v>51</v>
      </c>
      <c r="I112" s="158">
        <v>0</v>
      </c>
      <c r="J112" s="158">
        <v>1</v>
      </c>
      <c r="K112" s="158">
        <v>0</v>
      </c>
      <c r="L112" s="159">
        <f t="shared" si="16"/>
        <v>51</v>
      </c>
      <c r="N112" s="182">
        <f t="shared" si="12"/>
        <v>0.61309999999999998</v>
      </c>
      <c r="P112" s="146">
        <f t="shared" si="13"/>
        <v>249657.10041964723</v>
      </c>
      <c r="Q112" s="89">
        <f t="shared" si="14"/>
        <v>4895.2372631303379</v>
      </c>
      <c r="R112" s="146">
        <f>($P$12*P112)/100</f>
        <v>101661503490.36998</v>
      </c>
      <c r="S112" s="146">
        <v>226872.45892733723</v>
      </c>
      <c r="T112" s="89">
        <v>4448.4795868105339</v>
      </c>
      <c r="U112" s="146">
        <f>($P$12*S112)/100</f>
        <v>92383494145.937912</v>
      </c>
      <c r="V112" s="90">
        <f t="shared" si="15"/>
        <v>0.10042929670721956</v>
      </c>
      <c r="X112" s="48"/>
      <c r="Y112" s="48"/>
    </row>
    <row r="113" spans="2:26" ht="13.5" thickBot="1" x14ac:dyDescent="0.3">
      <c r="B113" s="112">
        <v>402</v>
      </c>
      <c r="C113" s="113" t="s">
        <v>226</v>
      </c>
      <c r="D113" s="94"/>
      <c r="E113" s="136">
        <v>292</v>
      </c>
      <c r="F113" s="114">
        <v>0.51400000000000001</v>
      </c>
      <c r="G113" s="156">
        <v>1</v>
      </c>
      <c r="H113" s="157">
        <f t="shared" si="11"/>
        <v>150.09</v>
      </c>
      <c r="I113" s="158">
        <v>0</v>
      </c>
      <c r="J113" s="158">
        <v>1</v>
      </c>
      <c r="K113" s="158">
        <v>0</v>
      </c>
      <c r="L113" s="159">
        <f t="shared" si="16"/>
        <v>150.09</v>
      </c>
      <c r="N113" s="182">
        <f t="shared" si="12"/>
        <v>1.8042</v>
      </c>
      <c r="P113" s="146">
        <f t="shared" si="13"/>
        <v>734678.42207980365</v>
      </c>
      <c r="Q113" s="89">
        <f t="shared" si="14"/>
        <v>2516.0219934239849</v>
      </c>
      <c r="S113" s="146">
        <v>667628.91925738344</v>
      </c>
      <c r="T113" s="89">
        <v>2286.4004084156968</v>
      </c>
      <c r="V113" s="90">
        <f t="shared" si="15"/>
        <v>0.10042929670721978</v>
      </c>
      <c r="X113" s="48"/>
      <c r="Y113" s="48"/>
    </row>
    <row r="114" spans="2:26" ht="13.5" thickBot="1" x14ac:dyDescent="0.3">
      <c r="I114" s="3"/>
      <c r="S114" s="137"/>
      <c r="T114" s="137"/>
    </row>
    <row r="115" spans="2:26" ht="13.5" thickBot="1" x14ac:dyDescent="0.3">
      <c r="B115" s="50" t="s">
        <v>119</v>
      </c>
      <c r="C115" s="51"/>
      <c r="E115" s="52">
        <f>SUM(E14:E89)+SUM(E91:E113)</f>
        <v>11856.204999999998</v>
      </c>
      <c r="F115" s="35"/>
      <c r="G115" s="53"/>
      <c r="H115" s="35"/>
      <c r="I115" s="35"/>
      <c r="J115" s="35"/>
      <c r="K115" s="35"/>
      <c r="L115" s="54">
        <f>SUM(L14:L89)+SUM(L91:L113)</f>
        <v>8318.7000000000007</v>
      </c>
      <c r="N115" s="183">
        <f>SUM(N14:N89)+SUM(N91:N113)</f>
        <v>99.999800000000036</v>
      </c>
      <c r="P115" s="55">
        <f>SUM(P14:P89)+SUM(P91:P113)</f>
        <v>40720372.060911179</v>
      </c>
      <c r="Q115" s="56"/>
      <c r="S115" s="55">
        <v>22011445.05849319</v>
      </c>
      <c r="T115" s="56"/>
      <c r="X115" s="57">
        <f>SUM(X14:X89)</f>
        <v>1166659.7300000002</v>
      </c>
      <c r="Y115" s="58">
        <f>SUM(Y14:Y89)</f>
        <v>29987500.512450043</v>
      </c>
    </row>
    <row r="116" spans="2:26" x14ac:dyDescent="0.25">
      <c r="E116" s="204"/>
      <c r="F116" s="204"/>
      <c r="G116" s="59"/>
      <c r="H116" s="17"/>
      <c r="I116" s="60"/>
      <c r="J116" s="61"/>
      <c r="S116" s="4"/>
      <c r="T116" s="4"/>
    </row>
    <row r="117" spans="2:26" x14ac:dyDescent="0.25">
      <c r="E117" s="143"/>
      <c r="I117" s="3"/>
      <c r="Q117" s="62"/>
      <c r="R117" s="62"/>
      <c r="S117" s="138"/>
      <c r="T117" s="48"/>
      <c r="U117" s="62"/>
      <c r="V117" s="62"/>
      <c r="W117" s="62"/>
      <c r="Y117" s="17"/>
    </row>
    <row r="118" spans="2:26" x14ac:dyDescent="0.25">
      <c r="E118" s="165"/>
      <c r="H118" s="17"/>
      <c r="I118" s="17"/>
      <c r="P118" s="4" t="s">
        <v>120</v>
      </c>
      <c r="Q118" s="4">
        <f>SUM(L14:L89)</f>
        <v>6475.2200000000012</v>
      </c>
      <c r="Y118" s="17"/>
      <c r="Z118" s="17"/>
    </row>
    <row r="119" spans="2:26" x14ac:dyDescent="0.25">
      <c r="E119" s="165"/>
      <c r="P119" s="4" t="s">
        <v>121</v>
      </c>
      <c r="Q119" s="4">
        <f>SUM(L91:L113)</f>
        <v>1843.48</v>
      </c>
    </row>
    <row r="120" spans="2:26" x14ac:dyDescent="0.25">
      <c r="E120" s="165"/>
      <c r="P120" s="63" t="s">
        <v>122</v>
      </c>
      <c r="Q120" s="63">
        <f>Q118+Q119</f>
        <v>8318.7000000000007</v>
      </c>
      <c r="S120" s="64">
        <f>(Q120/Q118)-1</f>
        <v>0.28469766278211384</v>
      </c>
    </row>
    <row r="121" spans="2:26" x14ac:dyDescent="0.25">
      <c r="C121" s="205"/>
      <c r="D121" s="205"/>
      <c r="E121" s="205"/>
      <c r="F121" s="17"/>
    </row>
    <row r="122" spans="2:26" x14ac:dyDescent="0.25">
      <c r="E122" s="165"/>
    </row>
    <row r="123" spans="2:26" x14ac:dyDescent="0.25">
      <c r="C123" s="192"/>
      <c r="D123" s="192"/>
      <c r="E123" s="192"/>
    </row>
    <row r="124" spans="2:26" x14ac:dyDescent="0.25">
      <c r="E124" s="165"/>
      <c r="I124" s="65"/>
    </row>
    <row r="125" spans="2:26" x14ac:dyDescent="0.25">
      <c r="C125" s="192"/>
      <c r="D125" s="192"/>
      <c r="E125" s="192"/>
      <c r="F125" s="17"/>
      <c r="T125" s="23"/>
    </row>
    <row r="126" spans="2:26" x14ac:dyDescent="0.25">
      <c r="B126" s="1" t="s">
        <v>202</v>
      </c>
      <c r="E126" s="165"/>
      <c r="I126" s="65"/>
    </row>
    <row r="127" spans="2:26" x14ac:dyDescent="0.25">
      <c r="C127" s="192"/>
      <c r="D127" s="192"/>
      <c r="E127" s="192"/>
      <c r="F127" s="3"/>
    </row>
    <row r="129" spans="2:28" x14ac:dyDescent="0.25">
      <c r="F129" s="17"/>
    </row>
    <row r="132" spans="2:28" s="2" customFormat="1" x14ac:dyDescent="0.25">
      <c r="B132" s="1"/>
      <c r="C132" s="3"/>
      <c r="D132" s="1"/>
      <c r="E132" s="61"/>
      <c r="F132" s="1"/>
      <c r="H132" s="1"/>
      <c r="I132" s="1"/>
      <c r="J132" s="1"/>
      <c r="K132" s="1"/>
      <c r="L132" s="1"/>
      <c r="M132" s="1"/>
      <c r="N132" s="1"/>
      <c r="O132" s="1"/>
      <c r="P132" s="4"/>
      <c r="Q132" s="4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s="2" customFormat="1" x14ac:dyDescent="0.25">
      <c r="B133" s="1"/>
      <c r="C133" s="1"/>
      <c r="D133" s="1"/>
      <c r="E133" s="1"/>
      <c r="F133" s="20"/>
      <c r="H133" s="1"/>
      <c r="I133" s="1"/>
      <c r="J133" s="1"/>
      <c r="K133" s="1"/>
      <c r="L133" s="1"/>
      <c r="M133" s="1"/>
      <c r="N133" s="1"/>
      <c r="O133" s="1"/>
      <c r="P133" s="4"/>
      <c r="Q133" s="4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s="2" customFormat="1" x14ac:dyDescent="0.25">
      <c r="B134" s="1"/>
      <c r="C134" s="20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4"/>
      <c r="Q134" s="4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s="2" customFormat="1" x14ac:dyDescent="0.25">
      <c r="B135" s="1"/>
      <c r="C135" s="66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4"/>
      <c r="Q135" s="4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</row>
  </sheetData>
  <mergeCells count="8">
    <mergeCell ref="C125:E125"/>
    <mergeCell ref="C127:E127"/>
    <mergeCell ref="B2:M6"/>
    <mergeCell ref="S12:T12"/>
    <mergeCell ref="X12:Y12"/>
    <mergeCell ref="E116:F116"/>
    <mergeCell ref="C121:E121"/>
    <mergeCell ref="C123:E123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5180-1A10-4FA2-8E6D-0A6FC5D77794}">
  <sheetPr>
    <tabColor theme="4" tint="0.39997558519241921"/>
  </sheetPr>
  <dimension ref="A1:AB135"/>
  <sheetViews>
    <sheetView topLeftCell="J1" zoomScaleNormal="100" workbookViewId="0">
      <selection activeCell="V10" sqref="V10"/>
    </sheetView>
  </sheetViews>
  <sheetFormatPr baseColWidth="10" defaultColWidth="10.81640625" defaultRowHeight="13" x14ac:dyDescent="0.25"/>
  <cols>
    <col min="1" max="1" width="4.453125" style="1" customWidth="1"/>
    <col min="2" max="2" width="19.54296875" style="1" customWidth="1"/>
    <col min="3" max="3" width="29.453125" style="1" customWidth="1"/>
    <col min="4" max="4" width="1.453125" style="1" customWidth="1"/>
    <col min="5" max="5" width="11.453125" style="1" customWidth="1"/>
    <col min="6" max="6" width="14.453125" style="1" customWidth="1"/>
    <col min="7" max="7" width="13.81640625" style="2" customWidth="1"/>
    <col min="8" max="8" width="13.453125" style="1" customWidth="1"/>
    <col min="9" max="9" width="12.453125" style="1" customWidth="1"/>
    <col min="10" max="11" width="11.453125" style="1" customWidth="1"/>
    <col min="12" max="12" width="8.26953125" style="1" customWidth="1"/>
    <col min="13" max="13" width="0.1796875" style="1" customWidth="1"/>
    <col min="14" max="14" width="19.453125" style="1" customWidth="1"/>
    <col min="15" max="15" width="0.1796875" style="1" customWidth="1"/>
    <col min="16" max="16" width="22.7265625" style="4" customWidth="1"/>
    <col min="17" max="17" width="15" style="4" customWidth="1"/>
    <col min="18" max="18" width="1.7265625" style="1" customWidth="1"/>
    <col min="19" max="19" width="17.26953125" style="5" bestFit="1" customWidth="1"/>
    <col min="20" max="20" width="17.54296875" style="1" customWidth="1"/>
    <col min="21" max="21" width="1.7265625" style="1" customWidth="1"/>
    <col min="22" max="22" width="13.1796875" style="1" customWidth="1"/>
    <col min="23" max="23" width="1.7265625" style="1" customWidth="1"/>
    <col min="24" max="24" width="14.453125" style="1" bestFit="1" customWidth="1"/>
    <col min="25" max="25" width="15.81640625" style="1" customWidth="1"/>
    <col min="26" max="26" width="14.26953125" style="1" customWidth="1"/>
    <col min="27" max="27" width="11.81640625" style="1" bestFit="1" customWidth="1"/>
    <col min="28" max="28" width="15.7265625" style="1" customWidth="1"/>
    <col min="29" max="16384" width="10.81640625" style="1"/>
  </cols>
  <sheetData>
    <row r="1" spans="2:28" ht="13.5" thickBot="1" x14ac:dyDescent="0.3">
      <c r="I1" s="3"/>
    </row>
    <row r="2" spans="2:28" ht="13.5" thickBot="1" x14ac:dyDescent="0.3">
      <c r="B2" s="193" t="s">
        <v>232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P2" s="6" t="s">
        <v>0</v>
      </c>
      <c r="Q2" s="7">
        <f>T10</f>
        <v>49883389.831818178</v>
      </c>
      <c r="R2" s="8"/>
      <c r="S2" s="9" t="s">
        <v>1</v>
      </c>
      <c r="T2" s="10">
        <f>519334.36+137332.91+33332.73</f>
        <v>690000</v>
      </c>
      <c r="U2" s="8"/>
      <c r="W2" s="8"/>
    </row>
    <row r="3" spans="2:28" x14ac:dyDescent="0.25">
      <c r="B3" s="196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8"/>
      <c r="O3" s="11" t="s">
        <v>2</v>
      </c>
      <c r="P3" s="12"/>
      <c r="Q3" s="13"/>
      <c r="S3" s="9" t="s">
        <v>3</v>
      </c>
      <c r="T3" s="10"/>
    </row>
    <row r="4" spans="2:28" x14ac:dyDescent="0.25">
      <c r="B4" s="196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8"/>
      <c r="O4" s="14" t="s">
        <v>4</v>
      </c>
      <c r="P4" s="15"/>
      <c r="Q4" s="16"/>
      <c r="S4" s="9" t="s">
        <v>5</v>
      </c>
      <c r="T4" s="17">
        <v>119150</v>
      </c>
    </row>
    <row r="5" spans="2:28" ht="14.5" x14ac:dyDescent="0.35">
      <c r="B5" s="196"/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8"/>
      <c r="O5" s="14" t="s">
        <v>6</v>
      </c>
      <c r="P5" s="18" t="s">
        <v>7</v>
      </c>
      <c r="Q5" s="19">
        <f>950741+485624.29</f>
        <v>1436365.29</v>
      </c>
      <c r="S5" s="9" t="s">
        <v>8</v>
      </c>
      <c r="T5" s="17">
        <v>27642</v>
      </c>
      <c r="V5" s="20"/>
      <c r="Y5" s="21"/>
    </row>
    <row r="6" spans="2:28" ht="15" thickBot="1" x14ac:dyDescent="0.4">
      <c r="B6" s="199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O6" s="14" t="s">
        <v>9</v>
      </c>
      <c r="P6" s="18" t="s">
        <v>220</v>
      </c>
      <c r="Q6" s="16">
        <v>4937972.66</v>
      </c>
      <c r="S6" s="9" t="s">
        <v>10</v>
      </c>
      <c r="T6" s="77">
        <v>3603000.02</v>
      </c>
      <c r="V6" s="22"/>
      <c r="Y6" s="149"/>
      <c r="AB6" s="22"/>
    </row>
    <row r="7" spans="2:28" ht="13" customHeight="1" x14ac:dyDescent="0.25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0"/>
      <c r="O7" s="14" t="s">
        <v>11</v>
      </c>
      <c r="P7" s="25" t="s">
        <v>12</v>
      </c>
      <c r="Q7" s="19">
        <v>230054</v>
      </c>
      <c r="S7" s="9" t="s">
        <v>13</v>
      </c>
      <c r="T7" s="17">
        <f>Premisas!D11</f>
        <v>1043597.8118181818</v>
      </c>
      <c r="V7" s="20"/>
      <c r="Y7" s="149"/>
    </row>
    <row r="8" spans="2:28" ht="13" customHeight="1" x14ac:dyDescent="0.25">
      <c r="B8" s="26" t="s">
        <v>14</v>
      </c>
      <c r="C8" s="102"/>
      <c r="D8" s="24"/>
      <c r="E8" s="24"/>
      <c r="F8" s="24"/>
      <c r="G8" s="24"/>
      <c r="H8" s="24"/>
      <c r="I8" s="24"/>
      <c r="J8" s="24"/>
      <c r="K8" s="24"/>
      <c r="L8" s="24"/>
      <c r="M8" s="24"/>
      <c r="O8" s="14" t="s">
        <v>15</v>
      </c>
      <c r="P8" s="18" t="s">
        <v>181</v>
      </c>
      <c r="Q8" s="16">
        <v>612085.41</v>
      </c>
      <c r="S8" s="9" t="s">
        <v>16</v>
      </c>
      <c r="T8" s="17">
        <v>600000</v>
      </c>
    </row>
    <row r="9" spans="2:28" ht="13" customHeight="1" thickBot="1" x14ac:dyDescent="0.3">
      <c r="B9" s="26" t="s">
        <v>17</v>
      </c>
      <c r="C9" s="95"/>
      <c r="D9" s="24"/>
      <c r="E9" s="24"/>
      <c r="F9" s="24"/>
      <c r="G9" s="24"/>
      <c r="H9" s="24"/>
      <c r="I9" s="24"/>
      <c r="J9" s="24"/>
      <c r="K9" s="24"/>
      <c r="L9" s="24"/>
      <c r="M9" s="24"/>
      <c r="O9" s="27" t="s">
        <v>18</v>
      </c>
      <c r="P9" s="28"/>
      <c r="Q9" s="29">
        <v>0</v>
      </c>
      <c r="S9" s="9"/>
      <c r="T9" s="30">
        <f>43800000</f>
        <v>43800000</v>
      </c>
      <c r="V9" s="31"/>
      <c r="W9" s="32"/>
      <c r="X9" s="150"/>
    </row>
    <row r="10" spans="2:28" ht="13.5" thickBot="1" x14ac:dyDescent="0.3">
      <c r="B10" s="26" t="s">
        <v>19</v>
      </c>
      <c r="C10" s="80"/>
      <c r="I10" s="3"/>
      <c r="P10" s="6" t="s">
        <v>20</v>
      </c>
      <c r="Q10" s="34">
        <f>Q2-Q3-Q4-Q5-Q6-Q7-Q8-Q9</f>
        <v>42666912.471818179</v>
      </c>
      <c r="S10" s="5" t="s">
        <v>21</v>
      </c>
      <c r="T10" s="17">
        <f>SUM(T2:T9)</f>
        <v>49883389.831818178</v>
      </c>
      <c r="V10" s="138"/>
      <c r="W10" s="32"/>
      <c r="X10" s="33"/>
      <c r="Z10" s="138"/>
    </row>
    <row r="11" spans="2:28" ht="13.5" thickBot="1" x14ac:dyDescent="0.3">
      <c r="I11" s="3"/>
    </row>
    <row r="12" spans="2:28" ht="26.5" thickBot="1" x14ac:dyDescent="0.3">
      <c r="B12" s="119" t="s">
        <v>22</v>
      </c>
      <c r="C12" s="120" t="s">
        <v>23</v>
      </c>
      <c r="E12" s="119" t="s">
        <v>24</v>
      </c>
      <c r="F12" s="121" t="s">
        <v>25</v>
      </c>
      <c r="G12" s="122" t="s">
        <v>26</v>
      </c>
      <c r="H12" s="123" t="s">
        <v>27</v>
      </c>
      <c r="I12" s="124" t="s">
        <v>28</v>
      </c>
      <c r="J12" s="121" t="s">
        <v>29</v>
      </c>
      <c r="K12" s="121" t="s">
        <v>30</v>
      </c>
      <c r="L12" s="120" t="s">
        <v>31</v>
      </c>
      <c r="M12" s="125"/>
      <c r="N12" s="180" t="s">
        <v>32</v>
      </c>
      <c r="O12" s="125"/>
      <c r="P12" s="126">
        <f>+Q10</f>
        <v>42666912.471818179</v>
      </c>
      <c r="Q12" s="127" t="s">
        <v>33</v>
      </c>
      <c r="S12" s="202" t="s">
        <v>246</v>
      </c>
      <c r="T12" s="203"/>
      <c r="V12" s="128" t="s">
        <v>34</v>
      </c>
      <c r="X12" s="202" t="s">
        <v>35</v>
      </c>
      <c r="Y12" s="203"/>
    </row>
    <row r="13" spans="2:28" ht="7" customHeight="1" thickBot="1" x14ac:dyDescent="0.3">
      <c r="I13" s="3"/>
      <c r="X13" s="5"/>
    </row>
    <row r="14" spans="2:28" x14ac:dyDescent="0.25">
      <c r="B14" s="160" t="s">
        <v>36</v>
      </c>
      <c r="C14" s="161" t="s">
        <v>198</v>
      </c>
      <c r="D14" s="94"/>
      <c r="E14" s="162">
        <v>211</v>
      </c>
      <c r="F14" s="163">
        <v>0.9</v>
      </c>
      <c r="G14" s="37">
        <v>1</v>
      </c>
      <c r="H14" s="38">
        <f t="shared" ref="H14:H85" si="0">ROUND(E14*G14*F14,2)</f>
        <v>189.9</v>
      </c>
      <c r="I14" s="36">
        <v>0</v>
      </c>
      <c r="J14" s="36">
        <v>1</v>
      </c>
      <c r="K14" s="36">
        <f t="shared" ref="K14:K84" si="1">ROUND(I14*J14,2)</f>
        <v>0</v>
      </c>
      <c r="L14" s="153">
        <f t="shared" ref="L14:L84" si="2">H14+K14</f>
        <v>189.9</v>
      </c>
      <c r="N14" s="181">
        <f t="shared" ref="N14:N77" si="3">ROUND((L14/$L$115)*100,4)</f>
        <v>2.2827999999999999</v>
      </c>
      <c r="P14" s="152">
        <f t="shared" ref="P14:P85" si="4">($P$12*N14)/100</f>
        <v>974000.27790666535</v>
      </c>
      <c r="Q14" s="154">
        <f t="shared" ref="Q14:Q85" si="5">P14/E14</f>
        <v>4616.11506116903</v>
      </c>
      <c r="R14" s="2"/>
      <c r="S14" s="152">
        <v>929566.51253950538</v>
      </c>
      <c r="T14" s="154">
        <v>4405.528495447893</v>
      </c>
      <c r="U14" s="2"/>
      <c r="V14" s="155">
        <f t="shared" ref="V14:V78" si="6">(P14/S14)-1</f>
        <v>4.7800522897248454E-2</v>
      </c>
      <c r="W14" s="2"/>
      <c r="X14" s="152">
        <v>43179.58</v>
      </c>
      <c r="Y14" s="154">
        <f t="shared" ref="Y14:Y48" si="7">+P14-X14</f>
        <v>930820.69790666539</v>
      </c>
      <c r="Z14" s="4"/>
    </row>
    <row r="15" spans="2:28" x14ac:dyDescent="0.25">
      <c r="B15" s="96" t="s">
        <v>37</v>
      </c>
      <c r="C15" s="97" t="s">
        <v>38</v>
      </c>
      <c r="D15" s="98"/>
      <c r="E15" s="99">
        <f>140.4+64.1</f>
        <v>204.5</v>
      </c>
      <c r="F15" s="100">
        <v>1</v>
      </c>
      <c r="G15" s="39">
        <v>1</v>
      </c>
      <c r="H15" s="40">
        <f t="shared" si="0"/>
        <v>204.5</v>
      </c>
      <c r="I15" s="41">
        <v>0</v>
      </c>
      <c r="J15" s="41">
        <v>1</v>
      </c>
      <c r="K15" s="41">
        <f t="shared" si="1"/>
        <v>0</v>
      </c>
      <c r="L15" s="85">
        <f t="shared" si="2"/>
        <v>204.5</v>
      </c>
      <c r="N15" s="86">
        <f t="shared" si="3"/>
        <v>2.4582999999999999</v>
      </c>
      <c r="P15" s="84">
        <f t="shared" si="4"/>
        <v>1048880.7092947064</v>
      </c>
      <c r="Q15" s="91">
        <f t="shared" si="5"/>
        <v>5129.0010234459969</v>
      </c>
      <c r="S15" s="84">
        <v>1001030.9084351963</v>
      </c>
      <c r="T15" s="91">
        <v>4895.0166671647739</v>
      </c>
      <c r="V15" s="88">
        <f t="shared" si="6"/>
        <v>4.7800522897248454E-2</v>
      </c>
      <c r="X15" s="84">
        <v>26671.86</v>
      </c>
      <c r="Y15" s="87">
        <f t="shared" si="7"/>
        <v>1022208.8492947064</v>
      </c>
      <c r="Z15" s="4"/>
    </row>
    <row r="16" spans="2:28" x14ac:dyDescent="0.25">
      <c r="B16" s="96" t="s">
        <v>39</v>
      </c>
      <c r="C16" s="97" t="s">
        <v>40</v>
      </c>
      <c r="D16" s="98"/>
      <c r="E16" s="99">
        <v>81.3</v>
      </c>
      <c r="F16" s="100">
        <v>1</v>
      </c>
      <c r="G16" s="39">
        <v>1</v>
      </c>
      <c r="H16" s="40">
        <f t="shared" si="0"/>
        <v>81.3</v>
      </c>
      <c r="I16" s="41">
        <v>0</v>
      </c>
      <c r="J16" s="41">
        <v>1</v>
      </c>
      <c r="K16" s="41">
        <f t="shared" si="1"/>
        <v>0</v>
      </c>
      <c r="L16" s="85">
        <f t="shared" si="2"/>
        <v>81.3</v>
      </c>
      <c r="N16" s="86">
        <f t="shared" si="3"/>
        <v>0.97729999999999995</v>
      </c>
      <c r="P16" s="84">
        <f t="shared" si="4"/>
        <v>416983.73558707902</v>
      </c>
      <c r="Q16" s="91">
        <f t="shared" si="5"/>
        <v>5128.9512372334448</v>
      </c>
      <c r="S16" s="84">
        <v>397960.99207326904</v>
      </c>
      <c r="T16" s="91">
        <v>4894.9691521927316</v>
      </c>
      <c r="V16" s="88">
        <f t="shared" si="6"/>
        <v>4.7800522897248454E-2</v>
      </c>
      <c r="X16" s="84">
        <v>15444.87</v>
      </c>
      <c r="Y16" s="87">
        <f t="shared" si="7"/>
        <v>401538.86558707902</v>
      </c>
      <c r="Z16" s="4"/>
    </row>
    <row r="17" spans="1:26" x14ac:dyDescent="0.25">
      <c r="B17" s="96" t="s">
        <v>41</v>
      </c>
      <c r="C17" s="97" t="s">
        <v>42</v>
      </c>
      <c r="D17" s="98"/>
      <c r="E17" s="99">
        <v>56.6</v>
      </c>
      <c r="F17" s="100">
        <v>1</v>
      </c>
      <c r="G17" s="39">
        <v>1</v>
      </c>
      <c r="H17" s="40">
        <f t="shared" si="0"/>
        <v>56.6</v>
      </c>
      <c r="I17" s="41">
        <v>0</v>
      </c>
      <c r="J17" s="41">
        <v>1</v>
      </c>
      <c r="K17" s="41">
        <f t="shared" si="1"/>
        <v>0</v>
      </c>
      <c r="L17" s="85">
        <f t="shared" si="2"/>
        <v>56.6</v>
      </c>
      <c r="N17" s="86">
        <f t="shared" si="3"/>
        <v>0.6804</v>
      </c>
      <c r="P17" s="84">
        <f t="shared" si="4"/>
        <v>290305.67245825089</v>
      </c>
      <c r="Q17" s="91">
        <f t="shared" si="5"/>
        <v>5129.0754851281072</v>
      </c>
      <c r="S17" s="84">
        <v>277061.96562637092</v>
      </c>
      <c r="T17" s="91">
        <v>4895.0877319146803</v>
      </c>
      <c r="V17" s="88">
        <f t="shared" si="6"/>
        <v>4.7800522897248232E-2</v>
      </c>
      <c r="X17" s="84">
        <v>10752.68</v>
      </c>
      <c r="Y17" s="87">
        <f t="shared" si="7"/>
        <v>279552.9924582509</v>
      </c>
      <c r="Z17" s="4"/>
    </row>
    <row r="18" spans="1:26" x14ac:dyDescent="0.25">
      <c r="A18" s="1" t="s">
        <v>230</v>
      </c>
      <c r="B18" s="96" t="s">
        <v>43</v>
      </c>
      <c r="C18" s="97" t="s">
        <v>129</v>
      </c>
      <c r="D18" s="98"/>
      <c r="E18" s="99">
        <v>24.35</v>
      </c>
      <c r="F18" s="100">
        <v>1</v>
      </c>
      <c r="G18" s="39">
        <v>1</v>
      </c>
      <c r="H18" s="40">
        <f t="shared" si="0"/>
        <v>24.35</v>
      </c>
      <c r="I18" s="41">
        <v>0</v>
      </c>
      <c r="J18" s="41">
        <v>1</v>
      </c>
      <c r="K18" s="41">
        <f t="shared" si="1"/>
        <v>0</v>
      </c>
      <c r="L18" s="85">
        <f t="shared" si="2"/>
        <v>24.35</v>
      </c>
      <c r="N18" s="86">
        <f t="shared" si="3"/>
        <v>0.29270000000000002</v>
      </c>
      <c r="P18" s="84">
        <f t="shared" si="4"/>
        <v>124886.05280501182</v>
      </c>
      <c r="Q18" s="91">
        <f t="shared" si="5"/>
        <v>5128.790669610341</v>
      </c>
      <c r="S18" s="84">
        <v>119188.76739982182</v>
      </c>
      <c r="T18" s="91">
        <v>4894.8159096436066</v>
      </c>
      <c r="V18" s="88">
        <f t="shared" si="6"/>
        <v>4.7800522897248454E-2</v>
      </c>
      <c r="X18" s="84">
        <v>4625.1400000000003</v>
      </c>
      <c r="Y18" s="87">
        <f t="shared" si="7"/>
        <v>120260.91280501182</v>
      </c>
      <c r="Z18" s="4"/>
    </row>
    <row r="19" spans="1:26" x14ac:dyDescent="0.25">
      <c r="B19" s="96" t="s">
        <v>44</v>
      </c>
      <c r="C19" s="97" t="s">
        <v>45</v>
      </c>
      <c r="D19" s="98"/>
      <c r="E19" s="99">
        <v>55.25</v>
      </c>
      <c r="F19" s="100">
        <v>1</v>
      </c>
      <c r="G19" s="39">
        <v>1</v>
      </c>
      <c r="H19" s="40">
        <f t="shared" si="0"/>
        <v>55.25</v>
      </c>
      <c r="I19" s="41">
        <v>0</v>
      </c>
      <c r="J19" s="41">
        <v>1</v>
      </c>
      <c r="K19" s="41">
        <f t="shared" si="1"/>
        <v>0</v>
      </c>
      <c r="L19" s="85">
        <f t="shared" si="2"/>
        <v>55.25</v>
      </c>
      <c r="N19" s="86">
        <f t="shared" si="3"/>
        <v>0.66420000000000001</v>
      </c>
      <c r="P19" s="84">
        <f t="shared" si="4"/>
        <v>283393.63263781631</v>
      </c>
      <c r="Q19" s="87">
        <f t="shared" si="5"/>
        <v>5129.2965183315173</v>
      </c>
      <c r="S19" s="84">
        <v>270465.25215907639</v>
      </c>
      <c r="T19" s="87">
        <v>4895.298681612242</v>
      </c>
      <c r="V19" s="88">
        <f t="shared" si="6"/>
        <v>4.780052289724801E-2</v>
      </c>
      <c r="X19" s="84">
        <v>10495.66</v>
      </c>
      <c r="Y19" s="87">
        <f t="shared" si="7"/>
        <v>272897.97263781633</v>
      </c>
      <c r="Z19" s="4"/>
    </row>
    <row r="20" spans="1:26" x14ac:dyDescent="0.25">
      <c r="B20" s="101" t="s">
        <v>46</v>
      </c>
      <c r="C20" s="97" t="s">
        <v>123</v>
      </c>
      <c r="D20" s="98"/>
      <c r="E20" s="99">
        <v>48.9</v>
      </c>
      <c r="F20" s="100">
        <v>1</v>
      </c>
      <c r="G20" s="39">
        <v>1</v>
      </c>
      <c r="H20" s="40">
        <f t="shared" si="0"/>
        <v>48.9</v>
      </c>
      <c r="I20" s="41">
        <v>0</v>
      </c>
      <c r="J20" s="41">
        <v>1</v>
      </c>
      <c r="K20" s="41">
        <f t="shared" si="1"/>
        <v>0</v>
      </c>
      <c r="L20" s="85">
        <f t="shared" si="2"/>
        <v>48.9</v>
      </c>
      <c r="N20" s="86">
        <f t="shared" si="3"/>
        <v>0.58779999999999999</v>
      </c>
      <c r="P20" s="84">
        <f t="shared" si="4"/>
        <v>250796.11150934725</v>
      </c>
      <c r="Q20" s="87">
        <f t="shared" si="5"/>
        <v>5128.7548365919683</v>
      </c>
      <c r="S20" s="84">
        <v>239354.82568368726</v>
      </c>
      <c r="T20" s="87">
        <v>4894.7817113228484</v>
      </c>
      <c r="V20" s="88">
        <f t="shared" si="6"/>
        <v>4.7800522897248454E-2</v>
      </c>
      <c r="X20" s="84">
        <v>9290.02</v>
      </c>
      <c r="Y20" s="87">
        <f t="shared" si="7"/>
        <v>241506.09150934726</v>
      </c>
      <c r="Z20" s="4"/>
    </row>
    <row r="21" spans="1:26" x14ac:dyDescent="0.25">
      <c r="B21" s="101" t="s">
        <v>47</v>
      </c>
      <c r="C21" s="97" t="s">
        <v>123</v>
      </c>
      <c r="D21" s="98"/>
      <c r="E21" s="99">
        <v>48.7</v>
      </c>
      <c r="F21" s="100">
        <v>1</v>
      </c>
      <c r="G21" s="39">
        <v>1</v>
      </c>
      <c r="H21" s="40">
        <f t="shared" si="0"/>
        <v>48.7</v>
      </c>
      <c r="I21" s="41">
        <v>0</v>
      </c>
      <c r="J21" s="41">
        <v>1</v>
      </c>
      <c r="K21" s="41">
        <f t="shared" si="1"/>
        <v>0</v>
      </c>
      <c r="L21" s="85">
        <f t="shared" si="2"/>
        <v>48.7</v>
      </c>
      <c r="N21" s="86">
        <f t="shared" si="3"/>
        <v>0.58540000000000003</v>
      </c>
      <c r="P21" s="84">
        <f t="shared" si="4"/>
        <v>249772.10561002363</v>
      </c>
      <c r="Q21" s="87">
        <f t="shared" si="5"/>
        <v>5128.790669610341</v>
      </c>
      <c r="S21" s="84">
        <v>238377.53479964365</v>
      </c>
      <c r="T21" s="87">
        <v>4894.8159096436066</v>
      </c>
      <c r="V21" s="88">
        <f t="shared" si="6"/>
        <v>4.7800522897248454E-2</v>
      </c>
      <c r="X21" s="84">
        <v>9251.5300000000007</v>
      </c>
      <c r="Y21" s="87">
        <f t="shared" si="7"/>
        <v>240520.57561002363</v>
      </c>
      <c r="Z21" s="4"/>
    </row>
    <row r="22" spans="1:26" x14ac:dyDescent="0.25">
      <c r="B22" s="101" t="s">
        <v>48</v>
      </c>
      <c r="C22" s="97" t="s">
        <v>124</v>
      </c>
      <c r="D22" s="98"/>
      <c r="E22" s="99">
        <v>43.65</v>
      </c>
      <c r="F22" s="100">
        <v>1</v>
      </c>
      <c r="G22" s="39">
        <v>1</v>
      </c>
      <c r="H22" s="40">
        <f t="shared" si="0"/>
        <v>43.65</v>
      </c>
      <c r="I22" s="41">
        <v>0</v>
      </c>
      <c r="J22" s="41">
        <v>1</v>
      </c>
      <c r="K22" s="41">
        <f t="shared" si="1"/>
        <v>0</v>
      </c>
      <c r="L22" s="85">
        <f t="shared" si="2"/>
        <v>43.65</v>
      </c>
      <c r="N22" s="86">
        <f t="shared" si="3"/>
        <v>0.52470000000000006</v>
      </c>
      <c r="P22" s="84">
        <f t="shared" si="4"/>
        <v>223873.28973963001</v>
      </c>
      <c r="Q22" s="87">
        <f t="shared" si="5"/>
        <v>5128.8267981587633</v>
      </c>
      <c r="S22" s="84">
        <v>213660.21952404</v>
      </c>
      <c r="T22" s="87">
        <v>4894.8503900123715</v>
      </c>
      <c r="V22" s="88">
        <f t="shared" si="6"/>
        <v>4.7800522897248454E-2</v>
      </c>
      <c r="X22" s="84">
        <v>8291.73</v>
      </c>
      <c r="Y22" s="87">
        <f t="shared" si="7"/>
        <v>215581.55973963</v>
      </c>
      <c r="Z22" s="4"/>
    </row>
    <row r="23" spans="1:26" x14ac:dyDescent="0.25">
      <c r="B23" s="96" t="s">
        <v>49</v>
      </c>
      <c r="C23" s="97" t="s">
        <v>51</v>
      </c>
      <c r="D23" s="98"/>
      <c r="E23" s="99">
        <v>44.85</v>
      </c>
      <c r="F23" s="100">
        <v>1</v>
      </c>
      <c r="G23" s="39">
        <v>1</v>
      </c>
      <c r="H23" s="40">
        <f t="shared" si="0"/>
        <v>44.85</v>
      </c>
      <c r="I23" s="41">
        <v>0</v>
      </c>
      <c r="J23" s="41">
        <v>1</v>
      </c>
      <c r="K23" s="41">
        <f t="shared" si="1"/>
        <v>0</v>
      </c>
      <c r="L23" s="85">
        <f t="shared" si="2"/>
        <v>44.85</v>
      </c>
      <c r="N23" s="86">
        <f t="shared" si="3"/>
        <v>0.53910000000000002</v>
      </c>
      <c r="P23" s="84">
        <f t="shared" si="4"/>
        <v>230017.32513557179</v>
      </c>
      <c r="Q23" s="87">
        <f t="shared" si="5"/>
        <v>5128.5914188533288</v>
      </c>
      <c r="R23" s="92"/>
      <c r="S23" s="84">
        <v>219523.9648283018</v>
      </c>
      <c r="T23" s="87">
        <v>4894.6257486800851</v>
      </c>
      <c r="U23" s="92"/>
      <c r="V23" s="88">
        <f t="shared" si="6"/>
        <v>4.7800522897248454E-2</v>
      </c>
      <c r="W23" s="92"/>
      <c r="X23" s="84">
        <v>8520.19</v>
      </c>
      <c r="Y23" s="87">
        <f t="shared" si="7"/>
        <v>221497.13513557179</v>
      </c>
      <c r="Z23" s="4"/>
    </row>
    <row r="24" spans="1:26" x14ac:dyDescent="0.25">
      <c r="B24" s="96" t="s">
        <v>50</v>
      </c>
      <c r="C24" s="97" t="s">
        <v>51</v>
      </c>
      <c r="D24" s="98"/>
      <c r="E24" s="99">
        <v>55.65</v>
      </c>
      <c r="F24" s="100">
        <v>1</v>
      </c>
      <c r="G24" s="39">
        <v>1</v>
      </c>
      <c r="H24" s="40">
        <f t="shared" si="0"/>
        <v>55.65</v>
      </c>
      <c r="I24" s="41">
        <v>0</v>
      </c>
      <c r="J24" s="41">
        <v>1</v>
      </c>
      <c r="K24" s="41">
        <f t="shared" si="1"/>
        <v>0</v>
      </c>
      <c r="L24" s="85">
        <f t="shared" si="2"/>
        <v>55.65</v>
      </c>
      <c r="N24" s="86">
        <f t="shared" si="3"/>
        <v>0.66900000000000004</v>
      </c>
      <c r="P24" s="84">
        <f t="shared" si="4"/>
        <v>285441.64443646366</v>
      </c>
      <c r="Q24" s="87">
        <f t="shared" si="5"/>
        <v>5129.2299090110273</v>
      </c>
      <c r="S24" s="84">
        <v>272419.83392716362</v>
      </c>
      <c r="T24" s="87">
        <v>4895.2351110002446</v>
      </c>
      <c r="V24" s="88">
        <f t="shared" si="6"/>
        <v>4.7800522897248454E-2</v>
      </c>
      <c r="X24" s="84">
        <v>10571.4</v>
      </c>
      <c r="Y24" s="87">
        <f t="shared" si="7"/>
        <v>274870.24443646363</v>
      </c>
      <c r="Z24" s="4"/>
    </row>
    <row r="25" spans="1:26" x14ac:dyDescent="0.25">
      <c r="B25" s="101" t="s">
        <v>52</v>
      </c>
      <c r="C25" s="97" t="s">
        <v>53</v>
      </c>
      <c r="D25" s="98"/>
      <c r="E25" s="99">
        <v>55.65</v>
      </c>
      <c r="F25" s="100">
        <v>1</v>
      </c>
      <c r="G25" s="39">
        <v>1</v>
      </c>
      <c r="H25" s="40">
        <f t="shared" si="0"/>
        <v>55.65</v>
      </c>
      <c r="I25" s="41">
        <v>0</v>
      </c>
      <c r="J25" s="41">
        <v>1</v>
      </c>
      <c r="K25" s="41">
        <f t="shared" si="1"/>
        <v>0</v>
      </c>
      <c r="L25" s="85">
        <f t="shared" si="2"/>
        <v>55.65</v>
      </c>
      <c r="M25" s="80"/>
      <c r="N25" s="86">
        <f t="shared" si="3"/>
        <v>0.66900000000000004</v>
      </c>
      <c r="O25" s="80"/>
      <c r="P25" s="84">
        <f t="shared" si="4"/>
        <v>285441.64443646366</v>
      </c>
      <c r="Q25" s="87">
        <f t="shared" si="5"/>
        <v>5129.2299090110273</v>
      </c>
      <c r="S25" s="84">
        <v>272419.83392716362</v>
      </c>
      <c r="T25" s="87">
        <v>4895.2351110002446</v>
      </c>
      <c r="V25" s="88">
        <f t="shared" si="6"/>
        <v>4.7800522897248454E-2</v>
      </c>
      <c r="X25" s="84">
        <v>10571.4</v>
      </c>
      <c r="Y25" s="87">
        <f t="shared" si="7"/>
        <v>274870.24443646363</v>
      </c>
      <c r="Z25" s="4"/>
    </row>
    <row r="26" spans="1:26" x14ac:dyDescent="0.25">
      <c r="B26" s="101" t="s">
        <v>54</v>
      </c>
      <c r="C26" s="97" t="s">
        <v>55</v>
      </c>
      <c r="D26" s="98"/>
      <c r="E26" s="103">
        <f>44.85+43.5</f>
        <v>88.35</v>
      </c>
      <c r="F26" s="100">
        <v>1</v>
      </c>
      <c r="G26" s="39">
        <v>1</v>
      </c>
      <c r="H26" s="40">
        <f t="shared" si="0"/>
        <v>88.35</v>
      </c>
      <c r="I26" s="41">
        <v>0</v>
      </c>
      <c r="J26" s="41">
        <v>1</v>
      </c>
      <c r="K26" s="41">
        <f t="shared" si="1"/>
        <v>0</v>
      </c>
      <c r="L26" s="85">
        <f t="shared" si="2"/>
        <v>88.35</v>
      </c>
      <c r="N26" s="86">
        <f t="shared" si="3"/>
        <v>1.0621</v>
      </c>
      <c r="P26" s="84">
        <f t="shared" si="4"/>
        <v>453165.27736318088</v>
      </c>
      <c r="Q26" s="87">
        <f t="shared" si="5"/>
        <v>5129.2051767196481</v>
      </c>
      <c r="S26" s="84">
        <v>432491.93664281094</v>
      </c>
      <c r="T26" s="87">
        <v>4895.2115069927668</v>
      </c>
      <c r="V26" s="88">
        <f t="shared" si="6"/>
        <v>4.7800522897248232E-2</v>
      </c>
      <c r="X26" s="84">
        <v>16783.37</v>
      </c>
      <c r="Y26" s="87">
        <f t="shared" si="7"/>
        <v>436381.90736318089</v>
      </c>
      <c r="Z26" s="4"/>
    </row>
    <row r="27" spans="1:26" x14ac:dyDescent="0.25">
      <c r="B27" s="101" t="s">
        <v>211</v>
      </c>
      <c r="C27" s="97" t="s">
        <v>45</v>
      </c>
      <c r="D27" s="98"/>
      <c r="E27" s="103">
        <v>52.8</v>
      </c>
      <c r="F27" s="100">
        <v>1</v>
      </c>
      <c r="G27" s="39">
        <v>1</v>
      </c>
      <c r="H27" s="40">
        <f t="shared" si="0"/>
        <v>52.8</v>
      </c>
      <c r="I27" s="41">
        <v>0</v>
      </c>
      <c r="J27" s="41">
        <v>1</v>
      </c>
      <c r="K27" s="41">
        <v>0</v>
      </c>
      <c r="L27" s="85">
        <f t="shared" si="2"/>
        <v>52.8</v>
      </c>
      <c r="N27" s="86">
        <f t="shared" si="3"/>
        <v>0.63470000000000004</v>
      </c>
      <c r="P27" s="84">
        <f t="shared" si="4"/>
        <v>270806.89345863002</v>
      </c>
      <c r="Q27" s="87">
        <f t="shared" si="5"/>
        <v>5128.918436716478</v>
      </c>
      <c r="S27" s="84">
        <v>258452.71837604002</v>
      </c>
      <c r="T27" s="87">
        <v>4894.9378480310615</v>
      </c>
      <c r="V27" s="88">
        <f t="shared" si="6"/>
        <v>4.7800522897248454E-2</v>
      </c>
      <c r="X27" s="84">
        <v>16783.37</v>
      </c>
      <c r="Y27" s="87">
        <f t="shared" si="7"/>
        <v>254023.52345863002</v>
      </c>
      <c r="Z27" s="66"/>
    </row>
    <row r="28" spans="1:26" x14ac:dyDescent="0.25">
      <c r="B28" s="101" t="s">
        <v>212</v>
      </c>
      <c r="C28" s="97" t="s">
        <v>208</v>
      </c>
      <c r="D28" s="98"/>
      <c r="E28" s="103">
        <v>133.85</v>
      </c>
      <c r="F28" s="100">
        <v>1</v>
      </c>
      <c r="G28" s="39">
        <v>1</v>
      </c>
      <c r="H28" s="40">
        <f t="shared" si="0"/>
        <v>133.85</v>
      </c>
      <c r="I28" s="41">
        <v>0</v>
      </c>
      <c r="J28" s="41">
        <v>1</v>
      </c>
      <c r="K28" s="41">
        <f t="shared" si="1"/>
        <v>0</v>
      </c>
      <c r="L28" s="85">
        <f t="shared" si="2"/>
        <v>133.85</v>
      </c>
      <c r="M28" s="80"/>
      <c r="N28" s="86">
        <f t="shared" si="3"/>
        <v>1.609</v>
      </c>
      <c r="O28" s="80"/>
      <c r="P28" s="84">
        <f t="shared" si="4"/>
        <v>686510.6216715544</v>
      </c>
      <c r="Q28" s="87">
        <f t="shared" si="5"/>
        <v>5128.9549620586804</v>
      </c>
      <c r="S28" s="84">
        <v>655192.09684425453</v>
      </c>
      <c r="T28" s="87">
        <v>4894.972707091928</v>
      </c>
      <c r="V28" s="88">
        <f t="shared" si="6"/>
        <v>4.7800522897248232E-2</v>
      </c>
      <c r="X28" s="84">
        <v>31563.96</v>
      </c>
      <c r="Y28" s="87">
        <f t="shared" si="7"/>
        <v>654946.66167155444</v>
      </c>
      <c r="Z28" s="4"/>
    </row>
    <row r="29" spans="1:26" x14ac:dyDescent="0.25">
      <c r="B29" s="101" t="s">
        <v>56</v>
      </c>
      <c r="C29" s="97" t="s">
        <v>57</v>
      </c>
      <c r="D29" s="98"/>
      <c r="E29" s="103">
        <v>232.05</v>
      </c>
      <c r="F29" s="100">
        <v>1</v>
      </c>
      <c r="G29" s="39">
        <v>1</v>
      </c>
      <c r="H29" s="40">
        <f t="shared" si="0"/>
        <v>232.05</v>
      </c>
      <c r="I29" s="41">
        <v>0</v>
      </c>
      <c r="J29" s="41">
        <v>1</v>
      </c>
      <c r="K29" s="41">
        <f t="shared" si="1"/>
        <v>0</v>
      </c>
      <c r="L29" s="85">
        <f t="shared" si="2"/>
        <v>232.05</v>
      </c>
      <c r="N29" s="86">
        <f t="shared" si="3"/>
        <v>2.7894999999999999</v>
      </c>
      <c r="P29" s="84">
        <f t="shared" si="4"/>
        <v>1190193.5234013682</v>
      </c>
      <c r="Q29" s="87">
        <f t="shared" si="5"/>
        <v>5129.0391010617031</v>
      </c>
      <c r="S29" s="84">
        <v>1135897.050433218</v>
      </c>
      <c r="T29" s="87">
        <v>4895.053007684628</v>
      </c>
      <c r="V29" s="88">
        <f t="shared" si="6"/>
        <v>4.7800522897248676E-2</v>
      </c>
      <c r="X29" s="84">
        <v>44082.26</v>
      </c>
      <c r="Y29" s="87">
        <f t="shared" si="7"/>
        <v>1146111.2634013682</v>
      </c>
      <c r="Z29" s="4"/>
    </row>
    <row r="30" spans="1:26" x14ac:dyDescent="0.25">
      <c r="B30" s="101" t="s">
        <v>58</v>
      </c>
      <c r="C30" s="97" t="s">
        <v>59</v>
      </c>
      <c r="D30" s="98"/>
      <c r="E30" s="103">
        <f>69.8+54.8</f>
        <v>124.6</v>
      </c>
      <c r="F30" s="100">
        <v>1</v>
      </c>
      <c r="G30" s="39">
        <v>1</v>
      </c>
      <c r="H30" s="40">
        <f t="shared" si="0"/>
        <v>124.6</v>
      </c>
      <c r="I30" s="41">
        <v>0</v>
      </c>
      <c r="J30" s="41">
        <v>1</v>
      </c>
      <c r="K30" s="41">
        <f t="shared" si="1"/>
        <v>0</v>
      </c>
      <c r="L30" s="85">
        <f t="shared" si="2"/>
        <v>124.6</v>
      </c>
      <c r="N30" s="86">
        <f t="shared" si="3"/>
        <v>1.4978</v>
      </c>
      <c r="P30" s="84">
        <f t="shared" si="4"/>
        <v>639065.0150028927</v>
      </c>
      <c r="Q30" s="87">
        <f t="shared" si="5"/>
        <v>5128.9327046781118</v>
      </c>
      <c r="S30" s="84">
        <v>609910.95255023276</v>
      </c>
      <c r="T30" s="87">
        <v>4894.951465090151</v>
      </c>
      <c r="V30" s="88">
        <f t="shared" si="6"/>
        <v>4.7800522897248232E-2</v>
      </c>
      <c r="X30" s="84">
        <v>23670.79</v>
      </c>
      <c r="Y30" s="87">
        <f t="shared" si="7"/>
        <v>615394.22500289266</v>
      </c>
      <c r="Z30" s="4"/>
    </row>
    <row r="31" spans="1:26" x14ac:dyDescent="0.25">
      <c r="B31" s="96" t="s">
        <v>60</v>
      </c>
      <c r="C31" s="97" t="s">
        <v>61</v>
      </c>
      <c r="D31" s="98"/>
      <c r="E31" s="103">
        <v>89.65</v>
      </c>
      <c r="F31" s="100">
        <v>1</v>
      </c>
      <c r="G31" s="39">
        <v>1</v>
      </c>
      <c r="H31" s="40">
        <f t="shared" si="0"/>
        <v>89.65</v>
      </c>
      <c r="I31" s="41">
        <v>0</v>
      </c>
      <c r="J31" s="41">
        <v>1</v>
      </c>
      <c r="K31" s="41">
        <f t="shared" si="1"/>
        <v>0</v>
      </c>
      <c r="L31" s="85">
        <f t="shared" si="2"/>
        <v>89.65</v>
      </c>
      <c r="N31" s="86">
        <f t="shared" si="3"/>
        <v>1.0777000000000001</v>
      </c>
      <c r="P31" s="84">
        <f t="shared" si="4"/>
        <v>459821.31570878456</v>
      </c>
      <c r="Q31" s="87">
        <f t="shared" si="5"/>
        <v>5129.0721216819247</v>
      </c>
      <c r="S31" s="84">
        <v>438844.32738909451</v>
      </c>
      <c r="T31" s="87">
        <v>4895.0845219084713</v>
      </c>
      <c r="V31" s="88">
        <f t="shared" si="6"/>
        <v>4.7800522897248454E-2</v>
      </c>
      <c r="X31" s="84">
        <v>17030.46</v>
      </c>
      <c r="Y31" s="87">
        <f t="shared" si="7"/>
        <v>442790.85570878454</v>
      </c>
      <c r="Z31" s="4"/>
    </row>
    <row r="32" spans="1:26" x14ac:dyDescent="0.25">
      <c r="B32" s="96" t="s">
        <v>62</v>
      </c>
      <c r="C32" s="97" t="s">
        <v>213</v>
      </c>
      <c r="D32" s="98"/>
      <c r="E32" s="103">
        <v>57.85</v>
      </c>
      <c r="F32" s="100">
        <v>1</v>
      </c>
      <c r="G32" s="39">
        <v>1</v>
      </c>
      <c r="H32" s="40">
        <f t="shared" si="0"/>
        <v>57.85</v>
      </c>
      <c r="I32" s="41">
        <v>0</v>
      </c>
      <c r="J32" s="41">
        <v>1</v>
      </c>
      <c r="K32" s="41">
        <f t="shared" si="1"/>
        <v>0</v>
      </c>
      <c r="L32" s="85">
        <f t="shared" si="2"/>
        <v>57.85</v>
      </c>
      <c r="N32" s="86">
        <f t="shared" si="3"/>
        <v>0.69540000000000002</v>
      </c>
      <c r="P32" s="84">
        <f t="shared" si="4"/>
        <v>296705.70932902361</v>
      </c>
      <c r="Q32" s="87">
        <f t="shared" si="5"/>
        <v>5128.8800229736144</v>
      </c>
      <c r="S32" s="84">
        <v>283170.03365164361</v>
      </c>
      <c r="T32" s="87">
        <v>4894.9011867181262</v>
      </c>
      <c r="V32" s="88">
        <f t="shared" si="6"/>
        <v>4.7800522897248454E-2</v>
      </c>
      <c r="X32" s="84">
        <v>10989.83</v>
      </c>
      <c r="Y32" s="87">
        <f t="shared" si="7"/>
        <v>285715.87932902359</v>
      </c>
      <c r="Z32" s="4"/>
    </row>
    <row r="33" spans="2:26" x14ac:dyDescent="0.25">
      <c r="B33" s="101" t="s">
        <v>63</v>
      </c>
      <c r="C33" s="97" t="s">
        <v>125</v>
      </c>
      <c r="D33" s="98"/>
      <c r="E33" s="103">
        <v>51.5</v>
      </c>
      <c r="F33" s="100">
        <v>1</v>
      </c>
      <c r="G33" s="39">
        <v>1</v>
      </c>
      <c r="H33" s="40">
        <f t="shared" si="0"/>
        <v>51.5</v>
      </c>
      <c r="I33" s="41">
        <v>0</v>
      </c>
      <c r="J33" s="41">
        <v>1</v>
      </c>
      <c r="K33" s="41">
        <f t="shared" si="1"/>
        <v>0</v>
      </c>
      <c r="L33" s="85">
        <f t="shared" si="2"/>
        <v>51.5</v>
      </c>
      <c r="N33" s="86">
        <f t="shared" si="3"/>
        <v>0.61909999999999998</v>
      </c>
      <c r="P33" s="84">
        <f t="shared" si="4"/>
        <v>264150.85511302634</v>
      </c>
      <c r="Q33" s="87">
        <f t="shared" si="5"/>
        <v>5129.1428177286671</v>
      </c>
      <c r="S33" s="84">
        <v>252100.32762975633</v>
      </c>
      <c r="T33" s="87">
        <v>4895.1519928108028</v>
      </c>
      <c r="V33" s="88">
        <f t="shared" si="6"/>
        <v>4.7800522897248454E-2</v>
      </c>
      <c r="X33" s="84">
        <v>9782.9500000000007</v>
      </c>
      <c r="Y33" s="87">
        <f t="shared" si="7"/>
        <v>254367.90511302633</v>
      </c>
      <c r="Z33" s="4"/>
    </row>
    <row r="34" spans="2:26" x14ac:dyDescent="0.25">
      <c r="B34" s="101" t="s">
        <v>64</v>
      </c>
      <c r="C34" s="104" t="s">
        <v>163</v>
      </c>
      <c r="D34" s="98"/>
      <c r="E34" s="103">
        <v>49.85</v>
      </c>
      <c r="F34" s="100">
        <v>1</v>
      </c>
      <c r="G34" s="39">
        <v>1</v>
      </c>
      <c r="H34" s="40">
        <f t="shared" si="0"/>
        <v>49.85</v>
      </c>
      <c r="I34" s="41">
        <v>0</v>
      </c>
      <c r="J34" s="41">
        <v>1</v>
      </c>
      <c r="K34" s="41">
        <f t="shared" si="1"/>
        <v>0</v>
      </c>
      <c r="L34" s="85">
        <f t="shared" si="2"/>
        <v>49.85</v>
      </c>
      <c r="N34" s="86">
        <f t="shared" si="3"/>
        <v>0.59930000000000005</v>
      </c>
      <c r="P34" s="84">
        <f t="shared" si="4"/>
        <v>255702.80644360636</v>
      </c>
      <c r="Q34" s="87">
        <f t="shared" si="5"/>
        <v>5129.4444622589035</v>
      </c>
      <c r="S34" s="84">
        <v>244037.67783639635</v>
      </c>
      <c r="T34" s="87">
        <v>4895.439876356998</v>
      </c>
      <c r="V34" s="88">
        <f t="shared" si="6"/>
        <v>4.7800522897248454E-2</v>
      </c>
      <c r="X34" s="84">
        <v>9470.06</v>
      </c>
      <c r="Y34" s="87">
        <f t="shared" si="7"/>
        <v>246232.74644360636</v>
      </c>
      <c r="Z34" s="4"/>
    </row>
    <row r="35" spans="2:26" x14ac:dyDescent="0.25">
      <c r="B35" s="101" t="s">
        <v>65</v>
      </c>
      <c r="C35" s="104" t="s">
        <v>183</v>
      </c>
      <c r="D35" s="98"/>
      <c r="E35" s="103">
        <v>75.400000000000006</v>
      </c>
      <c r="F35" s="100">
        <v>1</v>
      </c>
      <c r="G35" s="39">
        <v>1</v>
      </c>
      <c r="H35" s="40">
        <f t="shared" si="0"/>
        <v>75.400000000000006</v>
      </c>
      <c r="I35" s="41">
        <v>0</v>
      </c>
      <c r="J35" s="41">
        <v>1</v>
      </c>
      <c r="K35" s="41">
        <f>ROUND(I35*J35,2)</f>
        <v>0</v>
      </c>
      <c r="L35" s="85">
        <f>H35+K35</f>
        <v>75.400000000000006</v>
      </c>
      <c r="N35" s="86">
        <f t="shared" si="3"/>
        <v>0.90639999999999998</v>
      </c>
      <c r="P35" s="84">
        <f t="shared" si="4"/>
        <v>386732.89464456</v>
      </c>
      <c r="Q35" s="87">
        <f t="shared" si="5"/>
        <v>5129.0834833496019</v>
      </c>
      <c r="S35" s="84">
        <v>369090.19054047996</v>
      </c>
      <c r="T35" s="87">
        <v>4895.0953652583548</v>
      </c>
      <c r="V35" s="88">
        <f t="shared" si="6"/>
        <v>4.7800522897248454E-2</v>
      </c>
      <c r="X35" s="84">
        <v>14322.66</v>
      </c>
      <c r="Y35" s="87">
        <f t="shared" si="7"/>
        <v>372410.23464456003</v>
      </c>
      <c r="Z35" s="4"/>
    </row>
    <row r="36" spans="2:26" x14ac:dyDescent="0.25">
      <c r="B36" s="101" t="s">
        <v>66</v>
      </c>
      <c r="C36" s="104" t="s">
        <v>126</v>
      </c>
      <c r="D36" s="98"/>
      <c r="E36" s="103">
        <v>45.15</v>
      </c>
      <c r="F36" s="100">
        <v>1</v>
      </c>
      <c r="G36" s="39">
        <v>1</v>
      </c>
      <c r="H36" s="40">
        <f t="shared" si="0"/>
        <v>45.15</v>
      </c>
      <c r="I36" s="41">
        <v>0</v>
      </c>
      <c r="J36" s="41">
        <v>1</v>
      </c>
      <c r="K36" s="41">
        <f t="shared" si="1"/>
        <v>0</v>
      </c>
      <c r="L36" s="85">
        <f t="shared" si="2"/>
        <v>45.15</v>
      </c>
      <c r="N36" s="86">
        <f t="shared" si="3"/>
        <v>0.54279999999999995</v>
      </c>
      <c r="P36" s="84">
        <f t="shared" si="4"/>
        <v>231596.00089702904</v>
      </c>
      <c r="Q36" s="87">
        <f t="shared" si="5"/>
        <v>5129.4795326030799</v>
      </c>
      <c r="S36" s="84">
        <v>221030.62160786905</v>
      </c>
      <c r="T36" s="87">
        <v>4895.4733467966571</v>
      </c>
      <c r="V36" s="88">
        <f t="shared" si="6"/>
        <v>4.7800522897248454E-2</v>
      </c>
      <c r="X36" s="84">
        <v>8577.31</v>
      </c>
      <c r="Y36" s="87">
        <f t="shared" si="7"/>
        <v>223018.69089702904</v>
      </c>
      <c r="Z36" s="4"/>
    </row>
    <row r="37" spans="2:26" x14ac:dyDescent="0.25">
      <c r="B37" s="96" t="s">
        <v>68</v>
      </c>
      <c r="C37" s="97" t="s">
        <v>224</v>
      </c>
      <c r="D37" s="98"/>
      <c r="E37" s="103">
        <v>43.85</v>
      </c>
      <c r="F37" s="100">
        <v>1</v>
      </c>
      <c r="G37" s="39">
        <v>1</v>
      </c>
      <c r="H37" s="40">
        <f t="shared" si="0"/>
        <v>43.85</v>
      </c>
      <c r="I37" s="41">
        <v>0</v>
      </c>
      <c r="J37" s="41">
        <v>1</v>
      </c>
      <c r="K37" s="41">
        <f t="shared" si="1"/>
        <v>0</v>
      </c>
      <c r="L37" s="85">
        <f t="shared" si="2"/>
        <v>43.85</v>
      </c>
      <c r="N37" s="86">
        <f t="shared" si="3"/>
        <v>0.52710000000000001</v>
      </c>
      <c r="P37" s="84">
        <f t="shared" si="4"/>
        <v>224897.29563895363</v>
      </c>
      <c r="Q37" s="87">
        <f t="shared" si="5"/>
        <v>5128.7866736363421</v>
      </c>
      <c r="S37" s="84">
        <v>214637.51040808365</v>
      </c>
      <c r="T37" s="87">
        <v>4894.8120959654198</v>
      </c>
      <c r="V37" s="88">
        <f t="shared" si="6"/>
        <v>4.7800522897248232E-2</v>
      </c>
      <c r="X37" s="84">
        <v>8330.2199999999993</v>
      </c>
      <c r="Y37" s="87">
        <f t="shared" si="7"/>
        <v>216567.07563895363</v>
      </c>
      <c r="Z37" s="4"/>
    </row>
    <row r="38" spans="2:26" x14ac:dyDescent="0.25">
      <c r="B38" s="101" t="s">
        <v>69</v>
      </c>
      <c r="C38" s="97" t="s">
        <v>225</v>
      </c>
      <c r="D38" s="98"/>
      <c r="E38" s="103">
        <v>55.4</v>
      </c>
      <c r="F38" s="100">
        <v>1</v>
      </c>
      <c r="G38" s="39">
        <v>1</v>
      </c>
      <c r="H38" s="40">
        <f t="shared" si="0"/>
        <v>55.4</v>
      </c>
      <c r="I38" s="41">
        <v>0</v>
      </c>
      <c r="J38" s="41">
        <v>1</v>
      </c>
      <c r="K38" s="41">
        <f t="shared" si="1"/>
        <v>0</v>
      </c>
      <c r="L38" s="85">
        <f t="shared" si="2"/>
        <v>55.4</v>
      </c>
      <c r="N38" s="86">
        <f t="shared" si="3"/>
        <v>0.66600000000000004</v>
      </c>
      <c r="P38" s="84">
        <f t="shared" si="4"/>
        <v>284161.63706230908</v>
      </c>
      <c r="Q38" s="87">
        <f t="shared" si="5"/>
        <v>5129.2714271174927</v>
      </c>
      <c r="S38" s="84">
        <v>271198.22032210906</v>
      </c>
      <c r="T38" s="87">
        <v>4895.2747350561203</v>
      </c>
      <c r="V38" s="88">
        <f t="shared" si="6"/>
        <v>4.7800522897248454E-2</v>
      </c>
      <c r="X38" s="84">
        <v>10524.22</v>
      </c>
      <c r="Y38" s="87">
        <f t="shared" si="7"/>
        <v>273637.4170623091</v>
      </c>
      <c r="Z38" s="4"/>
    </row>
    <row r="39" spans="2:26" x14ac:dyDescent="0.25">
      <c r="B39" s="189" t="s">
        <v>70</v>
      </c>
      <c r="C39" s="79" t="s">
        <v>245</v>
      </c>
      <c r="D39" s="80"/>
      <c r="E39" s="81">
        <v>135.75</v>
      </c>
      <c r="F39" s="82">
        <v>1</v>
      </c>
      <c r="G39" s="166">
        <v>1</v>
      </c>
      <c r="H39" s="167">
        <f t="shared" si="0"/>
        <v>135.75</v>
      </c>
      <c r="I39" s="82">
        <v>0</v>
      </c>
      <c r="J39" s="82">
        <v>1</v>
      </c>
      <c r="K39" s="82">
        <f t="shared" si="1"/>
        <v>0</v>
      </c>
      <c r="L39" s="168">
        <f t="shared" si="2"/>
        <v>135.75</v>
      </c>
      <c r="M39" s="80"/>
      <c r="N39" s="190">
        <f t="shared" si="3"/>
        <v>1.6318999999999999</v>
      </c>
      <c r="O39" s="80"/>
      <c r="P39" s="169">
        <f t="shared" si="4"/>
        <v>696281.34462760075</v>
      </c>
      <c r="Q39" s="87">
        <f t="shared" si="5"/>
        <v>5129.1443434814055</v>
      </c>
      <c r="S39" s="169">
        <v>664517.0806961708</v>
      </c>
      <c r="T39" s="87">
        <v>4895.1534489589012</v>
      </c>
      <c r="V39" s="88">
        <f t="shared" si="6"/>
        <v>4.7800522897248454E-2</v>
      </c>
      <c r="X39" s="84">
        <v>21922.55</v>
      </c>
      <c r="Y39" s="87">
        <f t="shared" si="7"/>
        <v>674358.7946276007</v>
      </c>
      <c r="Z39" s="4"/>
    </row>
    <row r="40" spans="2:26" x14ac:dyDescent="0.25">
      <c r="B40" s="189" t="s">
        <v>72</v>
      </c>
      <c r="C40" s="79" t="s">
        <v>245</v>
      </c>
      <c r="D40" s="80"/>
      <c r="E40" s="81">
        <v>21.6</v>
      </c>
      <c r="F40" s="82">
        <v>1</v>
      </c>
      <c r="G40" s="166">
        <v>1</v>
      </c>
      <c r="H40" s="167">
        <f t="shared" si="0"/>
        <v>21.6</v>
      </c>
      <c r="I40" s="82">
        <v>0</v>
      </c>
      <c r="J40" s="82">
        <v>1</v>
      </c>
      <c r="K40" s="82">
        <f t="shared" si="1"/>
        <v>0</v>
      </c>
      <c r="L40" s="168">
        <f t="shared" si="2"/>
        <v>21.6</v>
      </c>
      <c r="M40" s="80"/>
      <c r="N40" s="190">
        <f t="shared" si="3"/>
        <v>0.25969999999999999</v>
      </c>
      <c r="O40" s="80"/>
      <c r="P40" s="169">
        <f t="shared" si="4"/>
        <v>110805.9716893118</v>
      </c>
      <c r="Q40" s="87">
        <f t="shared" si="5"/>
        <v>5129.9060967273981</v>
      </c>
      <c r="S40" s="169">
        <v>105751.0177442218</v>
      </c>
      <c r="T40" s="87">
        <v>4895.8804511213793</v>
      </c>
      <c r="V40" s="88">
        <f t="shared" si="6"/>
        <v>4.7800522897248454E-2</v>
      </c>
      <c r="X40" s="84">
        <v>21922.55</v>
      </c>
      <c r="Y40" s="87">
        <f t="shared" si="7"/>
        <v>88883.421689311799</v>
      </c>
      <c r="Z40" s="4"/>
    </row>
    <row r="41" spans="2:26" x14ac:dyDescent="0.25">
      <c r="B41" s="189" t="s">
        <v>214</v>
      </c>
      <c r="C41" s="79" t="s">
        <v>200</v>
      </c>
      <c r="D41" s="80"/>
      <c r="E41" s="81">
        <v>70</v>
      </c>
      <c r="F41" s="82">
        <v>1</v>
      </c>
      <c r="G41" s="166">
        <v>1</v>
      </c>
      <c r="H41" s="167">
        <f t="shared" si="0"/>
        <v>70</v>
      </c>
      <c r="I41" s="82">
        <v>0</v>
      </c>
      <c r="J41" s="82">
        <v>1</v>
      </c>
      <c r="K41" s="82">
        <f t="shared" si="1"/>
        <v>0</v>
      </c>
      <c r="L41" s="168">
        <f t="shared" si="2"/>
        <v>70</v>
      </c>
      <c r="M41" s="80"/>
      <c r="N41" s="190">
        <f t="shared" si="3"/>
        <v>0.84150000000000003</v>
      </c>
      <c r="O41" s="80"/>
      <c r="P41" s="169">
        <f t="shared" si="4"/>
        <v>359042.06845035002</v>
      </c>
      <c r="Q41" s="87">
        <f t="shared" si="5"/>
        <v>5129.1724064335722</v>
      </c>
      <c r="S41" s="169">
        <v>342662.61621780001</v>
      </c>
      <c r="T41" s="87">
        <v>4895.1802316828571</v>
      </c>
      <c r="V41" s="88">
        <f t="shared" si="6"/>
        <v>4.7800522897248454E-2</v>
      </c>
      <c r="X41" s="84">
        <v>8377.4</v>
      </c>
      <c r="Y41" s="87">
        <f t="shared" si="7"/>
        <v>350664.66845035</v>
      </c>
      <c r="Z41" s="4"/>
    </row>
    <row r="42" spans="2:26" x14ac:dyDescent="0.25">
      <c r="B42" s="96" t="s">
        <v>215</v>
      </c>
      <c r="C42" s="104" t="s">
        <v>179</v>
      </c>
      <c r="D42" s="98"/>
      <c r="E42" s="103">
        <v>74.25</v>
      </c>
      <c r="F42" s="100">
        <v>1</v>
      </c>
      <c r="G42" s="39">
        <v>1</v>
      </c>
      <c r="H42" s="40">
        <f t="shared" si="0"/>
        <v>74.25</v>
      </c>
      <c r="I42" s="41">
        <v>0</v>
      </c>
      <c r="J42" s="41">
        <v>1</v>
      </c>
      <c r="K42" s="41">
        <f t="shared" si="1"/>
        <v>0</v>
      </c>
      <c r="L42" s="85">
        <f t="shared" si="2"/>
        <v>74.25</v>
      </c>
      <c r="N42" s="86">
        <f t="shared" si="3"/>
        <v>0.89259999999999995</v>
      </c>
      <c r="P42" s="84">
        <f t="shared" si="4"/>
        <v>380844.86072344909</v>
      </c>
      <c r="Q42" s="87">
        <f t="shared" si="5"/>
        <v>5129.2237134471261</v>
      </c>
      <c r="S42" s="84">
        <v>363470.76795722899</v>
      </c>
      <c r="T42" s="87">
        <v>4895.2291980771579</v>
      </c>
      <c r="V42" s="88">
        <f t="shared" si="6"/>
        <v>4.7800522897248676E-2</v>
      </c>
      <c r="X42" s="84">
        <v>25456.28</v>
      </c>
      <c r="Y42" s="87">
        <f t="shared" si="7"/>
        <v>355388.58072344912</v>
      </c>
      <c r="Z42" s="4"/>
    </row>
    <row r="43" spans="2:26" x14ac:dyDescent="0.25">
      <c r="B43" s="118" t="s">
        <v>73</v>
      </c>
      <c r="C43" s="117" t="s">
        <v>195</v>
      </c>
      <c r="D43" s="94"/>
      <c r="E43" s="115">
        <v>506.75</v>
      </c>
      <c r="F43" s="115">
        <v>0.75</v>
      </c>
      <c r="G43" s="39">
        <v>1</v>
      </c>
      <c r="H43" s="40">
        <f t="shared" si="0"/>
        <v>380.06</v>
      </c>
      <c r="I43" s="41">
        <v>0</v>
      </c>
      <c r="J43" s="41">
        <v>1</v>
      </c>
      <c r="K43" s="41">
        <f t="shared" si="1"/>
        <v>0</v>
      </c>
      <c r="L43" s="85">
        <f t="shared" si="2"/>
        <v>380.06</v>
      </c>
      <c r="N43" s="86">
        <f t="shared" si="3"/>
        <v>4.5686999999999998</v>
      </c>
      <c r="P43" s="84">
        <f t="shared" si="4"/>
        <v>1949323.230099957</v>
      </c>
      <c r="Q43" s="87">
        <f t="shared" si="5"/>
        <v>3846.7157969412078</v>
      </c>
      <c r="S43" s="84">
        <v>1860395.359137567</v>
      </c>
      <c r="T43" s="87">
        <v>3671.2291250864669</v>
      </c>
      <c r="V43" s="88">
        <f t="shared" si="6"/>
        <v>4.7800522897248454E-2</v>
      </c>
      <c r="X43" s="84">
        <v>78940.31</v>
      </c>
      <c r="Y43" s="87">
        <f t="shared" si="7"/>
        <v>1870382.9200999569</v>
      </c>
      <c r="Z43" s="4"/>
    </row>
    <row r="44" spans="2:26" x14ac:dyDescent="0.25">
      <c r="B44" s="116" t="s">
        <v>74</v>
      </c>
      <c r="C44" s="117" t="s">
        <v>231</v>
      </c>
      <c r="D44" s="94"/>
      <c r="E44" s="115">
        <f>244</f>
        <v>244</v>
      </c>
      <c r="F44" s="111">
        <v>1</v>
      </c>
      <c r="G44" s="39">
        <v>1</v>
      </c>
      <c r="H44" s="40">
        <f t="shared" si="0"/>
        <v>244</v>
      </c>
      <c r="I44" s="41">
        <v>0</v>
      </c>
      <c r="J44" s="41">
        <v>1</v>
      </c>
      <c r="K44" s="41">
        <f t="shared" si="1"/>
        <v>0</v>
      </c>
      <c r="L44" s="85">
        <f t="shared" si="2"/>
        <v>244</v>
      </c>
      <c r="N44" s="86">
        <f t="shared" si="3"/>
        <v>2.9331999999999998</v>
      </c>
      <c r="P44" s="84">
        <f t="shared" si="4"/>
        <v>1251505.8766233707</v>
      </c>
      <c r="Q44" s="87">
        <f t="shared" si="5"/>
        <v>5129.1224451777489</v>
      </c>
      <c r="S44" s="84">
        <v>1194412.3421153307</v>
      </c>
      <c r="T44" s="87">
        <v>4895.1325496529953</v>
      </c>
      <c r="V44" s="88">
        <f t="shared" si="6"/>
        <v>4.7800522897248454E-2</v>
      </c>
      <c r="X44" s="84">
        <v>23936.51</v>
      </c>
      <c r="Y44" s="87">
        <f t="shared" si="7"/>
        <v>1227569.3666233707</v>
      </c>
      <c r="Z44" s="4"/>
    </row>
    <row r="45" spans="2:26" x14ac:dyDescent="0.25">
      <c r="B45" s="116" t="s">
        <v>75</v>
      </c>
      <c r="C45" s="117" t="s">
        <v>76</v>
      </c>
      <c r="D45" s="94"/>
      <c r="E45" s="115">
        <f>221.7-69.3</f>
        <v>152.39999999999998</v>
      </c>
      <c r="F45" s="111">
        <v>0.75</v>
      </c>
      <c r="G45" s="39">
        <v>1</v>
      </c>
      <c r="H45" s="40">
        <f t="shared" si="0"/>
        <v>114.3</v>
      </c>
      <c r="I45" s="41">
        <v>0</v>
      </c>
      <c r="J45" s="41">
        <v>1</v>
      </c>
      <c r="K45" s="41">
        <f t="shared" si="1"/>
        <v>0</v>
      </c>
      <c r="L45" s="85">
        <f t="shared" si="2"/>
        <v>114.3</v>
      </c>
      <c r="N45" s="86">
        <f t="shared" si="3"/>
        <v>1.3740000000000001</v>
      </c>
      <c r="P45" s="84">
        <f t="shared" si="4"/>
        <v>586243.37736278179</v>
      </c>
      <c r="Q45" s="87">
        <f t="shared" si="5"/>
        <v>3846.7413212780962</v>
      </c>
      <c r="S45" s="84">
        <v>559499.03111498186</v>
      </c>
      <c r="T45" s="87">
        <v>3671.253485006443</v>
      </c>
      <c r="V45" s="88">
        <f t="shared" si="6"/>
        <v>4.7800522897248232E-2</v>
      </c>
      <c r="X45" s="84">
        <v>31587.55</v>
      </c>
      <c r="Y45" s="87">
        <f t="shared" si="7"/>
        <v>554655.82736278174</v>
      </c>
      <c r="Z45" s="4"/>
    </row>
    <row r="46" spans="2:26" x14ac:dyDescent="0.25">
      <c r="B46" s="116" t="s">
        <v>75</v>
      </c>
      <c r="C46" s="117" t="s">
        <v>190</v>
      </c>
      <c r="D46" s="94"/>
      <c r="E46" s="115">
        <v>69.3</v>
      </c>
      <c r="F46" s="111">
        <v>0</v>
      </c>
      <c r="G46" s="39">
        <v>0</v>
      </c>
      <c r="H46" s="40">
        <f t="shared" si="0"/>
        <v>0</v>
      </c>
      <c r="I46" s="41">
        <v>0</v>
      </c>
      <c r="J46" s="41">
        <v>1</v>
      </c>
      <c r="K46" s="41">
        <f t="shared" si="1"/>
        <v>0</v>
      </c>
      <c r="L46" s="85">
        <f t="shared" si="2"/>
        <v>0</v>
      </c>
      <c r="N46" s="86">
        <f t="shared" si="3"/>
        <v>0</v>
      </c>
      <c r="P46" s="84">
        <f t="shared" si="4"/>
        <v>0</v>
      </c>
      <c r="Q46" s="87">
        <f t="shared" si="5"/>
        <v>0</v>
      </c>
      <c r="S46" s="84">
        <v>0</v>
      </c>
      <c r="T46" s="87">
        <v>0</v>
      </c>
      <c r="V46" s="88" t="e">
        <f t="shared" si="6"/>
        <v>#DIV/0!</v>
      </c>
      <c r="X46" s="84">
        <v>0</v>
      </c>
      <c r="Y46" s="87">
        <f t="shared" si="7"/>
        <v>0</v>
      </c>
      <c r="Z46" s="4"/>
    </row>
    <row r="47" spans="2:26" x14ac:dyDescent="0.25">
      <c r="B47" s="116" t="s">
        <v>77</v>
      </c>
      <c r="C47" s="117" t="s">
        <v>78</v>
      </c>
      <c r="D47" s="94"/>
      <c r="E47" s="115">
        <f>109.55-35.65</f>
        <v>73.900000000000006</v>
      </c>
      <c r="F47" s="111">
        <v>0.75</v>
      </c>
      <c r="G47" s="39">
        <v>1</v>
      </c>
      <c r="H47" s="40">
        <f t="shared" si="0"/>
        <v>55.43</v>
      </c>
      <c r="I47" s="41">
        <v>0</v>
      </c>
      <c r="J47" s="41">
        <v>1</v>
      </c>
      <c r="K47" s="41">
        <f t="shared" si="1"/>
        <v>0</v>
      </c>
      <c r="L47" s="85">
        <f t="shared" si="2"/>
        <v>55.43</v>
      </c>
      <c r="N47" s="86">
        <f t="shared" si="3"/>
        <v>0.6663</v>
      </c>
      <c r="P47" s="84">
        <f t="shared" si="4"/>
        <v>284289.63779972453</v>
      </c>
      <c r="Q47" s="87">
        <f t="shared" si="5"/>
        <v>3846.9504438393033</v>
      </c>
      <c r="S47" s="84">
        <v>271320.38168261456</v>
      </c>
      <c r="T47" s="87">
        <v>3671.4530674237421</v>
      </c>
      <c r="V47" s="88">
        <f t="shared" si="6"/>
        <v>4.7800522897248232E-2</v>
      </c>
      <c r="X47" s="84">
        <v>15607.53</v>
      </c>
      <c r="Y47" s="87">
        <f t="shared" si="7"/>
        <v>268682.1077997245</v>
      </c>
      <c r="Z47" s="4"/>
    </row>
    <row r="48" spans="2:26" x14ac:dyDescent="0.25">
      <c r="B48" s="116" t="s">
        <v>79</v>
      </c>
      <c r="C48" s="117" t="s">
        <v>209</v>
      </c>
      <c r="D48" s="94"/>
      <c r="E48" s="115">
        <f>219.1+35.65-106.95</f>
        <v>147.80000000000001</v>
      </c>
      <c r="F48" s="111">
        <v>0.75</v>
      </c>
      <c r="G48" s="39">
        <v>1</v>
      </c>
      <c r="H48" s="40">
        <f t="shared" si="0"/>
        <v>110.85</v>
      </c>
      <c r="I48" s="41">
        <v>0</v>
      </c>
      <c r="J48" s="41">
        <v>1</v>
      </c>
      <c r="K48" s="41">
        <f t="shared" si="1"/>
        <v>0</v>
      </c>
      <c r="L48" s="85">
        <f t="shared" si="2"/>
        <v>110.85</v>
      </c>
      <c r="N48" s="86">
        <f t="shared" si="3"/>
        <v>1.3325</v>
      </c>
      <c r="P48" s="84">
        <f t="shared" si="4"/>
        <v>568536.6086869773</v>
      </c>
      <c r="Q48" s="87">
        <f t="shared" si="5"/>
        <v>3846.6617637819841</v>
      </c>
      <c r="S48" s="84">
        <v>542600.04291172733</v>
      </c>
      <c r="T48" s="87">
        <v>3671.1775569129045</v>
      </c>
      <c r="V48" s="88">
        <f t="shared" si="6"/>
        <v>4.7800522897248454E-2</v>
      </c>
      <c r="X48" s="84">
        <v>31217.54</v>
      </c>
      <c r="Y48" s="87">
        <f t="shared" si="7"/>
        <v>537319.06868697726</v>
      </c>
      <c r="Z48" s="66"/>
    </row>
    <row r="49" spans="2:26" x14ac:dyDescent="0.25">
      <c r="B49" s="116" t="s">
        <v>79</v>
      </c>
      <c r="C49" s="117" t="s">
        <v>209</v>
      </c>
      <c r="D49" s="94"/>
      <c r="E49" s="115">
        <v>106.95</v>
      </c>
      <c r="F49" s="111">
        <v>0</v>
      </c>
      <c r="G49" s="39">
        <v>1</v>
      </c>
      <c r="H49" s="40">
        <f t="shared" si="0"/>
        <v>0</v>
      </c>
      <c r="I49" s="41">
        <v>0</v>
      </c>
      <c r="J49" s="41">
        <v>1</v>
      </c>
      <c r="K49" s="41">
        <f t="shared" si="1"/>
        <v>0</v>
      </c>
      <c r="L49" s="85">
        <f t="shared" si="2"/>
        <v>0</v>
      </c>
      <c r="N49" s="86">
        <f t="shared" si="3"/>
        <v>0</v>
      </c>
      <c r="P49" s="84">
        <f t="shared" si="4"/>
        <v>0</v>
      </c>
      <c r="Q49" s="87">
        <f t="shared" si="5"/>
        <v>0</v>
      </c>
      <c r="S49" s="84">
        <v>0</v>
      </c>
      <c r="T49" s="87">
        <v>0</v>
      </c>
      <c r="V49" s="88" t="e">
        <f t="shared" si="6"/>
        <v>#DIV/0!</v>
      </c>
      <c r="X49" s="84"/>
      <c r="Y49" s="87"/>
      <c r="Z49" s="66"/>
    </row>
    <row r="50" spans="2:26" x14ac:dyDescent="0.25">
      <c r="B50" s="116" t="s">
        <v>80</v>
      </c>
      <c r="C50" s="117" t="s">
        <v>210</v>
      </c>
      <c r="D50" s="94"/>
      <c r="E50" s="115">
        <f>219.1-71.3</f>
        <v>147.80000000000001</v>
      </c>
      <c r="F50" s="111">
        <v>0.75</v>
      </c>
      <c r="G50" s="39">
        <v>1</v>
      </c>
      <c r="H50" s="40">
        <f t="shared" si="0"/>
        <v>110.85</v>
      </c>
      <c r="I50" s="41">
        <v>0</v>
      </c>
      <c r="J50" s="41">
        <v>1</v>
      </c>
      <c r="K50" s="41">
        <f t="shared" si="1"/>
        <v>0</v>
      </c>
      <c r="L50" s="85">
        <f t="shared" si="2"/>
        <v>110.85</v>
      </c>
      <c r="N50" s="86">
        <f t="shared" si="3"/>
        <v>1.3325</v>
      </c>
      <c r="P50" s="84">
        <f t="shared" si="4"/>
        <v>568536.6086869773</v>
      </c>
      <c r="Q50" s="87">
        <f t="shared" si="5"/>
        <v>3846.6617637819841</v>
      </c>
      <c r="S50" s="84">
        <v>542600.04291172733</v>
      </c>
      <c r="T50" s="87">
        <v>3671.1775569129045</v>
      </c>
      <c r="V50" s="88">
        <f t="shared" si="6"/>
        <v>4.7800522897248454E-2</v>
      </c>
      <c r="X50" s="84">
        <v>31217.54</v>
      </c>
      <c r="Y50" s="87">
        <f t="shared" ref="Y50:Y89" si="8">+P50-X50</f>
        <v>537319.06868697726</v>
      </c>
      <c r="Z50" s="4"/>
    </row>
    <row r="51" spans="2:26" x14ac:dyDescent="0.25">
      <c r="B51" s="116" t="s">
        <v>80</v>
      </c>
      <c r="C51" s="117" t="s">
        <v>210</v>
      </c>
      <c r="D51" s="94"/>
      <c r="E51" s="115">
        <v>71.3</v>
      </c>
      <c r="F51" s="111">
        <v>0</v>
      </c>
      <c r="G51" s="39">
        <v>0</v>
      </c>
      <c r="H51" s="40">
        <f t="shared" si="0"/>
        <v>0</v>
      </c>
      <c r="I51" s="41">
        <v>0</v>
      </c>
      <c r="J51" s="41">
        <v>1</v>
      </c>
      <c r="K51" s="41">
        <f t="shared" si="1"/>
        <v>0</v>
      </c>
      <c r="L51" s="85">
        <f t="shared" si="2"/>
        <v>0</v>
      </c>
      <c r="N51" s="86">
        <f t="shared" si="3"/>
        <v>0</v>
      </c>
      <c r="P51" s="84">
        <f t="shared" si="4"/>
        <v>0</v>
      </c>
      <c r="Q51" s="87">
        <f t="shared" si="5"/>
        <v>0</v>
      </c>
      <c r="S51" s="84">
        <v>0</v>
      </c>
      <c r="T51" s="87">
        <v>0</v>
      </c>
      <c r="V51" s="88"/>
      <c r="X51" s="84"/>
      <c r="Y51" s="87"/>
      <c r="Z51" s="4"/>
    </row>
    <row r="52" spans="2:26" x14ac:dyDescent="0.25">
      <c r="B52" s="116" t="s">
        <v>81</v>
      </c>
      <c r="C52" s="117" t="s">
        <v>82</v>
      </c>
      <c r="D52" s="94"/>
      <c r="E52" s="115">
        <f>168.85-50.65</f>
        <v>118.19999999999999</v>
      </c>
      <c r="F52" s="111">
        <v>0.75</v>
      </c>
      <c r="G52" s="39">
        <v>1</v>
      </c>
      <c r="H52" s="40">
        <f t="shared" si="0"/>
        <v>88.65</v>
      </c>
      <c r="I52" s="41">
        <v>0</v>
      </c>
      <c r="J52" s="41">
        <v>1</v>
      </c>
      <c r="K52" s="41">
        <f t="shared" si="1"/>
        <v>0</v>
      </c>
      <c r="L52" s="85">
        <f t="shared" si="2"/>
        <v>88.65</v>
      </c>
      <c r="N52" s="86">
        <f t="shared" si="3"/>
        <v>1.0657000000000001</v>
      </c>
      <c r="P52" s="84">
        <f t="shared" si="4"/>
        <v>454701.28621216642</v>
      </c>
      <c r="Q52" s="87">
        <f t="shared" si="5"/>
        <v>3846.8805940115608</v>
      </c>
      <c r="S52" s="84">
        <v>433957.87296887639</v>
      </c>
      <c r="T52" s="87">
        <v>3671.3864041360102</v>
      </c>
      <c r="V52" s="88">
        <f t="shared" si="6"/>
        <v>4.7800522897248454E-2</v>
      </c>
      <c r="X52" s="84">
        <v>23972.51</v>
      </c>
      <c r="Y52" s="87">
        <f t="shared" si="8"/>
        <v>430728.77621216641</v>
      </c>
      <c r="Z52" s="4"/>
    </row>
    <row r="53" spans="2:26" x14ac:dyDescent="0.25">
      <c r="B53" s="116" t="s">
        <v>81</v>
      </c>
      <c r="C53" s="117" t="s">
        <v>192</v>
      </c>
      <c r="D53" s="94"/>
      <c r="E53" s="115">
        <v>50.65</v>
      </c>
      <c r="F53" s="111">
        <v>0</v>
      </c>
      <c r="G53" s="39">
        <v>0</v>
      </c>
      <c r="H53" s="40">
        <f t="shared" si="0"/>
        <v>0</v>
      </c>
      <c r="I53" s="41">
        <v>0</v>
      </c>
      <c r="J53" s="41">
        <v>1</v>
      </c>
      <c r="K53" s="41">
        <f t="shared" si="1"/>
        <v>0</v>
      </c>
      <c r="L53" s="85">
        <f t="shared" si="2"/>
        <v>0</v>
      </c>
      <c r="N53" s="86">
        <f t="shared" si="3"/>
        <v>0</v>
      </c>
      <c r="P53" s="84">
        <f t="shared" si="4"/>
        <v>0</v>
      </c>
      <c r="Q53" s="87">
        <f t="shared" si="5"/>
        <v>0</v>
      </c>
      <c r="S53" s="84">
        <v>0</v>
      </c>
      <c r="T53" s="87">
        <v>0</v>
      </c>
      <c r="V53" s="88"/>
      <c r="X53" s="84"/>
      <c r="Y53" s="87"/>
      <c r="Z53" s="4"/>
    </row>
    <row r="54" spans="2:26" x14ac:dyDescent="0.25">
      <c r="B54" s="116" t="s">
        <v>83</v>
      </c>
      <c r="C54" s="117" t="s">
        <v>171</v>
      </c>
      <c r="D54" s="94"/>
      <c r="E54" s="115">
        <f>149.55-11.9</f>
        <v>137.65</v>
      </c>
      <c r="F54" s="111">
        <v>0.75</v>
      </c>
      <c r="G54" s="39">
        <v>1</v>
      </c>
      <c r="H54" s="40">
        <f t="shared" si="0"/>
        <v>103.24</v>
      </c>
      <c r="I54" s="41">
        <v>0</v>
      </c>
      <c r="J54" s="41">
        <v>1</v>
      </c>
      <c r="K54" s="41">
        <f t="shared" si="1"/>
        <v>0</v>
      </c>
      <c r="L54" s="85">
        <f t="shared" si="2"/>
        <v>103.24</v>
      </c>
      <c r="N54" s="86">
        <f t="shared" si="3"/>
        <v>1.2411000000000001</v>
      </c>
      <c r="P54" s="84">
        <f t="shared" si="4"/>
        <v>529539.05068773543</v>
      </c>
      <c r="Q54" s="87">
        <f t="shared" si="5"/>
        <v>3846.9963725952443</v>
      </c>
      <c r="S54" s="84">
        <v>505381.54841106548</v>
      </c>
      <c r="T54" s="87">
        <v>3671.4969009158408</v>
      </c>
      <c r="V54" s="88">
        <f t="shared" si="6"/>
        <v>4.7800522897248232E-2</v>
      </c>
      <c r="X54" s="84">
        <v>21306.69</v>
      </c>
      <c r="Y54" s="87">
        <f t="shared" si="8"/>
        <v>508232.36068773543</v>
      </c>
      <c r="Z54" s="4"/>
    </row>
    <row r="55" spans="2:26" x14ac:dyDescent="0.25">
      <c r="B55" s="116" t="s">
        <v>83</v>
      </c>
      <c r="C55" s="117" t="s">
        <v>193</v>
      </c>
      <c r="D55" s="94"/>
      <c r="E55" s="115">
        <v>11.9</v>
      </c>
      <c r="F55" s="111">
        <v>0</v>
      </c>
      <c r="G55" s="39">
        <v>0</v>
      </c>
      <c r="H55" s="40">
        <f t="shared" si="0"/>
        <v>0</v>
      </c>
      <c r="I55" s="41">
        <v>0</v>
      </c>
      <c r="J55" s="41">
        <v>1</v>
      </c>
      <c r="K55" s="41">
        <f t="shared" si="1"/>
        <v>0</v>
      </c>
      <c r="L55" s="85">
        <f t="shared" si="2"/>
        <v>0</v>
      </c>
      <c r="N55" s="86">
        <f t="shared" si="3"/>
        <v>0</v>
      </c>
      <c r="P55" s="84">
        <f t="shared" si="4"/>
        <v>0</v>
      </c>
      <c r="Q55" s="87">
        <f t="shared" si="5"/>
        <v>0</v>
      </c>
      <c r="S55" s="84">
        <v>0</v>
      </c>
      <c r="T55" s="87">
        <v>0</v>
      </c>
      <c r="V55" s="88"/>
      <c r="X55" s="84"/>
      <c r="Y55" s="87"/>
      <c r="Z55" s="4"/>
    </row>
    <row r="56" spans="2:26" x14ac:dyDescent="0.25">
      <c r="B56" s="78" t="s">
        <v>218</v>
      </c>
      <c r="C56" s="79" t="s">
        <v>219</v>
      </c>
      <c r="D56" s="80"/>
      <c r="E56" s="81">
        <v>612.85</v>
      </c>
      <c r="F56" s="82">
        <v>0.3</v>
      </c>
      <c r="G56" s="166">
        <v>1</v>
      </c>
      <c r="H56" s="167">
        <f t="shared" si="0"/>
        <v>183.86</v>
      </c>
      <c r="I56" s="82">
        <v>0</v>
      </c>
      <c r="J56" s="82">
        <v>1</v>
      </c>
      <c r="K56" s="82">
        <f t="shared" si="1"/>
        <v>0</v>
      </c>
      <c r="L56" s="168">
        <f t="shared" si="2"/>
        <v>183.86</v>
      </c>
      <c r="N56" s="86">
        <f t="shared" si="3"/>
        <v>2.2101999999999999</v>
      </c>
      <c r="P56" s="169">
        <f t="shared" si="4"/>
        <v>943024.09945212537</v>
      </c>
      <c r="Q56" s="170">
        <f t="shared" si="5"/>
        <v>1538.7518959812764</v>
      </c>
      <c r="R56" s="80"/>
      <c r="S56" s="169">
        <v>900003.46329718549</v>
      </c>
      <c r="T56" s="170">
        <v>1468.5542356158692</v>
      </c>
      <c r="U56" s="80"/>
      <c r="V56" s="171">
        <f t="shared" si="6"/>
        <v>4.7800522897248232E-2</v>
      </c>
      <c r="W56" s="80"/>
      <c r="X56" s="169"/>
      <c r="Y56" s="170">
        <f t="shared" si="8"/>
        <v>943024.09945212537</v>
      </c>
      <c r="Z56" s="4"/>
    </row>
    <row r="57" spans="2:26" x14ac:dyDescent="0.25">
      <c r="B57" s="101" t="s">
        <v>84</v>
      </c>
      <c r="C57" s="97" t="s">
        <v>222</v>
      </c>
      <c r="D57" s="98"/>
      <c r="E57" s="103">
        <v>30.05</v>
      </c>
      <c r="F57" s="100">
        <v>1</v>
      </c>
      <c r="G57" s="39">
        <v>1</v>
      </c>
      <c r="H57" s="40">
        <f t="shared" si="0"/>
        <v>30.05</v>
      </c>
      <c r="I57" s="41">
        <v>0</v>
      </c>
      <c r="J57" s="41">
        <v>1</v>
      </c>
      <c r="K57" s="41">
        <f>ROUND(I57*J57,2)</f>
        <v>0</v>
      </c>
      <c r="L57" s="85">
        <f>H57+K57</f>
        <v>30.05</v>
      </c>
      <c r="N57" s="86">
        <f t="shared" si="3"/>
        <v>0.36120000000000002</v>
      </c>
      <c r="P57" s="84">
        <f t="shared" si="4"/>
        <v>154112.88784820729</v>
      </c>
      <c r="Q57" s="87">
        <f t="shared" si="5"/>
        <v>5128.548680472788</v>
      </c>
      <c r="S57" s="84">
        <v>147082.27804856727</v>
      </c>
      <c r="T57" s="87">
        <v>4894.5849600188776</v>
      </c>
      <c r="V57" s="88">
        <f t="shared" si="6"/>
        <v>4.7800522897248676E-2</v>
      </c>
      <c r="X57" s="84">
        <v>5709.1</v>
      </c>
      <c r="Y57" s="87">
        <f t="shared" si="8"/>
        <v>148403.78784820728</v>
      </c>
      <c r="Z57" s="4"/>
    </row>
    <row r="58" spans="2:26" x14ac:dyDescent="0.25">
      <c r="B58" s="116"/>
      <c r="C58" s="117" t="s">
        <v>85</v>
      </c>
      <c r="D58" s="94"/>
      <c r="E58" s="115">
        <v>1934.81</v>
      </c>
      <c r="F58" s="111">
        <v>0.08</v>
      </c>
      <c r="G58" s="39">
        <v>1</v>
      </c>
      <c r="H58" s="40">
        <f t="shared" si="0"/>
        <v>154.78</v>
      </c>
      <c r="I58" s="41">
        <v>0</v>
      </c>
      <c r="J58" s="41">
        <v>1</v>
      </c>
      <c r="K58" s="41">
        <f>ROUND(I58*J58,2)</f>
        <v>0</v>
      </c>
      <c r="L58" s="85">
        <f>H58+K58</f>
        <v>154.78</v>
      </c>
      <c r="N58" s="86">
        <f t="shared" si="3"/>
        <v>1.8606</v>
      </c>
      <c r="P58" s="84">
        <f t="shared" si="4"/>
        <v>793860.57345064904</v>
      </c>
      <c r="Q58" s="87">
        <f t="shared" si="5"/>
        <v>410.30415051123833</v>
      </c>
      <c r="S58" s="84">
        <v>757644.75785482908</v>
      </c>
      <c r="T58" s="87">
        <v>391.58612879550401</v>
      </c>
      <c r="V58" s="88">
        <f t="shared" si="6"/>
        <v>4.7800522897248454E-2</v>
      </c>
      <c r="X58" s="84">
        <v>24417.02</v>
      </c>
      <c r="Y58" s="87">
        <f t="shared" si="8"/>
        <v>769443.55345064902</v>
      </c>
      <c r="Z58" s="4"/>
    </row>
    <row r="59" spans="2:26" x14ac:dyDescent="0.25">
      <c r="B59" s="116" t="s">
        <v>86</v>
      </c>
      <c r="C59" s="117" t="s">
        <v>244</v>
      </c>
      <c r="D59" s="94"/>
      <c r="E59" s="115">
        <v>565</v>
      </c>
      <c r="F59" s="191">
        <v>0.5</v>
      </c>
      <c r="G59" s="39">
        <v>1</v>
      </c>
      <c r="H59" s="40">
        <f t="shared" si="0"/>
        <v>282.5</v>
      </c>
      <c r="I59" s="41">
        <v>0</v>
      </c>
      <c r="J59" s="41">
        <v>1</v>
      </c>
      <c r="K59" s="41">
        <f t="shared" si="1"/>
        <v>0</v>
      </c>
      <c r="L59" s="85">
        <f t="shared" si="2"/>
        <v>282.5</v>
      </c>
      <c r="N59" s="86">
        <f t="shared" si="3"/>
        <v>3.3959999999999999</v>
      </c>
      <c r="P59" s="84">
        <f t="shared" si="4"/>
        <v>1448968.3475429455</v>
      </c>
      <c r="Q59" s="87">
        <f t="shared" si="5"/>
        <v>2564.5457478636204</v>
      </c>
      <c r="S59" s="84">
        <v>1382866.6009217454</v>
      </c>
      <c r="T59" s="87">
        <v>2447.5515060561866</v>
      </c>
      <c r="V59" s="88">
        <f t="shared" si="6"/>
        <v>4.7800522897248454E-2</v>
      </c>
      <c r="X59" s="84"/>
      <c r="Y59" s="87">
        <f t="shared" si="8"/>
        <v>1448968.3475429455</v>
      </c>
      <c r="Z59" s="4"/>
    </row>
    <row r="60" spans="2:26" x14ac:dyDescent="0.25">
      <c r="B60" s="101" t="s">
        <v>186</v>
      </c>
      <c r="C60" s="97" t="s">
        <v>199</v>
      </c>
      <c r="D60" s="98"/>
      <c r="E60" s="103">
        <v>31</v>
      </c>
      <c r="F60" s="100">
        <v>1</v>
      </c>
      <c r="G60" s="39">
        <v>1</v>
      </c>
      <c r="H60" s="40">
        <f t="shared" si="0"/>
        <v>31</v>
      </c>
      <c r="I60" s="41">
        <v>0</v>
      </c>
      <c r="J60" s="41">
        <v>1</v>
      </c>
      <c r="K60" s="41">
        <f t="shared" si="1"/>
        <v>0</v>
      </c>
      <c r="L60" s="85">
        <f t="shared" si="2"/>
        <v>31</v>
      </c>
      <c r="N60" s="86">
        <f t="shared" si="3"/>
        <v>0.37269999999999998</v>
      </c>
      <c r="P60" s="84">
        <f t="shared" si="4"/>
        <v>159019.58278246634</v>
      </c>
      <c r="Q60" s="87">
        <f t="shared" si="5"/>
        <v>5129.6639607247207</v>
      </c>
      <c r="S60" s="84">
        <v>151765.13020127636</v>
      </c>
      <c r="T60" s="87">
        <v>4895.6493613314951</v>
      </c>
      <c r="V60" s="88">
        <f t="shared" si="6"/>
        <v>4.7800522897248232E-2</v>
      </c>
      <c r="X60" s="84"/>
      <c r="Y60" s="87">
        <f t="shared" si="8"/>
        <v>159019.58278246634</v>
      </c>
      <c r="Z60" s="4"/>
    </row>
    <row r="61" spans="2:26" x14ac:dyDescent="0.25">
      <c r="B61" s="101" t="s">
        <v>187</v>
      </c>
      <c r="C61" s="97" t="s">
        <v>188</v>
      </c>
      <c r="D61" s="98"/>
      <c r="E61" s="103">
        <v>45.3</v>
      </c>
      <c r="F61" s="100">
        <v>1</v>
      </c>
      <c r="G61" s="39">
        <v>1</v>
      </c>
      <c r="H61" s="40">
        <f>ROUND(E61*G61*F61,2)</f>
        <v>45.3</v>
      </c>
      <c r="I61" s="41">
        <v>0</v>
      </c>
      <c r="J61" s="41">
        <v>1</v>
      </c>
      <c r="K61" s="41">
        <f>ROUND(I61*J61,2)</f>
        <v>0</v>
      </c>
      <c r="L61" s="85">
        <f>H61+K61</f>
        <v>45.3</v>
      </c>
      <c r="N61" s="86">
        <f t="shared" si="3"/>
        <v>0.54459999999999997</v>
      </c>
      <c r="P61" s="84">
        <f>($P$12*N61)/100</f>
        <v>232364.00532152181</v>
      </c>
      <c r="Q61" s="87">
        <f>P61/E61</f>
        <v>5129.4482410931969</v>
      </c>
      <c r="S61" s="84">
        <v>221763.5897709018</v>
      </c>
      <c r="T61" s="87">
        <v>4895.4434828013646</v>
      </c>
      <c r="V61" s="88">
        <f t="shared" si="6"/>
        <v>4.7800522897248454E-2</v>
      </c>
      <c r="X61" s="84"/>
      <c r="Y61" s="87">
        <f t="shared" si="8"/>
        <v>232364.00532152181</v>
      </c>
      <c r="Z61" s="4"/>
    </row>
    <row r="62" spans="2:26" x14ac:dyDescent="0.25">
      <c r="B62" s="101" t="s">
        <v>88</v>
      </c>
      <c r="C62" s="97" t="s">
        <v>89</v>
      </c>
      <c r="D62" s="98"/>
      <c r="E62" s="103">
        <v>39.799999999999997</v>
      </c>
      <c r="F62" s="100">
        <v>1</v>
      </c>
      <c r="G62" s="39">
        <v>1</v>
      </c>
      <c r="H62" s="40">
        <f t="shared" si="0"/>
        <v>39.799999999999997</v>
      </c>
      <c r="I62" s="41">
        <v>0</v>
      </c>
      <c r="J62" s="41">
        <v>1</v>
      </c>
      <c r="K62" s="41">
        <f t="shared" si="1"/>
        <v>0</v>
      </c>
      <c r="L62" s="85">
        <f t="shared" si="2"/>
        <v>39.799999999999997</v>
      </c>
      <c r="N62" s="86">
        <f t="shared" si="3"/>
        <v>0.47839999999999999</v>
      </c>
      <c r="P62" s="84">
        <f t="shared" si="4"/>
        <v>204118.50926517817</v>
      </c>
      <c r="Q62" s="87">
        <f t="shared" si="5"/>
        <v>5128.6057604316129</v>
      </c>
      <c r="S62" s="84">
        <v>194806.64955269816</v>
      </c>
      <c r="T62" s="87">
        <v>4894.639435997442</v>
      </c>
      <c r="V62" s="88">
        <f t="shared" si="6"/>
        <v>4.7800522897248454E-2</v>
      </c>
      <c r="X62" s="84">
        <v>7560.4</v>
      </c>
      <c r="Y62" s="87">
        <f t="shared" si="8"/>
        <v>196558.10926517818</v>
      </c>
      <c r="Z62" s="4"/>
    </row>
    <row r="63" spans="2:26" x14ac:dyDescent="0.25">
      <c r="B63" s="101" t="s">
        <v>161</v>
      </c>
      <c r="C63" s="97" t="s">
        <v>194</v>
      </c>
      <c r="D63" s="98"/>
      <c r="E63" s="103">
        <v>43.5</v>
      </c>
      <c r="F63" s="100">
        <v>1</v>
      </c>
      <c r="G63" s="39">
        <v>1</v>
      </c>
      <c r="H63" s="40">
        <f t="shared" si="0"/>
        <v>43.5</v>
      </c>
      <c r="I63" s="41">
        <v>0</v>
      </c>
      <c r="J63" s="41">
        <v>1</v>
      </c>
      <c r="K63" s="41">
        <f t="shared" si="1"/>
        <v>0</v>
      </c>
      <c r="L63" s="85">
        <f t="shared" si="2"/>
        <v>43.5</v>
      </c>
      <c r="N63" s="86">
        <f t="shared" si="3"/>
        <v>0.52290000000000003</v>
      </c>
      <c r="P63" s="84">
        <f t="shared" si="4"/>
        <v>223105.28531513727</v>
      </c>
      <c r="Q63" s="87">
        <f t="shared" si="5"/>
        <v>5128.8571336813166</v>
      </c>
      <c r="R63" s="2"/>
      <c r="S63" s="84">
        <v>212927.25136100728</v>
      </c>
      <c r="T63" s="87">
        <v>4894.8793416323515</v>
      </c>
      <c r="U63" s="2"/>
      <c r="V63" s="88">
        <f t="shared" si="6"/>
        <v>4.7800522897248454E-2</v>
      </c>
      <c r="W63" s="2"/>
      <c r="X63" s="84">
        <v>7551.71</v>
      </c>
      <c r="Y63" s="87">
        <f t="shared" si="8"/>
        <v>215553.57531513728</v>
      </c>
      <c r="Z63" s="4"/>
    </row>
    <row r="64" spans="2:26" x14ac:dyDescent="0.25">
      <c r="B64" s="101" t="s">
        <v>162</v>
      </c>
      <c r="C64" s="97" t="s">
        <v>216</v>
      </c>
      <c r="D64" s="98"/>
      <c r="E64" s="100">
        <f>(39.75+33.85+33.8+43.4)*0.85+(23.65/2)</f>
        <v>140.00499999999997</v>
      </c>
      <c r="F64" s="100">
        <v>1</v>
      </c>
      <c r="G64" s="39">
        <v>1</v>
      </c>
      <c r="H64" s="40">
        <f t="shared" si="0"/>
        <v>140.01</v>
      </c>
      <c r="I64" s="41">
        <v>0</v>
      </c>
      <c r="J64" s="41">
        <v>1</v>
      </c>
      <c r="K64" s="41">
        <f t="shared" si="1"/>
        <v>0</v>
      </c>
      <c r="L64" s="85">
        <f t="shared" si="2"/>
        <v>140.01</v>
      </c>
      <c r="N64" s="86">
        <f t="shared" si="3"/>
        <v>1.6831</v>
      </c>
      <c r="P64" s="84">
        <f t="shared" si="4"/>
        <v>718126.80381317181</v>
      </c>
      <c r="Q64" s="87">
        <f t="shared" si="5"/>
        <v>5129.2939810233347</v>
      </c>
      <c r="R64" s="93"/>
      <c r="S64" s="84">
        <v>685365.95288910181</v>
      </c>
      <c r="T64" s="87">
        <v>4895.2962600557266</v>
      </c>
      <c r="U64" s="93"/>
      <c r="V64" s="88">
        <f t="shared" si="6"/>
        <v>4.7800522897248454E-2</v>
      </c>
      <c r="W64" s="93"/>
      <c r="X64" s="84">
        <v>27406.92</v>
      </c>
      <c r="Y64" s="87">
        <f t="shared" si="8"/>
        <v>690719.88381317176</v>
      </c>
      <c r="Z64" s="4"/>
    </row>
    <row r="65" spans="2:26" x14ac:dyDescent="0.25">
      <c r="B65" s="116" t="s">
        <v>90</v>
      </c>
      <c r="C65" s="117" t="s">
        <v>127</v>
      </c>
      <c r="D65" s="94"/>
      <c r="E65" s="115">
        <f>150.45+23.65-23.65</f>
        <v>150.44999999999999</v>
      </c>
      <c r="F65" s="111">
        <v>0.8</v>
      </c>
      <c r="G65" s="39">
        <v>1</v>
      </c>
      <c r="H65" s="40">
        <f t="shared" si="0"/>
        <v>120.36</v>
      </c>
      <c r="I65" s="41">
        <v>0</v>
      </c>
      <c r="J65" s="41">
        <v>1</v>
      </c>
      <c r="K65" s="41">
        <f t="shared" si="1"/>
        <v>0</v>
      </c>
      <c r="L65" s="85">
        <f t="shared" si="2"/>
        <v>120.36</v>
      </c>
      <c r="N65" s="86">
        <f t="shared" si="3"/>
        <v>1.4469000000000001</v>
      </c>
      <c r="P65" s="84">
        <f t="shared" si="4"/>
        <v>617347.55655473727</v>
      </c>
      <c r="Q65" s="87">
        <f t="shared" si="5"/>
        <v>4103.3403559636909</v>
      </c>
      <c r="S65" s="84">
        <v>589184.24171780725</v>
      </c>
      <c r="T65" s="87">
        <v>3916.146505269573</v>
      </c>
      <c r="V65" s="88">
        <f t="shared" si="6"/>
        <v>4.7800522897248454E-2</v>
      </c>
      <c r="X65" s="84">
        <v>29766.05</v>
      </c>
      <c r="Y65" s="87">
        <f t="shared" si="8"/>
        <v>587581.50655473722</v>
      </c>
      <c r="Z65" s="4"/>
    </row>
    <row r="66" spans="2:26" x14ac:dyDescent="0.25">
      <c r="B66" s="101" t="s">
        <v>91</v>
      </c>
      <c r="C66" s="97" t="s">
        <v>181</v>
      </c>
      <c r="D66" s="98"/>
      <c r="E66" s="103">
        <v>0</v>
      </c>
      <c r="F66" s="100">
        <v>1</v>
      </c>
      <c r="G66" s="39">
        <v>1</v>
      </c>
      <c r="H66" s="40">
        <f t="shared" si="0"/>
        <v>0</v>
      </c>
      <c r="I66" s="41">
        <v>0</v>
      </c>
      <c r="J66" s="41">
        <v>1</v>
      </c>
      <c r="K66" s="41">
        <f t="shared" si="1"/>
        <v>0</v>
      </c>
      <c r="L66" s="85">
        <f t="shared" si="2"/>
        <v>0</v>
      </c>
      <c r="N66" s="86">
        <f t="shared" si="3"/>
        <v>0</v>
      </c>
      <c r="P66" s="84">
        <f t="shared" si="4"/>
        <v>0</v>
      </c>
      <c r="Q66" s="87" t="e">
        <f t="shared" si="5"/>
        <v>#DIV/0!</v>
      </c>
      <c r="S66" s="84">
        <v>0</v>
      </c>
      <c r="T66" s="87" t="e">
        <v>#DIV/0!</v>
      </c>
      <c r="V66" s="88" t="e">
        <f t="shared" si="6"/>
        <v>#DIV/0!</v>
      </c>
      <c r="X66" s="84">
        <v>26253.42</v>
      </c>
      <c r="Y66" s="87">
        <f t="shared" si="8"/>
        <v>-26253.42</v>
      </c>
      <c r="Z66" s="4"/>
    </row>
    <row r="67" spans="2:26" x14ac:dyDescent="0.25">
      <c r="B67" s="101" t="s">
        <v>92</v>
      </c>
      <c r="C67" s="97" t="s">
        <v>181</v>
      </c>
      <c r="D67" s="98"/>
      <c r="E67" s="103">
        <v>0</v>
      </c>
      <c r="F67" s="100">
        <v>1</v>
      </c>
      <c r="G67" s="39">
        <v>1</v>
      </c>
      <c r="H67" s="40">
        <f t="shared" si="0"/>
        <v>0</v>
      </c>
      <c r="I67" s="41">
        <v>0</v>
      </c>
      <c r="J67" s="41">
        <v>1</v>
      </c>
      <c r="K67" s="41">
        <f t="shared" si="1"/>
        <v>0</v>
      </c>
      <c r="L67" s="85">
        <f t="shared" si="2"/>
        <v>0</v>
      </c>
      <c r="N67" s="86">
        <f t="shared" si="3"/>
        <v>0</v>
      </c>
      <c r="P67" s="84">
        <f t="shared" si="4"/>
        <v>0</v>
      </c>
      <c r="Q67" s="87" t="e">
        <f t="shared" si="5"/>
        <v>#DIV/0!</v>
      </c>
      <c r="S67" s="84">
        <v>0</v>
      </c>
      <c r="T67" s="87" t="e">
        <v>#DIV/0!</v>
      </c>
      <c r="V67" s="88" t="e">
        <f t="shared" si="6"/>
        <v>#DIV/0!</v>
      </c>
      <c r="X67" s="84">
        <v>7750.37</v>
      </c>
      <c r="Y67" s="87">
        <f t="shared" si="8"/>
        <v>-7750.37</v>
      </c>
      <c r="Z67" s="4"/>
    </row>
    <row r="68" spans="2:26" x14ac:dyDescent="0.25">
      <c r="B68" s="116" t="s">
        <v>93</v>
      </c>
      <c r="C68" s="109" t="s">
        <v>95</v>
      </c>
      <c r="D68" s="94"/>
      <c r="E68" s="115">
        <v>39.200000000000003</v>
      </c>
      <c r="F68" s="111">
        <v>0.8</v>
      </c>
      <c r="G68" s="39">
        <v>1</v>
      </c>
      <c r="H68" s="40">
        <f t="shared" si="0"/>
        <v>31.36</v>
      </c>
      <c r="I68" s="41">
        <v>0</v>
      </c>
      <c r="J68" s="41">
        <v>1</v>
      </c>
      <c r="K68" s="41">
        <f t="shared" si="1"/>
        <v>0</v>
      </c>
      <c r="L68" s="85">
        <f t="shared" si="2"/>
        <v>31.36</v>
      </c>
      <c r="N68" s="86">
        <f t="shared" si="3"/>
        <v>0.377</v>
      </c>
      <c r="P68" s="84">
        <f t="shared" si="4"/>
        <v>160854.26001875452</v>
      </c>
      <c r="Q68" s="87">
        <f t="shared" si="5"/>
        <v>4103.4250004784317</v>
      </c>
      <c r="S68" s="84">
        <v>153516.10970185453</v>
      </c>
      <c r="T68" s="87">
        <v>3916.2272883126152</v>
      </c>
      <c r="V68" s="88">
        <f t="shared" si="6"/>
        <v>4.7800522897248454E-2</v>
      </c>
      <c r="X68" s="84">
        <v>7447.41</v>
      </c>
      <c r="Y68" s="87">
        <f t="shared" si="8"/>
        <v>153406.85001875451</v>
      </c>
      <c r="Z68" s="4"/>
    </row>
    <row r="69" spans="2:26" x14ac:dyDescent="0.25">
      <c r="B69" s="108" t="s">
        <v>94</v>
      </c>
      <c r="C69" s="109" t="s">
        <v>95</v>
      </c>
      <c r="D69" s="94"/>
      <c r="E69" s="115">
        <v>179.3</v>
      </c>
      <c r="F69" s="111">
        <v>0.8</v>
      </c>
      <c r="G69" s="39">
        <v>1</v>
      </c>
      <c r="H69" s="40">
        <f t="shared" si="0"/>
        <v>143.44</v>
      </c>
      <c r="I69" s="41">
        <v>0</v>
      </c>
      <c r="J69" s="41">
        <v>1</v>
      </c>
      <c r="K69" s="41">
        <f t="shared" si="1"/>
        <v>0</v>
      </c>
      <c r="L69" s="85">
        <f t="shared" si="2"/>
        <v>143.44</v>
      </c>
      <c r="N69" s="86">
        <f t="shared" si="3"/>
        <v>1.7242999999999999</v>
      </c>
      <c r="P69" s="84">
        <f t="shared" si="4"/>
        <v>735705.5717515609</v>
      </c>
      <c r="Q69" s="87">
        <f t="shared" si="5"/>
        <v>4103.2101045820464</v>
      </c>
      <c r="S69" s="84">
        <v>702142.77973185095</v>
      </c>
      <c r="T69" s="87">
        <v>3916.0221959389341</v>
      </c>
      <c r="V69" s="88">
        <f t="shared" si="6"/>
        <v>4.7800522897248454E-2</v>
      </c>
      <c r="X69" s="84">
        <v>26481.89</v>
      </c>
      <c r="Y69" s="87">
        <f t="shared" si="8"/>
        <v>709223.68175156089</v>
      </c>
      <c r="Z69" s="4"/>
    </row>
    <row r="70" spans="2:26" x14ac:dyDescent="0.25">
      <c r="B70" s="105" t="s">
        <v>96</v>
      </c>
      <c r="C70" s="106" t="s">
        <v>97</v>
      </c>
      <c r="D70" s="98"/>
      <c r="E70" s="103">
        <v>58</v>
      </c>
      <c r="F70" s="100">
        <v>1</v>
      </c>
      <c r="G70" s="39">
        <v>1</v>
      </c>
      <c r="H70" s="40">
        <f t="shared" si="0"/>
        <v>58</v>
      </c>
      <c r="I70" s="41">
        <v>0</v>
      </c>
      <c r="J70" s="41">
        <v>1</v>
      </c>
      <c r="K70" s="41">
        <f>ROUND(I70*J70,2)</f>
        <v>0</v>
      </c>
      <c r="L70" s="85">
        <f>H70+K70</f>
        <v>58</v>
      </c>
      <c r="N70" s="86">
        <f t="shared" si="3"/>
        <v>0.69720000000000004</v>
      </c>
      <c r="P70" s="84">
        <f t="shared" si="4"/>
        <v>297473.71375351638</v>
      </c>
      <c r="Q70" s="87">
        <f t="shared" si="5"/>
        <v>5128.8571336813166</v>
      </c>
      <c r="S70" s="84">
        <v>283903.00181467639</v>
      </c>
      <c r="T70" s="87">
        <v>4894.8793416323515</v>
      </c>
      <c r="V70" s="88">
        <f t="shared" si="6"/>
        <v>4.7800522897248454E-2</v>
      </c>
      <c r="X70" s="84">
        <v>11018.39</v>
      </c>
      <c r="Y70" s="87">
        <f t="shared" si="8"/>
        <v>286455.32375351636</v>
      </c>
      <c r="Z70" s="4"/>
    </row>
    <row r="71" spans="2:26" x14ac:dyDescent="0.25">
      <c r="B71" s="105" t="s">
        <v>100</v>
      </c>
      <c r="C71" s="106" t="s">
        <v>128</v>
      </c>
      <c r="D71" s="98"/>
      <c r="E71" s="103">
        <v>33.200000000000003</v>
      </c>
      <c r="F71" s="100">
        <v>1</v>
      </c>
      <c r="G71" s="39">
        <v>1</v>
      </c>
      <c r="H71" s="40">
        <f t="shared" si="0"/>
        <v>33.200000000000003</v>
      </c>
      <c r="I71" s="41">
        <v>0</v>
      </c>
      <c r="J71" s="41">
        <v>1</v>
      </c>
      <c r="K71" s="41">
        <f t="shared" si="1"/>
        <v>0</v>
      </c>
      <c r="L71" s="85">
        <f t="shared" si="2"/>
        <v>33.200000000000003</v>
      </c>
      <c r="N71" s="86">
        <f t="shared" si="3"/>
        <v>0.39910000000000001</v>
      </c>
      <c r="P71" s="84">
        <f t="shared" si="4"/>
        <v>170283.64767502635</v>
      </c>
      <c r="Q71" s="87">
        <f t="shared" si="5"/>
        <v>5129.0255323803112</v>
      </c>
      <c r="S71" s="84">
        <v>162515.32992575635</v>
      </c>
      <c r="T71" s="87">
        <v>4895.040058004709</v>
      </c>
      <c r="V71" s="88">
        <f t="shared" si="6"/>
        <v>4.7800522897248454E-2</v>
      </c>
      <c r="X71" s="84">
        <v>8513.99</v>
      </c>
      <c r="Y71" s="87">
        <f t="shared" si="8"/>
        <v>161769.65767502636</v>
      </c>
      <c r="Z71" s="4"/>
    </row>
    <row r="72" spans="2:26" x14ac:dyDescent="0.25">
      <c r="B72" s="105" t="s">
        <v>99</v>
      </c>
      <c r="C72" s="106" t="s">
        <v>164</v>
      </c>
      <c r="D72" s="98"/>
      <c r="E72" s="103">
        <v>43</v>
      </c>
      <c r="F72" s="100">
        <v>1</v>
      </c>
      <c r="G72" s="39">
        <v>1</v>
      </c>
      <c r="H72" s="40">
        <f t="shared" si="0"/>
        <v>43</v>
      </c>
      <c r="I72" s="41">
        <v>0</v>
      </c>
      <c r="J72" s="41">
        <v>1</v>
      </c>
      <c r="K72" s="41">
        <f>ROUND(I72*J72,2)</f>
        <v>0</v>
      </c>
      <c r="L72" s="85">
        <f>H72+K72</f>
        <v>43</v>
      </c>
      <c r="N72" s="86">
        <f t="shared" si="3"/>
        <v>0.51690000000000003</v>
      </c>
      <c r="P72" s="84">
        <f t="shared" si="4"/>
        <v>220545.27056682817</v>
      </c>
      <c r="Q72" s="87">
        <f t="shared" si="5"/>
        <v>5128.9597806239108</v>
      </c>
      <c r="S72" s="84">
        <v>210484.02415089819</v>
      </c>
      <c r="T72" s="87">
        <v>4894.9773058348419</v>
      </c>
      <c r="V72" s="88">
        <f t="shared" si="6"/>
        <v>4.7800522897248454E-2</v>
      </c>
      <c r="X72" s="84">
        <v>8168.81</v>
      </c>
      <c r="Y72" s="87">
        <f t="shared" si="8"/>
        <v>212376.46056682817</v>
      </c>
      <c r="Z72" s="4"/>
    </row>
    <row r="73" spans="2:26" x14ac:dyDescent="0.25">
      <c r="B73" s="105" t="s">
        <v>98</v>
      </c>
      <c r="C73" s="106" t="s">
        <v>165</v>
      </c>
      <c r="D73" s="98"/>
      <c r="E73" s="103">
        <v>43</v>
      </c>
      <c r="F73" s="100">
        <v>1</v>
      </c>
      <c r="G73" s="39">
        <v>1</v>
      </c>
      <c r="H73" s="40">
        <f t="shared" si="0"/>
        <v>43</v>
      </c>
      <c r="I73" s="41">
        <v>0</v>
      </c>
      <c r="J73" s="41">
        <v>1</v>
      </c>
      <c r="K73" s="41">
        <f>ROUND(I73*J73,2)</f>
        <v>0</v>
      </c>
      <c r="L73" s="85">
        <f>H73+K73</f>
        <v>43</v>
      </c>
      <c r="N73" s="86">
        <f t="shared" si="3"/>
        <v>0.51690000000000003</v>
      </c>
      <c r="P73" s="84">
        <f t="shared" si="4"/>
        <v>220545.27056682817</v>
      </c>
      <c r="Q73" s="87">
        <f t="shared" si="5"/>
        <v>5128.9597806239108</v>
      </c>
      <c r="S73" s="84">
        <v>210484.02415089819</v>
      </c>
      <c r="T73" s="87">
        <v>4894.9773058348419</v>
      </c>
      <c r="V73" s="88">
        <f t="shared" si="6"/>
        <v>4.7800522897248454E-2</v>
      </c>
      <c r="X73" s="84">
        <v>8168.81</v>
      </c>
      <c r="Y73" s="87">
        <f t="shared" si="8"/>
        <v>212376.46056682817</v>
      </c>
      <c r="Z73" s="4"/>
    </row>
    <row r="74" spans="2:26" x14ac:dyDescent="0.25">
      <c r="B74" s="108" t="s">
        <v>170</v>
      </c>
      <c r="C74" s="109" t="s">
        <v>180</v>
      </c>
      <c r="D74" s="94"/>
      <c r="E74" s="115">
        <v>101.8</v>
      </c>
      <c r="F74" s="111">
        <v>0.7</v>
      </c>
      <c r="G74" s="39">
        <v>1</v>
      </c>
      <c r="H74" s="40">
        <f t="shared" si="0"/>
        <v>71.260000000000005</v>
      </c>
      <c r="I74" s="41">
        <v>0</v>
      </c>
      <c r="J74" s="41">
        <v>1</v>
      </c>
      <c r="K74" s="41">
        <f t="shared" si="1"/>
        <v>0</v>
      </c>
      <c r="L74" s="85">
        <f t="shared" si="2"/>
        <v>71.260000000000005</v>
      </c>
      <c r="N74" s="86">
        <f t="shared" si="3"/>
        <v>0.85660000000000003</v>
      </c>
      <c r="P74" s="84">
        <f t="shared" si="4"/>
        <v>365484.7722335945</v>
      </c>
      <c r="Q74" s="87">
        <f t="shared" si="5"/>
        <v>3590.2236958113408</v>
      </c>
      <c r="S74" s="84">
        <v>348811.40469657449</v>
      </c>
      <c r="T74" s="87">
        <v>3426.4381600842289</v>
      </c>
      <c r="V74" s="88">
        <f t="shared" si="6"/>
        <v>4.7800522897248454E-2</v>
      </c>
      <c r="X74" s="84">
        <v>32553.55</v>
      </c>
      <c r="Y74" s="87">
        <f t="shared" si="8"/>
        <v>332931.22223359451</v>
      </c>
      <c r="Z74" s="4"/>
    </row>
    <row r="75" spans="2:26" x14ac:dyDescent="0.25">
      <c r="B75" s="108" t="s">
        <v>169</v>
      </c>
      <c r="C75" s="109" t="s">
        <v>108</v>
      </c>
      <c r="D75" s="94"/>
      <c r="E75" s="115">
        <v>88.6</v>
      </c>
      <c r="F75" s="111">
        <v>0.7</v>
      </c>
      <c r="G75" s="39">
        <v>1</v>
      </c>
      <c r="H75" s="40">
        <f t="shared" si="0"/>
        <v>62.02</v>
      </c>
      <c r="I75" s="41">
        <v>0</v>
      </c>
      <c r="J75" s="41">
        <v>1</v>
      </c>
      <c r="K75" s="41">
        <f t="shared" si="1"/>
        <v>0</v>
      </c>
      <c r="L75" s="85">
        <f t="shared" si="2"/>
        <v>62.02</v>
      </c>
      <c r="N75" s="86">
        <f t="shared" si="3"/>
        <v>0.74550000000000005</v>
      </c>
      <c r="P75" s="84">
        <f t="shared" si="4"/>
        <v>318081.83247740456</v>
      </c>
      <c r="Q75" s="87">
        <f t="shared" si="5"/>
        <v>3590.0884026795097</v>
      </c>
      <c r="S75" s="84">
        <v>303570.98085605452</v>
      </c>
      <c r="T75" s="87">
        <v>3426.3090390073876</v>
      </c>
      <c r="V75" s="88">
        <f t="shared" si="6"/>
        <v>4.7800522897248676E-2</v>
      </c>
      <c r="X75" s="84">
        <v>32553.55</v>
      </c>
      <c r="Y75" s="87">
        <f t="shared" si="8"/>
        <v>285528.28247740457</v>
      </c>
      <c r="Z75" s="4"/>
    </row>
    <row r="76" spans="2:26" x14ac:dyDescent="0.25">
      <c r="B76" s="105" t="s">
        <v>101</v>
      </c>
      <c r="C76" s="106" t="s">
        <v>223</v>
      </c>
      <c r="D76" s="98"/>
      <c r="E76" s="103">
        <f>93.1+30.25</f>
        <v>123.35</v>
      </c>
      <c r="F76" s="100">
        <v>1</v>
      </c>
      <c r="G76" s="39">
        <v>1</v>
      </c>
      <c r="H76" s="40">
        <f t="shared" si="0"/>
        <v>123.35</v>
      </c>
      <c r="I76" s="41">
        <v>0</v>
      </c>
      <c r="J76" s="41">
        <v>1</v>
      </c>
      <c r="K76" s="41">
        <f t="shared" si="1"/>
        <v>0</v>
      </c>
      <c r="L76" s="85">
        <f t="shared" si="2"/>
        <v>123.35</v>
      </c>
      <c r="N76" s="86">
        <f t="shared" si="3"/>
        <v>1.4827999999999999</v>
      </c>
      <c r="P76" s="84">
        <f t="shared" si="4"/>
        <v>632664.97813211987</v>
      </c>
      <c r="Q76" s="87">
        <f t="shared" si="5"/>
        <v>5129.0229277026338</v>
      </c>
      <c r="S76" s="84">
        <v>603802.88452495995</v>
      </c>
      <c r="T76" s="87">
        <v>4895.0375721520877</v>
      </c>
      <c r="V76" s="88">
        <f t="shared" si="6"/>
        <v>4.7800522897248232E-2</v>
      </c>
      <c r="X76" s="84">
        <v>0</v>
      </c>
      <c r="Y76" s="87">
        <f t="shared" si="8"/>
        <v>632664.97813211987</v>
      </c>
      <c r="Z76" s="4"/>
    </row>
    <row r="77" spans="2:26" x14ac:dyDescent="0.25">
      <c r="B77" s="105" t="s">
        <v>102</v>
      </c>
      <c r="C77" s="106" t="s">
        <v>223</v>
      </c>
      <c r="D77" s="98"/>
      <c r="E77" s="103">
        <v>95.65</v>
      </c>
      <c r="F77" s="100">
        <v>1</v>
      </c>
      <c r="G77" s="39">
        <v>1</v>
      </c>
      <c r="H77" s="40">
        <f t="shared" si="0"/>
        <v>95.65</v>
      </c>
      <c r="I77" s="41">
        <v>0</v>
      </c>
      <c r="J77" s="41">
        <v>1</v>
      </c>
      <c r="K77" s="41">
        <f t="shared" si="1"/>
        <v>0</v>
      </c>
      <c r="L77" s="85">
        <f t="shared" si="2"/>
        <v>95.65</v>
      </c>
      <c r="N77" s="86">
        <f t="shared" si="3"/>
        <v>1.1497999999999999</v>
      </c>
      <c r="P77" s="84">
        <f t="shared" si="4"/>
        <v>490584.15960096539</v>
      </c>
      <c r="Q77" s="87">
        <f t="shared" si="5"/>
        <v>5128.950962895613</v>
      </c>
      <c r="S77" s="84">
        <v>468203.77436390542</v>
      </c>
      <c r="T77" s="87">
        <v>4894.9688903701553</v>
      </c>
      <c r="V77" s="88">
        <f t="shared" si="6"/>
        <v>4.7800522897248454E-2</v>
      </c>
      <c r="X77" s="84"/>
      <c r="Y77" s="87">
        <f t="shared" si="8"/>
        <v>490584.15960096539</v>
      </c>
      <c r="Z77" s="4"/>
    </row>
    <row r="78" spans="2:26" x14ac:dyDescent="0.25">
      <c r="B78" s="105" t="s">
        <v>103</v>
      </c>
      <c r="C78" s="106" t="s">
        <v>104</v>
      </c>
      <c r="D78" s="98"/>
      <c r="E78" s="103">
        <v>60.65</v>
      </c>
      <c r="F78" s="100">
        <v>1</v>
      </c>
      <c r="G78" s="39">
        <v>1</v>
      </c>
      <c r="H78" s="40">
        <f t="shared" si="0"/>
        <v>60.65</v>
      </c>
      <c r="I78" s="41">
        <v>0</v>
      </c>
      <c r="J78" s="41">
        <v>1</v>
      </c>
      <c r="K78" s="41">
        <f t="shared" si="1"/>
        <v>0</v>
      </c>
      <c r="L78" s="85">
        <f t="shared" si="2"/>
        <v>60.65</v>
      </c>
      <c r="N78" s="86">
        <f t="shared" ref="N78:N89" si="9">ROUND((L78/$L$115)*100,4)</f>
        <v>0.72909999999999997</v>
      </c>
      <c r="P78" s="84">
        <f t="shared" si="4"/>
        <v>311084.45883202634</v>
      </c>
      <c r="Q78" s="87">
        <f t="shared" si="5"/>
        <v>5129.1749189122238</v>
      </c>
      <c r="S78" s="84">
        <v>296892.82648175635</v>
      </c>
      <c r="T78" s="87">
        <v>4895.1826295425617</v>
      </c>
      <c r="V78" s="88">
        <f t="shared" si="6"/>
        <v>4.7800522897248454E-2</v>
      </c>
      <c r="X78" s="84">
        <v>11521.26</v>
      </c>
      <c r="Y78" s="87">
        <f t="shared" si="8"/>
        <v>299563.19883202633</v>
      </c>
      <c r="Z78" s="4"/>
    </row>
    <row r="79" spans="2:26" x14ac:dyDescent="0.25">
      <c r="B79" s="105" t="s">
        <v>204</v>
      </c>
      <c r="C79" s="106" t="s">
        <v>205</v>
      </c>
      <c r="D79" s="98"/>
      <c r="E79" s="103">
        <v>97.55</v>
      </c>
      <c r="F79" s="100">
        <v>0.8</v>
      </c>
      <c r="G79" s="172">
        <v>1</v>
      </c>
      <c r="H79" s="173">
        <f t="shared" si="0"/>
        <v>78.040000000000006</v>
      </c>
      <c r="I79" s="174">
        <v>0</v>
      </c>
      <c r="J79" s="174">
        <v>1</v>
      </c>
      <c r="K79" s="174">
        <f t="shared" si="1"/>
        <v>0</v>
      </c>
      <c r="L79" s="175">
        <f t="shared" si="2"/>
        <v>78.040000000000006</v>
      </c>
      <c r="M79" s="80"/>
      <c r="N79" s="86">
        <f t="shared" si="9"/>
        <v>0.93810000000000004</v>
      </c>
      <c r="O79" s="80"/>
      <c r="P79" s="84">
        <f t="shared" si="4"/>
        <v>400258.30589812639</v>
      </c>
      <c r="Q79" s="87">
        <f t="shared" si="5"/>
        <v>4103.1092352447604</v>
      </c>
      <c r="S79" s="84">
        <v>381998.57430055633</v>
      </c>
      <c r="T79" s="87">
        <v>3915.9259282476305</v>
      </c>
      <c r="V79" s="88">
        <f t="shared" ref="V79:V86" si="10">(P79/S79)-1</f>
        <v>4.7800522897248676E-2</v>
      </c>
      <c r="X79" s="84">
        <v>18700.47</v>
      </c>
      <c r="Y79" s="87">
        <f t="shared" si="8"/>
        <v>381557.83589812636</v>
      </c>
      <c r="Z79" s="4"/>
    </row>
    <row r="80" spans="2:26" x14ac:dyDescent="0.25">
      <c r="B80" s="105" t="s">
        <v>207</v>
      </c>
      <c r="C80" s="106" t="s">
        <v>206</v>
      </c>
      <c r="D80" s="98"/>
      <c r="E80" s="103">
        <v>33.700000000000003</v>
      </c>
      <c r="F80" s="100">
        <v>0.8</v>
      </c>
      <c r="G80" s="172">
        <v>1</v>
      </c>
      <c r="H80" s="173">
        <f t="shared" si="0"/>
        <v>26.96</v>
      </c>
      <c r="I80" s="174">
        <v>0</v>
      </c>
      <c r="J80" s="174">
        <v>1</v>
      </c>
      <c r="K80" s="174">
        <f t="shared" si="1"/>
        <v>0</v>
      </c>
      <c r="L80" s="175">
        <f t="shared" si="2"/>
        <v>26.96</v>
      </c>
      <c r="M80" s="80"/>
      <c r="N80" s="86">
        <f t="shared" si="9"/>
        <v>0.3241</v>
      </c>
      <c r="O80" s="80"/>
      <c r="P80" s="84">
        <f t="shared" si="4"/>
        <v>138283.46332116274</v>
      </c>
      <c r="Q80" s="87">
        <f t="shared" si="5"/>
        <v>4103.366864129458</v>
      </c>
      <c r="S80" s="84">
        <v>131974.98979939273</v>
      </c>
      <c r="T80" s="87">
        <v>3916.1718041362824</v>
      </c>
      <c r="V80" s="88">
        <f t="shared" si="10"/>
        <v>4.7800522897248454E-2</v>
      </c>
      <c r="X80" s="84">
        <v>18700.47</v>
      </c>
      <c r="Y80" s="87">
        <f t="shared" si="8"/>
        <v>119582.99332116274</v>
      </c>
      <c r="Z80" s="4"/>
    </row>
    <row r="81" spans="2:26" x14ac:dyDescent="0.25">
      <c r="B81" s="105" t="s">
        <v>105</v>
      </c>
      <c r="C81" s="106" t="s">
        <v>227</v>
      </c>
      <c r="D81" s="98"/>
      <c r="E81" s="103">
        <v>96.05</v>
      </c>
      <c r="F81" s="100">
        <v>1</v>
      </c>
      <c r="G81" s="172">
        <v>1</v>
      </c>
      <c r="H81" s="173">
        <f t="shared" si="0"/>
        <v>96.05</v>
      </c>
      <c r="I81" s="174">
        <v>0</v>
      </c>
      <c r="J81" s="174">
        <v>1</v>
      </c>
      <c r="K81" s="174">
        <f t="shared" si="1"/>
        <v>0</v>
      </c>
      <c r="L81" s="175">
        <f t="shared" si="2"/>
        <v>96.05</v>
      </c>
      <c r="N81" s="86">
        <f t="shared" si="9"/>
        <v>1.1546000000000001</v>
      </c>
      <c r="P81" s="84">
        <f t="shared" si="4"/>
        <v>492632.17139961274</v>
      </c>
      <c r="Q81" s="87">
        <f t="shared" si="5"/>
        <v>5128.9138094702002</v>
      </c>
      <c r="S81" s="84">
        <v>470158.35613199271</v>
      </c>
      <c r="T81" s="87">
        <v>4894.9334318791534</v>
      </c>
      <c r="V81" s="88">
        <f t="shared" si="10"/>
        <v>4.7800522897248454E-2</v>
      </c>
      <c r="X81" s="84">
        <v>18246.03</v>
      </c>
      <c r="Y81" s="87">
        <f t="shared" si="8"/>
        <v>474386.14139961277</v>
      </c>
      <c r="Z81" s="4"/>
    </row>
    <row r="82" spans="2:26" x14ac:dyDescent="0.25">
      <c r="B82" s="105" t="s">
        <v>106</v>
      </c>
      <c r="C82" s="106" t="s">
        <v>184</v>
      </c>
      <c r="D82" s="98"/>
      <c r="E82" s="103">
        <v>66.8</v>
      </c>
      <c r="F82" s="100">
        <v>1</v>
      </c>
      <c r="G82" s="172">
        <v>1</v>
      </c>
      <c r="H82" s="173">
        <f t="shared" si="0"/>
        <v>66.8</v>
      </c>
      <c r="I82" s="174">
        <v>0</v>
      </c>
      <c r="J82" s="174">
        <v>1</v>
      </c>
      <c r="K82" s="174">
        <f t="shared" si="1"/>
        <v>0</v>
      </c>
      <c r="L82" s="175">
        <f t="shared" si="2"/>
        <v>66.8</v>
      </c>
      <c r="N82" s="86">
        <f t="shared" si="9"/>
        <v>0.80300000000000005</v>
      </c>
      <c r="P82" s="84">
        <f t="shared" si="4"/>
        <v>342615.3071487</v>
      </c>
      <c r="Q82" s="87">
        <f t="shared" si="5"/>
        <v>5128.9716639026947</v>
      </c>
      <c r="S82" s="84">
        <v>326985.24161960004</v>
      </c>
      <c r="T82" s="87">
        <v>4894.988647000001</v>
      </c>
      <c r="V82" s="88">
        <f t="shared" si="10"/>
        <v>4.7800522897248232E-2</v>
      </c>
      <c r="X82" s="84"/>
      <c r="Y82" s="87">
        <f t="shared" si="8"/>
        <v>342615.3071487</v>
      </c>
      <c r="Z82" s="4"/>
    </row>
    <row r="83" spans="2:26" x14ac:dyDescent="0.25">
      <c r="B83" s="105" t="s">
        <v>185</v>
      </c>
      <c r="C83" s="106" t="s">
        <v>197</v>
      </c>
      <c r="D83" s="98"/>
      <c r="E83" s="103">
        <v>42.8</v>
      </c>
      <c r="F83" s="100">
        <v>1</v>
      </c>
      <c r="G83" s="172">
        <v>1</v>
      </c>
      <c r="H83" s="173">
        <f t="shared" si="0"/>
        <v>42.8</v>
      </c>
      <c r="I83" s="174">
        <v>0</v>
      </c>
      <c r="J83" s="174">
        <v>1</v>
      </c>
      <c r="K83" s="174">
        <f t="shared" si="1"/>
        <v>0</v>
      </c>
      <c r="L83" s="175">
        <f t="shared" si="2"/>
        <v>42.8</v>
      </c>
      <c r="N83" s="86">
        <f t="shared" si="9"/>
        <v>0.51449999999999996</v>
      </c>
      <c r="P83" s="84">
        <f t="shared" si="4"/>
        <v>219521.2646675045</v>
      </c>
      <c r="Q83" s="87">
        <f t="shared" si="5"/>
        <v>5129.0015109230026</v>
      </c>
      <c r="S83" s="84">
        <v>209506.73326685451</v>
      </c>
      <c r="T83" s="87">
        <v>4895.0171324031435</v>
      </c>
      <c r="V83" s="88">
        <f t="shared" si="10"/>
        <v>4.7800522897248454E-2</v>
      </c>
      <c r="X83" s="84"/>
      <c r="Y83" s="87"/>
      <c r="Z83" s="4"/>
    </row>
    <row r="84" spans="2:26" x14ac:dyDescent="0.25">
      <c r="B84" s="105" t="s">
        <v>177</v>
      </c>
      <c r="C84" s="106" t="s">
        <v>107</v>
      </c>
      <c r="D84" s="98"/>
      <c r="E84" s="103">
        <f>95.65+95.65+95.2+200.8</f>
        <v>487.3</v>
      </c>
      <c r="F84" s="100">
        <v>1</v>
      </c>
      <c r="G84" s="172">
        <v>1</v>
      </c>
      <c r="H84" s="173">
        <f t="shared" si="0"/>
        <v>487.3</v>
      </c>
      <c r="I84" s="174">
        <v>0</v>
      </c>
      <c r="J84" s="174">
        <v>1</v>
      </c>
      <c r="K84" s="174">
        <f t="shared" si="1"/>
        <v>0</v>
      </c>
      <c r="L84" s="175">
        <f t="shared" si="2"/>
        <v>487.3</v>
      </c>
      <c r="N84" s="86">
        <f t="shared" si="9"/>
        <v>5.8578999999999999</v>
      </c>
      <c r="P84" s="84">
        <f t="shared" si="4"/>
        <v>2499385.0656866371</v>
      </c>
      <c r="Q84" s="87">
        <f t="shared" si="5"/>
        <v>5129.0479492851164</v>
      </c>
      <c r="S84" s="84">
        <v>2385363.4456830071</v>
      </c>
      <c r="T84" s="87">
        <v>4895.0614522532469</v>
      </c>
      <c r="V84" s="88">
        <f t="shared" si="10"/>
        <v>4.7800522897248454E-2</v>
      </c>
      <c r="X84" s="84">
        <v>54426.44</v>
      </c>
      <c r="Y84" s="87">
        <f t="shared" si="8"/>
        <v>2444958.6256866371</v>
      </c>
      <c r="Z84" s="4"/>
    </row>
    <row r="85" spans="2:26" x14ac:dyDescent="0.25">
      <c r="B85" s="116" t="s">
        <v>109</v>
      </c>
      <c r="C85" s="109" t="s">
        <v>172</v>
      </c>
      <c r="D85" s="94"/>
      <c r="E85" s="115">
        <f>89</f>
        <v>89</v>
      </c>
      <c r="F85" s="111">
        <v>1</v>
      </c>
      <c r="G85" s="172">
        <v>1</v>
      </c>
      <c r="H85" s="173">
        <f t="shared" si="0"/>
        <v>89</v>
      </c>
      <c r="I85" s="174">
        <v>0</v>
      </c>
      <c r="J85" s="174">
        <v>1</v>
      </c>
      <c r="K85" s="174">
        <f>ROUND(I85*J85,2)</f>
        <v>0</v>
      </c>
      <c r="L85" s="175">
        <f>H85+K85</f>
        <v>89</v>
      </c>
      <c r="N85" s="86">
        <f t="shared" si="9"/>
        <v>1.0699000000000001</v>
      </c>
      <c r="P85" s="84">
        <f t="shared" si="4"/>
        <v>456493.29653598269</v>
      </c>
      <c r="Q85" s="87">
        <f t="shared" si="5"/>
        <v>5129.1381633256478</v>
      </c>
      <c r="S85" s="84">
        <v>435668.13201595278</v>
      </c>
      <c r="T85" s="87">
        <v>4895.1475507410423</v>
      </c>
      <c r="V85" s="88">
        <f t="shared" si="10"/>
        <v>4.7800522897248232E-2</v>
      </c>
      <c r="X85" s="84">
        <v>16242.01</v>
      </c>
      <c r="Y85" s="87">
        <f t="shared" si="8"/>
        <v>440251.28653598268</v>
      </c>
      <c r="Z85" s="4"/>
    </row>
    <row r="86" spans="2:26" x14ac:dyDescent="0.25">
      <c r="B86" s="116" t="s">
        <v>189</v>
      </c>
      <c r="C86" s="109" t="s">
        <v>191</v>
      </c>
      <c r="D86" s="94"/>
      <c r="E86" s="115">
        <v>19.600000000000001</v>
      </c>
      <c r="F86" s="111">
        <v>0</v>
      </c>
      <c r="G86" s="172">
        <v>0</v>
      </c>
      <c r="H86" s="173">
        <f>ROUND(E86*G86*F86,2)</f>
        <v>0</v>
      </c>
      <c r="I86" s="174">
        <v>0</v>
      </c>
      <c r="J86" s="174">
        <v>1</v>
      </c>
      <c r="K86" s="174">
        <f>ROUND(I86*J86,2)</f>
        <v>0</v>
      </c>
      <c r="L86" s="175">
        <f>H86+K86</f>
        <v>0</v>
      </c>
      <c r="N86" s="86">
        <f t="shared" si="9"/>
        <v>0</v>
      </c>
      <c r="P86" s="84">
        <f>($P$12*N86)/100</f>
        <v>0</v>
      </c>
      <c r="Q86" s="87">
        <f>P86/E86</f>
        <v>0</v>
      </c>
      <c r="S86" s="84">
        <v>0</v>
      </c>
      <c r="T86" s="87">
        <v>0</v>
      </c>
      <c r="V86" s="88" t="e">
        <f t="shared" si="10"/>
        <v>#DIV/0!</v>
      </c>
      <c r="X86" s="84">
        <v>0</v>
      </c>
      <c r="Y86" s="87">
        <f t="shared" si="8"/>
        <v>0</v>
      </c>
      <c r="Z86" s="4"/>
    </row>
    <row r="87" spans="2:26" x14ac:dyDescent="0.25">
      <c r="B87" s="105" t="s">
        <v>110</v>
      </c>
      <c r="C87" s="106" t="s">
        <v>173</v>
      </c>
      <c r="D87" s="98"/>
      <c r="E87" s="103">
        <v>89.6</v>
      </c>
      <c r="F87" s="100">
        <v>1</v>
      </c>
      <c r="G87" s="172">
        <v>1</v>
      </c>
      <c r="H87" s="173">
        <f>ROUND(E87*G87*F87,2)</f>
        <v>89.6</v>
      </c>
      <c r="I87" s="174">
        <v>0</v>
      </c>
      <c r="J87" s="174">
        <v>1</v>
      </c>
      <c r="K87" s="174">
        <f>ROUND(I87*J87,2)</f>
        <v>0</v>
      </c>
      <c r="L87" s="175">
        <f>H87+K87</f>
        <v>89.6</v>
      </c>
      <c r="N87" s="86">
        <f t="shared" si="9"/>
        <v>1.0770999999999999</v>
      </c>
      <c r="P87" s="84">
        <f>($P$12*N87)/100</f>
        <v>459565.3142339536</v>
      </c>
      <c r="Q87" s="87">
        <f>P87/E87</f>
        <v>5129.077167789661</v>
      </c>
      <c r="S87" s="84">
        <v>438600.00466808357</v>
      </c>
      <c r="T87" s="87">
        <v>4895.0893378134333</v>
      </c>
      <c r="V87" s="88">
        <f>(P87/S87)-1</f>
        <v>4.7800522897248454E-2</v>
      </c>
      <c r="X87" s="84">
        <v>17021.759999999998</v>
      </c>
      <c r="Y87" s="87">
        <f t="shared" si="8"/>
        <v>442543.55423395359</v>
      </c>
      <c r="Z87" s="4"/>
    </row>
    <row r="88" spans="2:26" x14ac:dyDescent="0.25">
      <c r="B88" s="184"/>
      <c r="C88" s="185" t="s">
        <v>234</v>
      </c>
      <c r="D88" s="98"/>
      <c r="E88" s="186">
        <v>68</v>
      </c>
      <c r="F88" s="100">
        <v>1</v>
      </c>
      <c r="G88" s="172">
        <v>1</v>
      </c>
      <c r="H88" s="173">
        <f>ROUND(E88*G88*F88,2)</f>
        <v>68</v>
      </c>
      <c r="I88" s="174">
        <v>0</v>
      </c>
      <c r="J88" s="174">
        <v>1</v>
      </c>
      <c r="K88" s="174">
        <f>ROUND(I88*J88,2)</f>
        <v>0</v>
      </c>
      <c r="L88" s="175">
        <f>H88+K88</f>
        <v>68</v>
      </c>
      <c r="N88" s="86">
        <f t="shared" si="9"/>
        <v>0.81740000000000002</v>
      </c>
      <c r="P88" s="84">
        <f>($P$12*N88)/100</f>
        <v>348759.34254464181</v>
      </c>
      <c r="Q88" s="87">
        <f>P88/E88</f>
        <v>5128.813860950615</v>
      </c>
      <c r="S88" s="84">
        <v>332848.98692386178</v>
      </c>
      <c r="T88" s="87">
        <v>4894.838042997967</v>
      </c>
      <c r="V88" s="88">
        <f>(P88/S88)-1</f>
        <v>4.7800522897248454E-2</v>
      </c>
      <c r="X88" s="187"/>
      <c r="Y88" s="188"/>
      <c r="Z88" s="4"/>
    </row>
    <row r="89" spans="2:26" ht="13.5" thickBot="1" x14ac:dyDescent="0.3">
      <c r="B89" s="144" t="s">
        <v>178</v>
      </c>
      <c r="C89" s="145" t="s">
        <v>221</v>
      </c>
      <c r="D89" s="98"/>
      <c r="E89" s="164">
        <v>76</v>
      </c>
      <c r="F89" s="148">
        <v>1</v>
      </c>
      <c r="G89" s="176">
        <v>1</v>
      </c>
      <c r="H89" s="177">
        <f>ROUND(E89*G89*F89,2)</f>
        <v>76</v>
      </c>
      <c r="I89" s="178">
        <v>0</v>
      </c>
      <c r="J89" s="178">
        <v>1</v>
      </c>
      <c r="K89" s="178">
        <f>ROUND(I89*J89,2)</f>
        <v>0</v>
      </c>
      <c r="L89" s="179">
        <f>H89+K89</f>
        <v>76</v>
      </c>
      <c r="M89" s="80"/>
      <c r="N89" s="182">
        <f t="shared" si="9"/>
        <v>0.91359999999999997</v>
      </c>
      <c r="O89" s="80"/>
      <c r="P89" s="146">
        <f>($P$12*N89)/100</f>
        <v>389804.91234253085</v>
      </c>
      <c r="Q89" s="89">
        <f>P89/E89</f>
        <v>5129.0120045069852</v>
      </c>
      <c r="S89" s="146">
        <v>372022.06319261086</v>
      </c>
      <c r="T89" s="89">
        <v>4895.0271472711956</v>
      </c>
      <c r="V89" s="90">
        <f>(P89/S89)-1</f>
        <v>4.7800522897248454E-2</v>
      </c>
      <c r="X89" s="146">
        <v>15437.42</v>
      </c>
      <c r="Y89" s="89">
        <f t="shared" si="8"/>
        <v>374367.49234253087</v>
      </c>
      <c r="Z89" s="4"/>
    </row>
    <row r="90" spans="2:26" ht="13.5" thickBot="1" x14ac:dyDescent="0.3">
      <c r="B90" s="42"/>
      <c r="C90" s="43"/>
      <c r="E90" s="44"/>
      <c r="F90" s="44"/>
      <c r="G90" s="45"/>
      <c r="H90" s="46"/>
      <c r="I90" s="44"/>
      <c r="J90" s="44"/>
      <c r="K90" s="44"/>
      <c r="L90" s="44"/>
      <c r="N90" s="47"/>
      <c r="P90" s="48"/>
      <c r="Q90" s="48"/>
      <c r="S90" s="48"/>
      <c r="T90" s="48"/>
      <c r="V90" s="49"/>
      <c r="X90" s="48"/>
      <c r="Y90" s="48"/>
      <c r="Z90" s="66"/>
    </row>
    <row r="91" spans="2:26" ht="13.5" thickBot="1" x14ac:dyDescent="0.3">
      <c r="B91" s="139">
        <v>148</v>
      </c>
      <c r="C91" s="140" t="s">
        <v>111</v>
      </c>
      <c r="D91" s="98"/>
      <c r="E91" s="141">
        <v>20</v>
      </c>
      <c r="F91" s="142">
        <v>1</v>
      </c>
      <c r="G91" s="37">
        <v>1</v>
      </c>
      <c r="H91" s="38">
        <f t="shared" ref="H91:H113" si="11">ROUND(E91*G91*F91,2)</f>
        <v>20</v>
      </c>
      <c r="I91" s="36">
        <v>0</v>
      </c>
      <c r="J91" s="36">
        <v>1</v>
      </c>
      <c r="K91" s="36">
        <v>0</v>
      </c>
      <c r="L91" s="153">
        <f>H91+K91</f>
        <v>20</v>
      </c>
      <c r="N91" s="181">
        <f t="shared" ref="N91:N113" si="12">ROUND((L91/$L$115)*100,4)</f>
        <v>0.2404</v>
      </c>
      <c r="P91" s="152">
        <f t="shared" ref="P91:P113" si="13">($P$12*N91)/100</f>
        <v>102571.25758225091</v>
      </c>
      <c r="Q91" s="154">
        <f t="shared" ref="Q91:Q113" si="14">P91/E91</f>
        <v>5128.5628791125455</v>
      </c>
      <c r="S91" s="152">
        <v>97891.970218370916</v>
      </c>
      <c r="T91" s="154">
        <v>4894.5985109185458</v>
      </c>
      <c r="V91" s="90">
        <f t="shared" ref="V91:V113" si="15">(P91/S91)-1</f>
        <v>4.7800522897248454E-2</v>
      </c>
      <c r="X91" s="48"/>
      <c r="Y91" s="48"/>
      <c r="Z91" s="66"/>
    </row>
    <row r="92" spans="2:26" ht="13.5" thickBot="1" x14ac:dyDescent="0.3">
      <c r="B92" s="105">
        <v>149</v>
      </c>
      <c r="C92" s="106" t="s">
        <v>112</v>
      </c>
      <c r="D92" s="98"/>
      <c r="E92" s="107">
        <v>28</v>
      </c>
      <c r="F92" s="100">
        <v>1</v>
      </c>
      <c r="G92" s="39">
        <v>1</v>
      </c>
      <c r="H92" s="40">
        <f t="shared" si="11"/>
        <v>28</v>
      </c>
      <c r="I92" s="41">
        <v>0</v>
      </c>
      <c r="J92" s="41">
        <v>1</v>
      </c>
      <c r="K92" s="41">
        <v>0</v>
      </c>
      <c r="L92" s="85">
        <f t="shared" ref="L92:L113" si="16">H92+K92</f>
        <v>28</v>
      </c>
      <c r="N92" s="86">
        <f t="shared" si="12"/>
        <v>0.33660000000000001</v>
      </c>
      <c r="P92" s="84">
        <f t="shared" si="13"/>
        <v>143616.82738013999</v>
      </c>
      <c r="Q92" s="87">
        <f t="shared" si="14"/>
        <v>5129.1724064335713</v>
      </c>
      <c r="S92" s="84">
        <v>137065.04648712001</v>
      </c>
      <c r="T92" s="87">
        <v>4895.1802316828571</v>
      </c>
      <c r="V92" s="90">
        <f t="shared" si="15"/>
        <v>4.7800522897248232E-2</v>
      </c>
      <c r="X92" s="48"/>
      <c r="Y92" s="48"/>
      <c r="Z92" s="66"/>
    </row>
    <row r="93" spans="2:26" ht="13.5" thickBot="1" x14ac:dyDescent="0.3">
      <c r="B93" s="105">
        <v>150</v>
      </c>
      <c r="C93" s="106" t="s">
        <v>203</v>
      </c>
      <c r="D93" s="98"/>
      <c r="E93" s="107">
        <v>65</v>
      </c>
      <c r="F93" s="100">
        <v>1</v>
      </c>
      <c r="G93" s="39">
        <v>1</v>
      </c>
      <c r="H93" s="40">
        <f t="shared" si="11"/>
        <v>65</v>
      </c>
      <c r="I93" s="41">
        <v>0</v>
      </c>
      <c r="J93" s="41">
        <v>1</v>
      </c>
      <c r="K93" s="41">
        <v>0</v>
      </c>
      <c r="L93" s="85">
        <f t="shared" si="16"/>
        <v>65</v>
      </c>
      <c r="N93" s="86">
        <f t="shared" si="12"/>
        <v>0.78139999999999998</v>
      </c>
      <c r="P93" s="84">
        <f t="shared" si="13"/>
        <v>333399.25405478722</v>
      </c>
      <c r="Q93" s="87">
        <f t="shared" si="14"/>
        <v>5129.2192931505724</v>
      </c>
      <c r="S93" s="84">
        <v>318189.62366320728</v>
      </c>
      <c r="T93" s="87">
        <v>4895.2249794339587</v>
      </c>
      <c r="V93" s="90">
        <f t="shared" si="15"/>
        <v>4.7800522897248232E-2</v>
      </c>
      <c r="X93" s="48"/>
      <c r="Y93" s="48"/>
      <c r="Z93" s="66"/>
    </row>
    <row r="94" spans="2:26" ht="13.5" thickBot="1" x14ac:dyDescent="0.3">
      <c r="B94" s="105">
        <v>151</v>
      </c>
      <c r="C94" s="106" t="s">
        <v>174</v>
      </c>
      <c r="D94" s="98"/>
      <c r="E94" s="107">
        <v>67</v>
      </c>
      <c r="F94" s="100">
        <v>1</v>
      </c>
      <c r="G94" s="39">
        <v>1</v>
      </c>
      <c r="H94" s="40">
        <f t="shared" si="11"/>
        <v>67</v>
      </c>
      <c r="I94" s="41">
        <v>0</v>
      </c>
      <c r="J94" s="41">
        <v>1</v>
      </c>
      <c r="K94" s="41">
        <v>0</v>
      </c>
      <c r="L94" s="85">
        <f t="shared" si="16"/>
        <v>67</v>
      </c>
      <c r="N94" s="86">
        <f t="shared" si="12"/>
        <v>0.8054</v>
      </c>
      <c r="P94" s="84">
        <f t="shared" si="13"/>
        <v>343639.31304802356</v>
      </c>
      <c r="Q94" s="87">
        <f t="shared" si="14"/>
        <v>5128.9449708660231</v>
      </c>
      <c r="S94" s="84">
        <v>327962.53250364366</v>
      </c>
      <c r="T94" s="87">
        <v>4894.963171696174</v>
      </c>
      <c r="V94" s="90">
        <f t="shared" si="15"/>
        <v>4.7800522897248232E-2</v>
      </c>
      <c r="X94" s="48"/>
      <c r="Y94" s="48"/>
      <c r="Z94" s="66"/>
    </row>
    <row r="95" spans="2:26" ht="13.5" thickBot="1" x14ac:dyDescent="0.3">
      <c r="B95" s="105">
        <v>152</v>
      </c>
      <c r="C95" s="106" t="s">
        <v>113</v>
      </c>
      <c r="D95" s="98"/>
      <c r="E95" s="107">
        <v>89</v>
      </c>
      <c r="F95" s="100">
        <v>1</v>
      </c>
      <c r="G95" s="39">
        <v>1</v>
      </c>
      <c r="H95" s="40">
        <f t="shared" si="11"/>
        <v>89</v>
      </c>
      <c r="I95" s="41">
        <v>0</v>
      </c>
      <c r="J95" s="41">
        <v>1</v>
      </c>
      <c r="K95" s="41">
        <v>0</v>
      </c>
      <c r="L95" s="85">
        <f t="shared" si="16"/>
        <v>89</v>
      </c>
      <c r="N95" s="86">
        <f t="shared" si="12"/>
        <v>1.0699000000000001</v>
      </c>
      <c r="P95" s="84">
        <f t="shared" si="13"/>
        <v>456493.29653598269</v>
      </c>
      <c r="Q95" s="87">
        <f t="shared" si="14"/>
        <v>5129.1381633256478</v>
      </c>
      <c r="S95" s="84">
        <v>435668.13201595278</v>
      </c>
      <c r="T95" s="87">
        <v>4895.1475507410423</v>
      </c>
      <c r="V95" s="90">
        <f t="shared" si="15"/>
        <v>4.7800522897248232E-2</v>
      </c>
      <c r="X95" s="48"/>
      <c r="Y95" s="48"/>
      <c r="Z95" s="66"/>
    </row>
    <row r="96" spans="2:26" ht="13.5" thickBot="1" x14ac:dyDescent="0.3">
      <c r="B96" s="105">
        <v>153</v>
      </c>
      <c r="C96" s="106" t="s">
        <v>166</v>
      </c>
      <c r="D96" s="98"/>
      <c r="E96" s="107">
        <v>26</v>
      </c>
      <c r="F96" s="100">
        <v>1</v>
      </c>
      <c r="G96" s="39">
        <v>1</v>
      </c>
      <c r="H96" s="40">
        <f t="shared" si="11"/>
        <v>26</v>
      </c>
      <c r="I96" s="41">
        <v>0</v>
      </c>
      <c r="J96" s="41">
        <v>1</v>
      </c>
      <c r="K96" s="41">
        <v>0</v>
      </c>
      <c r="L96" s="85">
        <f t="shared" si="16"/>
        <v>26</v>
      </c>
      <c r="N96" s="86">
        <f t="shared" si="12"/>
        <v>0.3125</v>
      </c>
      <c r="P96" s="84">
        <f t="shared" si="13"/>
        <v>133334.10147443181</v>
      </c>
      <c r="Q96" s="87">
        <f t="shared" si="14"/>
        <v>5128.2346720935311</v>
      </c>
      <c r="S96" s="84">
        <v>127251.41719318181</v>
      </c>
      <c r="T96" s="87">
        <v>4894.2852766608394</v>
      </c>
      <c r="V96" s="90">
        <f t="shared" si="15"/>
        <v>4.7800522897248454E-2</v>
      </c>
      <c r="X96" s="48"/>
      <c r="Y96" s="48"/>
      <c r="Z96" s="66"/>
    </row>
    <row r="97" spans="2:26" ht="13.5" thickBot="1" x14ac:dyDescent="0.3">
      <c r="B97" s="105">
        <v>154</v>
      </c>
      <c r="C97" s="106" t="s">
        <v>167</v>
      </c>
      <c r="D97" s="98"/>
      <c r="E97" s="107">
        <v>14.19</v>
      </c>
      <c r="F97" s="100">
        <v>1</v>
      </c>
      <c r="G97" s="39">
        <v>1</v>
      </c>
      <c r="H97" s="40">
        <f t="shared" si="11"/>
        <v>14.19</v>
      </c>
      <c r="I97" s="41">
        <v>0</v>
      </c>
      <c r="J97" s="41">
        <v>1</v>
      </c>
      <c r="K97" s="41">
        <v>0</v>
      </c>
      <c r="L97" s="85">
        <f t="shared" si="16"/>
        <v>14.19</v>
      </c>
      <c r="N97" s="86">
        <f t="shared" si="12"/>
        <v>0.1706</v>
      </c>
      <c r="P97" s="84">
        <f t="shared" si="13"/>
        <v>72789.752676921809</v>
      </c>
      <c r="Q97" s="87">
        <f t="shared" si="14"/>
        <v>5129.651351439169</v>
      </c>
      <c r="S97" s="84">
        <v>69469.093674101823</v>
      </c>
      <c r="T97" s="87">
        <v>4895.6373272799028</v>
      </c>
      <c r="V97" s="90">
        <f t="shared" si="15"/>
        <v>4.7800522897248232E-2</v>
      </c>
      <c r="X97" s="48"/>
      <c r="Y97" s="48"/>
      <c r="Z97" s="66"/>
    </row>
    <row r="98" spans="2:26" ht="13.5" thickBot="1" x14ac:dyDescent="0.3">
      <c r="B98" s="105">
        <v>155</v>
      </c>
      <c r="C98" s="106" t="s">
        <v>114</v>
      </c>
      <c r="D98" s="98"/>
      <c r="E98" s="107">
        <v>134</v>
      </c>
      <c r="F98" s="100">
        <v>1</v>
      </c>
      <c r="G98" s="39">
        <v>1</v>
      </c>
      <c r="H98" s="40">
        <f t="shared" si="11"/>
        <v>134</v>
      </c>
      <c r="I98" s="41">
        <v>0</v>
      </c>
      <c r="J98" s="41">
        <v>1</v>
      </c>
      <c r="K98" s="41">
        <v>0</v>
      </c>
      <c r="L98" s="85">
        <f t="shared" si="16"/>
        <v>134</v>
      </c>
      <c r="N98" s="86">
        <f t="shared" si="12"/>
        <v>1.6108</v>
      </c>
      <c r="P98" s="84">
        <f t="shared" si="13"/>
        <v>687278.62609604711</v>
      </c>
      <c r="Q98" s="87">
        <f t="shared" si="14"/>
        <v>5128.9449708660231</v>
      </c>
      <c r="S98" s="84">
        <v>655925.06500728731</v>
      </c>
      <c r="T98" s="87">
        <v>4894.963171696174</v>
      </c>
      <c r="V98" s="90">
        <f t="shared" si="15"/>
        <v>4.7800522897248232E-2</v>
      </c>
      <c r="X98" s="48"/>
      <c r="Y98" s="48"/>
      <c r="Z98" s="66"/>
    </row>
    <row r="99" spans="2:26" ht="13.5" thickBot="1" x14ac:dyDescent="0.3">
      <c r="B99" s="105">
        <v>156</v>
      </c>
      <c r="C99" s="106" t="s">
        <v>115</v>
      </c>
      <c r="D99" s="98"/>
      <c r="E99" s="107">
        <v>72</v>
      </c>
      <c r="F99" s="100">
        <v>1</v>
      </c>
      <c r="G99" s="39">
        <v>1</v>
      </c>
      <c r="H99" s="40">
        <f t="shared" si="11"/>
        <v>72</v>
      </c>
      <c r="I99" s="41">
        <v>0</v>
      </c>
      <c r="J99" s="41">
        <v>1</v>
      </c>
      <c r="K99" s="41">
        <v>0</v>
      </c>
      <c r="L99" s="85">
        <f t="shared" si="16"/>
        <v>72</v>
      </c>
      <c r="N99" s="86">
        <f t="shared" si="12"/>
        <v>0.86550000000000005</v>
      </c>
      <c r="P99" s="84">
        <f t="shared" si="13"/>
        <v>369282.12744358636</v>
      </c>
      <c r="Q99" s="87">
        <f t="shared" si="14"/>
        <v>5128.9184367164771</v>
      </c>
      <c r="S99" s="84">
        <v>352435.52505823632</v>
      </c>
      <c r="T99" s="87">
        <v>4894.9378480310597</v>
      </c>
      <c r="V99" s="90">
        <f t="shared" si="15"/>
        <v>4.7800522897248454E-2</v>
      </c>
      <c r="X99" s="48"/>
      <c r="Y99" s="48"/>
      <c r="Z99" s="66"/>
    </row>
    <row r="100" spans="2:26" ht="13.5" thickBot="1" x14ac:dyDescent="0.3">
      <c r="B100" s="105">
        <v>157</v>
      </c>
      <c r="C100" s="106" t="s">
        <v>182</v>
      </c>
      <c r="D100" s="98"/>
      <c r="E100" s="107">
        <v>103</v>
      </c>
      <c r="F100" s="100">
        <v>1</v>
      </c>
      <c r="G100" s="39">
        <v>1</v>
      </c>
      <c r="H100" s="40">
        <f t="shared" si="11"/>
        <v>103</v>
      </c>
      <c r="I100" s="41">
        <v>0</v>
      </c>
      <c r="J100" s="41">
        <v>1</v>
      </c>
      <c r="K100" s="41">
        <v>0</v>
      </c>
      <c r="L100" s="85">
        <f t="shared" si="16"/>
        <v>103</v>
      </c>
      <c r="N100" s="86">
        <f t="shared" si="12"/>
        <v>1.2382</v>
      </c>
      <c r="P100" s="84">
        <f t="shared" si="13"/>
        <v>528301.71022605267</v>
      </c>
      <c r="Q100" s="87">
        <f t="shared" si="14"/>
        <v>5129.1428177286671</v>
      </c>
      <c r="S100" s="84">
        <v>504200.65525951266</v>
      </c>
      <c r="T100" s="87">
        <v>4895.1519928108028</v>
      </c>
      <c r="V100" s="90">
        <f t="shared" si="15"/>
        <v>4.7800522897248454E-2</v>
      </c>
      <c r="X100" s="48"/>
      <c r="Y100" s="48"/>
      <c r="Z100" s="66"/>
    </row>
    <row r="101" spans="2:26" ht="13.5" thickBot="1" x14ac:dyDescent="0.3">
      <c r="B101" s="105">
        <v>158</v>
      </c>
      <c r="C101" s="106" t="s">
        <v>201</v>
      </c>
      <c r="D101" s="98"/>
      <c r="E101" s="107">
        <v>45</v>
      </c>
      <c r="F101" s="100">
        <v>1</v>
      </c>
      <c r="G101" s="39">
        <v>1</v>
      </c>
      <c r="H101" s="40">
        <f t="shared" si="11"/>
        <v>45</v>
      </c>
      <c r="I101" s="41">
        <v>0</v>
      </c>
      <c r="J101" s="41">
        <v>1</v>
      </c>
      <c r="K101" s="41">
        <v>0</v>
      </c>
      <c r="L101" s="85">
        <f t="shared" si="16"/>
        <v>45</v>
      </c>
      <c r="N101" s="86">
        <f t="shared" si="12"/>
        <v>0.54090000000000005</v>
      </c>
      <c r="P101" s="84">
        <f t="shared" si="13"/>
        <v>230785.32956006457</v>
      </c>
      <c r="Q101" s="87">
        <f t="shared" si="14"/>
        <v>5128.5628791125455</v>
      </c>
      <c r="S101" s="84">
        <v>220256.93299133459</v>
      </c>
      <c r="T101" s="87">
        <v>4894.5985109185467</v>
      </c>
      <c r="V101" s="90">
        <f t="shared" si="15"/>
        <v>4.7800522897248232E-2</v>
      </c>
      <c r="X101" s="48"/>
      <c r="Y101" s="48"/>
      <c r="Z101" s="66"/>
    </row>
    <row r="102" spans="2:26" ht="13.5" thickBot="1" x14ac:dyDescent="0.3">
      <c r="B102" s="105">
        <v>159</v>
      </c>
      <c r="C102" s="106" t="s">
        <v>201</v>
      </c>
      <c r="D102" s="98"/>
      <c r="E102" s="107">
        <v>48</v>
      </c>
      <c r="F102" s="100">
        <v>1</v>
      </c>
      <c r="G102" s="39">
        <v>1</v>
      </c>
      <c r="H102" s="40">
        <f t="shared" si="11"/>
        <v>48</v>
      </c>
      <c r="I102" s="41">
        <v>0</v>
      </c>
      <c r="J102" s="41">
        <v>1</v>
      </c>
      <c r="K102" s="41">
        <v>0</v>
      </c>
      <c r="L102" s="85">
        <f t="shared" si="16"/>
        <v>48</v>
      </c>
      <c r="N102" s="86">
        <f t="shared" si="12"/>
        <v>0.57699999999999996</v>
      </c>
      <c r="P102" s="84">
        <f t="shared" si="13"/>
        <v>246188.08496239089</v>
      </c>
      <c r="Q102" s="87">
        <f t="shared" si="14"/>
        <v>5128.9184367164771</v>
      </c>
      <c r="S102" s="84">
        <v>234957.01670549088</v>
      </c>
      <c r="T102" s="87">
        <v>4894.9378480310597</v>
      </c>
      <c r="V102" s="90">
        <f t="shared" si="15"/>
        <v>4.7800522897248454E-2</v>
      </c>
      <c r="X102" s="48"/>
      <c r="Y102" s="48"/>
      <c r="Z102" s="66"/>
    </row>
    <row r="103" spans="2:26" ht="13.5" thickBot="1" x14ac:dyDescent="0.3">
      <c r="B103" s="105">
        <v>160</v>
      </c>
      <c r="C103" s="106" t="s">
        <v>196</v>
      </c>
      <c r="D103" s="98"/>
      <c r="E103" s="107">
        <v>79</v>
      </c>
      <c r="F103" s="100">
        <v>1</v>
      </c>
      <c r="G103" s="39">
        <v>1</v>
      </c>
      <c r="H103" s="40">
        <f t="shared" si="11"/>
        <v>79</v>
      </c>
      <c r="I103" s="41">
        <v>0</v>
      </c>
      <c r="J103" s="41">
        <v>1</v>
      </c>
      <c r="K103" s="41">
        <v>0</v>
      </c>
      <c r="L103" s="85">
        <f t="shared" si="16"/>
        <v>79</v>
      </c>
      <c r="N103" s="86">
        <f t="shared" si="12"/>
        <v>0.94969999999999999</v>
      </c>
      <c r="P103" s="84">
        <f t="shared" si="13"/>
        <v>405207.6677448572</v>
      </c>
      <c r="Q103" s="87">
        <f t="shared" si="14"/>
        <v>5129.2109841121164</v>
      </c>
      <c r="S103" s="84">
        <v>386722.14690676727</v>
      </c>
      <c r="T103" s="87">
        <v>4895.21704945275</v>
      </c>
      <c r="V103" s="90">
        <f t="shared" si="15"/>
        <v>4.7800522897248232E-2</v>
      </c>
      <c r="X103" s="48"/>
      <c r="Y103" s="48"/>
      <c r="Z103" s="66"/>
    </row>
    <row r="104" spans="2:26" ht="13.5" thickBot="1" x14ac:dyDescent="0.3">
      <c r="B104" s="105">
        <v>161</v>
      </c>
      <c r="C104" s="106" t="s">
        <v>116</v>
      </c>
      <c r="D104" s="98"/>
      <c r="E104" s="107">
        <v>95</v>
      </c>
      <c r="F104" s="100">
        <v>1</v>
      </c>
      <c r="G104" s="39">
        <v>1</v>
      </c>
      <c r="H104" s="40">
        <f t="shared" si="11"/>
        <v>95</v>
      </c>
      <c r="I104" s="41">
        <v>0</v>
      </c>
      <c r="J104" s="41">
        <v>1</v>
      </c>
      <c r="K104" s="41">
        <v>0</v>
      </c>
      <c r="L104" s="85">
        <f t="shared" si="16"/>
        <v>95</v>
      </c>
      <c r="N104" s="86">
        <f t="shared" si="12"/>
        <v>1.1419999999999999</v>
      </c>
      <c r="P104" s="84">
        <f t="shared" si="13"/>
        <v>487256.14042816358</v>
      </c>
      <c r="Q104" s="87">
        <f t="shared" si="14"/>
        <v>5129.0120045069852</v>
      </c>
      <c r="S104" s="84">
        <v>465027.57899076358</v>
      </c>
      <c r="T104" s="87">
        <v>4895.0271472711956</v>
      </c>
      <c r="V104" s="90">
        <f t="shared" si="15"/>
        <v>4.7800522897248454E-2</v>
      </c>
      <c r="X104" s="48"/>
      <c r="Y104" s="48"/>
      <c r="Z104" s="66"/>
    </row>
    <row r="105" spans="2:26" ht="13.5" thickBot="1" x14ac:dyDescent="0.3">
      <c r="B105" s="105">
        <v>162</v>
      </c>
      <c r="C105" s="106" t="s">
        <v>217</v>
      </c>
      <c r="D105" s="98"/>
      <c r="E105" s="107">
        <v>95</v>
      </c>
      <c r="F105" s="100">
        <v>1</v>
      </c>
      <c r="G105" s="39">
        <v>1</v>
      </c>
      <c r="H105" s="40">
        <f t="shared" si="11"/>
        <v>95</v>
      </c>
      <c r="I105" s="41">
        <v>0</v>
      </c>
      <c r="J105" s="41">
        <v>1</v>
      </c>
      <c r="K105" s="41">
        <v>0</v>
      </c>
      <c r="L105" s="85">
        <f t="shared" si="16"/>
        <v>95</v>
      </c>
      <c r="N105" s="86">
        <f t="shared" si="12"/>
        <v>1.1419999999999999</v>
      </c>
      <c r="P105" s="84">
        <f t="shared" si="13"/>
        <v>487256.14042816358</v>
      </c>
      <c r="Q105" s="87">
        <f t="shared" si="14"/>
        <v>5129.0120045069852</v>
      </c>
      <c r="S105" s="84">
        <v>465027.57899076358</v>
      </c>
      <c r="T105" s="87">
        <v>4895.0271472711956</v>
      </c>
      <c r="V105" s="90">
        <f t="shared" si="15"/>
        <v>4.7800522897248454E-2</v>
      </c>
      <c r="X105" s="48"/>
      <c r="Y105" s="48"/>
      <c r="Z105" s="66"/>
    </row>
    <row r="106" spans="2:26" ht="13.5" thickBot="1" x14ac:dyDescent="0.3">
      <c r="B106" s="105">
        <v>163</v>
      </c>
      <c r="C106" s="106" t="s">
        <v>175</v>
      </c>
      <c r="D106" s="98"/>
      <c r="E106" s="107">
        <v>67</v>
      </c>
      <c r="F106" s="100">
        <v>1</v>
      </c>
      <c r="G106" s="39">
        <v>1</v>
      </c>
      <c r="H106" s="40">
        <f t="shared" si="11"/>
        <v>67</v>
      </c>
      <c r="I106" s="41">
        <v>0</v>
      </c>
      <c r="J106" s="41">
        <v>1</v>
      </c>
      <c r="K106" s="41">
        <v>0</v>
      </c>
      <c r="L106" s="85">
        <f t="shared" si="16"/>
        <v>67</v>
      </c>
      <c r="N106" s="86">
        <f t="shared" si="12"/>
        <v>0.8054</v>
      </c>
      <c r="P106" s="84">
        <f t="shared" si="13"/>
        <v>343639.31304802356</v>
      </c>
      <c r="Q106" s="87">
        <f t="shared" si="14"/>
        <v>5128.9449708660231</v>
      </c>
      <c r="S106" s="84">
        <v>327962.53250364366</v>
      </c>
      <c r="T106" s="87">
        <v>4894.963171696174</v>
      </c>
      <c r="V106" s="90">
        <f t="shared" si="15"/>
        <v>4.7800522897248232E-2</v>
      </c>
      <c r="X106" s="48"/>
      <c r="Y106" s="48"/>
      <c r="Z106" s="66"/>
    </row>
    <row r="107" spans="2:26" ht="13.5" thickBot="1" x14ac:dyDescent="0.3">
      <c r="B107" s="105">
        <v>164</v>
      </c>
      <c r="C107" s="106" t="s">
        <v>228</v>
      </c>
      <c r="D107" s="98"/>
      <c r="E107" s="107">
        <v>70</v>
      </c>
      <c r="F107" s="100">
        <v>1</v>
      </c>
      <c r="G107" s="39">
        <v>1</v>
      </c>
      <c r="H107" s="40">
        <f t="shared" si="11"/>
        <v>70</v>
      </c>
      <c r="I107" s="41">
        <v>0</v>
      </c>
      <c r="J107" s="41">
        <v>1</v>
      </c>
      <c r="K107" s="41">
        <v>0</v>
      </c>
      <c r="L107" s="85">
        <f t="shared" si="16"/>
        <v>70</v>
      </c>
      <c r="N107" s="86">
        <f t="shared" si="12"/>
        <v>0.84150000000000003</v>
      </c>
      <c r="P107" s="84">
        <f t="shared" si="13"/>
        <v>359042.06845035002</v>
      </c>
      <c r="Q107" s="87">
        <f t="shared" si="14"/>
        <v>5129.1724064335722</v>
      </c>
      <c r="S107" s="84">
        <v>342662.61621780001</v>
      </c>
      <c r="T107" s="87">
        <v>4895.1802316828571</v>
      </c>
      <c r="V107" s="90">
        <f t="shared" si="15"/>
        <v>4.7800522897248454E-2</v>
      </c>
      <c r="X107" s="48"/>
      <c r="Y107" s="48"/>
      <c r="Z107" s="66"/>
    </row>
    <row r="108" spans="2:26" ht="13.5" thickBot="1" x14ac:dyDescent="0.3">
      <c r="B108" s="105">
        <v>165</v>
      </c>
      <c r="C108" s="106" t="s">
        <v>67</v>
      </c>
      <c r="D108" s="98"/>
      <c r="E108" s="107">
        <v>80</v>
      </c>
      <c r="F108" s="100">
        <v>1</v>
      </c>
      <c r="G108" s="39">
        <v>1</v>
      </c>
      <c r="H108" s="40">
        <f t="shared" si="11"/>
        <v>80</v>
      </c>
      <c r="I108" s="41">
        <v>0</v>
      </c>
      <c r="J108" s="41">
        <v>1</v>
      </c>
      <c r="K108" s="41">
        <v>0</v>
      </c>
      <c r="L108" s="85">
        <f t="shared" si="16"/>
        <v>80</v>
      </c>
      <c r="N108" s="86">
        <f t="shared" si="12"/>
        <v>0.9617</v>
      </c>
      <c r="P108" s="84">
        <f t="shared" si="13"/>
        <v>410327.69724147546</v>
      </c>
      <c r="Q108" s="87">
        <f t="shared" si="14"/>
        <v>5129.0962155184434</v>
      </c>
      <c r="S108" s="84">
        <v>391608.60132698546</v>
      </c>
      <c r="T108" s="87">
        <v>4895.1075165873181</v>
      </c>
      <c r="V108" s="90">
        <f t="shared" si="15"/>
        <v>4.7800522897248454E-2</v>
      </c>
      <c r="X108" s="48"/>
      <c r="Y108" s="48"/>
      <c r="Z108" s="66"/>
    </row>
    <row r="109" spans="2:26" ht="13.5" thickBot="1" x14ac:dyDescent="0.3">
      <c r="B109" s="108">
        <v>166</v>
      </c>
      <c r="C109" s="109" t="s">
        <v>117</v>
      </c>
      <c r="D109" s="94"/>
      <c r="E109" s="110">
        <v>300</v>
      </c>
      <c r="F109" s="111">
        <v>0.75</v>
      </c>
      <c r="G109" s="39">
        <v>1</v>
      </c>
      <c r="H109" s="40">
        <f t="shared" si="11"/>
        <v>225</v>
      </c>
      <c r="I109" s="41">
        <v>0</v>
      </c>
      <c r="J109" s="41">
        <v>1</v>
      </c>
      <c r="K109" s="41">
        <v>0</v>
      </c>
      <c r="L109" s="85">
        <f t="shared" si="16"/>
        <v>225</v>
      </c>
      <c r="N109" s="86">
        <f t="shared" si="12"/>
        <v>2.7046999999999999</v>
      </c>
      <c r="P109" s="84">
        <f t="shared" si="13"/>
        <v>1154011.9816252661</v>
      </c>
      <c r="Q109" s="87">
        <f t="shared" si="14"/>
        <v>3846.7066054175539</v>
      </c>
      <c r="S109" s="84">
        <v>1101366.1058636762</v>
      </c>
      <c r="T109" s="87">
        <v>3671.2203528789205</v>
      </c>
      <c r="V109" s="90">
        <f t="shared" si="15"/>
        <v>4.7800522897248454E-2</v>
      </c>
      <c r="X109" s="48"/>
      <c r="Y109" s="48"/>
      <c r="Z109" s="66"/>
    </row>
    <row r="110" spans="2:26" ht="13.5" thickBot="1" x14ac:dyDescent="0.3">
      <c r="B110" s="105">
        <v>166</v>
      </c>
      <c r="C110" s="106" t="s">
        <v>118</v>
      </c>
      <c r="D110" s="98"/>
      <c r="E110" s="107">
        <v>92</v>
      </c>
      <c r="F110" s="100">
        <v>1</v>
      </c>
      <c r="G110" s="39">
        <v>1</v>
      </c>
      <c r="H110" s="40">
        <f t="shared" si="11"/>
        <v>92</v>
      </c>
      <c r="I110" s="41">
        <v>0</v>
      </c>
      <c r="J110" s="41">
        <v>1</v>
      </c>
      <c r="K110" s="41">
        <v>0</v>
      </c>
      <c r="L110" s="85">
        <f t="shared" si="16"/>
        <v>92</v>
      </c>
      <c r="N110" s="86">
        <f t="shared" si="12"/>
        <v>1.1059000000000001</v>
      </c>
      <c r="P110" s="84">
        <f t="shared" si="13"/>
        <v>471853.38502583728</v>
      </c>
      <c r="Q110" s="87">
        <f t="shared" si="14"/>
        <v>5128.8411415851879</v>
      </c>
      <c r="S110" s="84">
        <v>450327.49527660728</v>
      </c>
      <c r="T110" s="87">
        <v>4894.8640790935578</v>
      </c>
      <c r="V110" s="90">
        <f t="shared" si="15"/>
        <v>4.7800522897248454E-2</v>
      </c>
      <c r="X110" s="48"/>
      <c r="Y110" s="48"/>
    </row>
    <row r="111" spans="2:26" ht="13.5" thickBot="1" x14ac:dyDescent="0.3">
      <c r="B111" s="144">
        <v>307</v>
      </c>
      <c r="C111" s="145" t="s">
        <v>176</v>
      </c>
      <c r="D111" s="98"/>
      <c r="E111" s="147">
        <v>128.19999999999999</v>
      </c>
      <c r="F111" s="148">
        <v>1</v>
      </c>
      <c r="G111" s="156">
        <v>1</v>
      </c>
      <c r="H111" s="157">
        <f t="shared" si="11"/>
        <v>128.19999999999999</v>
      </c>
      <c r="I111" s="158">
        <v>0</v>
      </c>
      <c r="J111" s="158">
        <v>1</v>
      </c>
      <c r="K111" s="158">
        <v>0</v>
      </c>
      <c r="L111" s="159">
        <f t="shared" si="16"/>
        <v>128.19999999999999</v>
      </c>
      <c r="N111" s="182">
        <f t="shared" si="12"/>
        <v>1.5410999999999999</v>
      </c>
      <c r="P111" s="146">
        <f t="shared" si="13"/>
        <v>657539.7881031899</v>
      </c>
      <c r="Q111" s="89">
        <f t="shared" si="14"/>
        <v>5129.0155078251946</v>
      </c>
      <c r="S111" s="146">
        <v>627542.90891651995</v>
      </c>
      <c r="T111" s="89">
        <v>4895.0304907684867</v>
      </c>
      <c r="V111" s="90">
        <f t="shared" si="15"/>
        <v>4.7800522897248454E-2</v>
      </c>
      <c r="X111" s="48"/>
      <c r="Y111" s="48"/>
    </row>
    <row r="112" spans="2:26" ht="13.5" thickBot="1" x14ac:dyDescent="0.3">
      <c r="B112" s="144">
        <v>26</v>
      </c>
      <c r="C112" s="145" t="s">
        <v>233</v>
      </c>
      <c r="D112" s="98"/>
      <c r="E112" s="147">
        <v>51</v>
      </c>
      <c r="F112" s="148">
        <v>1</v>
      </c>
      <c r="G112" s="156">
        <v>1</v>
      </c>
      <c r="H112" s="157">
        <f t="shared" si="11"/>
        <v>51</v>
      </c>
      <c r="I112" s="158">
        <v>0</v>
      </c>
      <c r="J112" s="158">
        <v>1</v>
      </c>
      <c r="K112" s="158">
        <v>0</v>
      </c>
      <c r="L112" s="159">
        <f t="shared" si="16"/>
        <v>51</v>
      </c>
      <c r="N112" s="182">
        <f t="shared" si="12"/>
        <v>0.61309999999999998</v>
      </c>
      <c r="P112" s="146">
        <f t="shared" si="13"/>
        <v>261590.84036471724</v>
      </c>
      <c r="Q112" s="89">
        <f t="shared" si="14"/>
        <v>5129.2321640140635</v>
      </c>
      <c r="R112" s="146">
        <f>($P$12*P112)/100</f>
        <v>111612734892.70752</v>
      </c>
      <c r="S112" s="146">
        <v>249657.10041964723</v>
      </c>
      <c r="T112" s="89">
        <v>4895.2372631303379</v>
      </c>
      <c r="U112" s="146">
        <f>($P$12*S112)/100</f>
        <v>106520976515.7301</v>
      </c>
      <c r="V112" s="90">
        <f t="shared" si="15"/>
        <v>4.7800522897248454E-2</v>
      </c>
      <c r="X112" s="48"/>
      <c r="Y112" s="48"/>
    </row>
    <row r="113" spans="2:26" ht="13.5" thickBot="1" x14ac:dyDescent="0.3">
      <c r="B113" s="112">
        <v>402</v>
      </c>
      <c r="C113" s="113" t="s">
        <v>226</v>
      </c>
      <c r="D113" s="94"/>
      <c r="E113" s="136">
        <v>292</v>
      </c>
      <c r="F113" s="114">
        <v>0.51400000000000001</v>
      </c>
      <c r="G113" s="156">
        <v>1</v>
      </c>
      <c r="H113" s="157">
        <f t="shared" si="11"/>
        <v>150.09</v>
      </c>
      <c r="I113" s="158">
        <v>0</v>
      </c>
      <c r="J113" s="158">
        <v>1</v>
      </c>
      <c r="K113" s="158">
        <v>0</v>
      </c>
      <c r="L113" s="159">
        <f t="shared" si="16"/>
        <v>150.09</v>
      </c>
      <c r="N113" s="182">
        <f t="shared" si="12"/>
        <v>1.8042</v>
      </c>
      <c r="P113" s="146">
        <f t="shared" si="13"/>
        <v>769796.43481654359</v>
      </c>
      <c r="Q113" s="89">
        <f t="shared" si="14"/>
        <v>2636.2891603306289</v>
      </c>
      <c r="S113" s="146">
        <v>734678.42207980365</v>
      </c>
      <c r="T113" s="89">
        <v>2516.0219934239849</v>
      </c>
      <c r="V113" s="90">
        <f t="shared" si="15"/>
        <v>4.7800522897248454E-2</v>
      </c>
      <c r="X113" s="48"/>
      <c r="Y113" s="48"/>
    </row>
    <row r="114" spans="2:26" ht="13.5" thickBot="1" x14ac:dyDescent="0.3">
      <c r="I114" s="3"/>
      <c r="S114" s="137"/>
      <c r="T114" s="137"/>
    </row>
    <row r="115" spans="2:26" ht="13.5" thickBot="1" x14ac:dyDescent="0.3">
      <c r="B115" s="50" t="s">
        <v>119</v>
      </c>
      <c r="C115" s="51"/>
      <c r="E115" s="52">
        <f>SUM(E14:E89)+SUM(E91:E113)</f>
        <v>11856.204999999998</v>
      </c>
      <c r="F115" s="35"/>
      <c r="G115" s="53"/>
      <c r="H115" s="35"/>
      <c r="I115" s="35"/>
      <c r="J115" s="35"/>
      <c r="K115" s="35"/>
      <c r="L115" s="54">
        <f>SUM(L14:L89)+SUM(L91:L113)</f>
        <v>8318.7000000000007</v>
      </c>
      <c r="N115" s="183">
        <f>SUM(N14:N89)+SUM(N91:N113)</f>
        <v>99.999800000000036</v>
      </c>
      <c r="P115" s="55">
        <f>SUM(P14:P89)+SUM(P91:P113)</f>
        <v>42666827.137993231</v>
      </c>
      <c r="Q115" s="56"/>
      <c r="S115" s="55">
        <v>22011445.05849319</v>
      </c>
      <c r="T115" s="56"/>
      <c r="X115" s="57">
        <f>SUM(X14:X89)</f>
        <v>1166659.7300000002</v>
      </c>
      <c r="Y115" s="58">
        <f>SUM(Y14:Y89)</f>
        <v>31476685.662463825</v>
      </c>
    </row>
    <row r="116" spans="2:26" x14ac:dyDescent="0.25">
      <c r="E116" s="204"/>
      <c r="F116" s="204"/>
      <c r="G116" s="59"/>
      <c r="H116" s="17"/>
      <c r="I116" s="60"/>
      <c r="J116" s="61"/>
      <c r="S116" s="4"/>
      <c r="T116" s="4"/>
    </row>
    <row r="117" spans="2:26" x14ac:dyDescent="0.25">
      <c r="E117" s="143"/>
      <c r="I117" s="3"/>
      <c r="Q117" s="62"/>
      <c r="R117" s="62"/>
      <c r="S117" s="138"/>
      <c r="T117" s="48"/>
      <c r="U117" s="62"/>
      <c r="V117" s="62"/>
      <c r="W117" s="62"/>
      <c r="Y117" s="17"/>
    </row>
    <row r="118" spans="2:26" x14ac:dyDescent="0.25">
      <c r="E118" s="165"/>
      <c r="H118" s="17"/>
      <c r="I118" s="17"/>
      <c r="P118" s="4" t="s">
        <v>120</v>
      </c>
      <c r="Q118" s="4">
        <f>SUM(L14:L89)</f>
        <v>6475.2200000000012</v>
      </c>
      <c r="Y118" s="17"/>
      <c r="Z118" s="17"/>
    </row>
    <row r="119" spans="2:26" x14ac:dyDescent="0.25">
      <c r="E119" s="165"/>
      <c r="P119" s="4" t="s">
        <v>121</v>
      </c>
      <c r="Q119" s="4">
        <f>SUM(L91:L113)</f>
        <v>1843.48</v>
      </c>
    </row>
    <row r="120" spans="2:26" x14ac:dyDescent="0.25">
      <c r="E120" s="165"/>
      <c r="P120" s="63" t="s">
        <v>122</v>
      </c>
      <c r="Q120" s="63">
        <f>Q118+Q119</f>
        <v>8318.7000000000007</v>
      </c>
      <c r="S120" s="64">
        <f>(Q120/Q118)-1</f>
        <v>0.28469766278211384</v>
      </c>
    </row>
    <row r="121" spans="2:26" x14ac:dyDescent="0.25">
      <c r="C121" s="205"/>
      <c r="D121" s="205"/>
      <c r="E121" s="205"/>
      <c r="F121" s="17"/>
    </row>
    <row r="122" spans="2:26" x14ac:dyDescent="0.25">
      <c r="E122" s="165"/>
    </row>
    <row r="123" spans="2:26" x14ac:dyDescent="0.25">
      <c r="C123" s="192"/>
      <c r="D123" s="192"/>
      <c r="E123" s="192"/>
    </row>
    <row r="124" spans="2:26" x14ac:dyDescent="0.25">
      <c r="E124" s="165"/>
      <c r="I124" s="65"/>
    </row>
    <row r="125" spans="2:26" x14ac:dyDescent="0.25">
      <c r="C125" s="192"/>
      <c r="D125" s="192"/>
      <c r="E125" s="192"/>
      <c r="F125" s="17"/>
      <c r="T125" s="23"/>
    </row>
    <row r="126" spans="2:26" x14ac:dyDescent="0.25">
      <c r="B126" s="1" t="s">
        <v>202</v>
      </c>
      <c r="E126" s="165"/>
      <c r="I126" s="65"/>
    </row>
    <row r="127" spans="2:26" x14ac:dyDescent="0.25">
      <c r="C127" s="192"/>
      <c r="D127" s="192"/>
      <c r="E127" s="192"/>
      <c r="F127" s="3"/>
    </row>
    <row r="129" spans="2:28" x14ac:dyDescent="0.25">
      <c r="F129" s="17"/>
    </row>
    <row r="132" spans="2:28" s="2" customFormat="1" x14ac:dyDescent="0.25">
      <c r="B132" s="1"/>
      <c r="C132" s="3"/>
      <c r="D132" s="1"/>
      <c r="E132" s="61"/>
      <c r="F132" s="1"/>
      <c r="H132" s="1"/>
      <c r="I132" s="1"/>
      <c r="J132" s="1"/>
      <c r="K132" s="1"/>
      <c r="L132" s="1"/>
      <c r="M132" s="1"/>
      <c r="N132" s="1"/>
      <c r="O132" s="1"/>
      <c r="P132" s="4"/>
      <c r="Q132" s="4"/>
      <c r="R132" s="1"/>
      <c r="S132" s="5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 s="2" customFormat="1" x14ac:dyDescent="0.25">
      <c r="B133" s="1"/>
      <c r="C133" s="1"/>
      <c r="D133" s="1"/>
      <c r="E133" s="1"/>
      <c r="F133" s="20"/>
      <c r="H133" s="1"/>
      <c r="I133" s="1"/>
      <c r="J133" s="1"/>
      <c r="K133" s="1"/>
      <c r="L133" s="1"/>
      <c r="M133" s="1"/>
      <c r="N133" s="1"/>
      <c r="O133" s="1"/>
      <c r="P133" s="4"/>
      <c r="Q133" s="4"/>
      <c r="R133" s="1"/>
      <c r="S133" s="5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 s="2" customFormat="1" x14ac:dyDescent="0.25">
      <c r="B134" s="1"/>
      <c r="C134" s="20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4"/>
      <c r="Q134" s="4"/>
      <c r="R134" s="1"/>
      <c r="S134" s="5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 s="2" customFormat="1" x14ac:dyDescent="0.25">
      <c r="B135" s="1"/>
      <c r="C135" s="66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4"/>
      <c r="Q135" s="4"/>
      <c r="R135" s="1"/>
      <c r="S135" s="5"/>
      <c r="T135" s="1"/>
      <c r="U135" s="1"/>
      <c r="V135" s="1"/>
      <c r="W135" s="1"/>
      <c r="X135" s="1"/>
      <c r="Y135" s="1"/>
      <c r="Z135" s="1"/>
      <c r="AA135" s="1"/>
      <c r="AB135" s="1"/>
    </row>
  </sheetData>
  <mergeCells count="8">
    <mergeCell ref="C125:E125"/>
    <mergeCell ref="C127:E127"/>
    <mergeCell ref="B2:M6"/>
    <mergeCell ref="S12:T12"/>
    <mergeCell ref="X12:Y12"/>
    <mergeCell ref="E116:F116"/>
    <mergeCell ref="C121:E121"/>
    <mergeCell ref="C123:E12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Premisas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locales desocupados</vt:lpstr>
      <vt:lpstr>Hoja1</vt:lpstr>
      <vt:lpstr>'locales desocupados'!Área_de_impresión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Rodriguez</dc:creator>
  <cp:lastModifiedBy>Debora Rodriguez</cp:lastModifiedBy>
  <cp:lastPrinted>2023-02-10T19:38:12Z</cp:lastPrinted>
  <dcterms:created xsi:type="dcterms:W3CDTF">2017-01-10T17:35:27Z</dcterms:created>
  <dcterms:modified xsi:type="dcterms:W3CDTF">2023-08-30T20:36:48Z</dcterms:modified>
</cp:coreProperties>
</file>