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abhishek.walia/Documents/Codes/github/kafka_broker_sizing/"/>
    </mc:Choice>
  </mc:AlternateContent>
  <xr:revisionPtr revIDLastSave="0" documentId="13_ncr:1_{39FAD3EF-E738-1246-9831-D97432D59AB0}" xr6:coauthVersionLast="45" xr6:coauthVersionMax="45" xr10:uidLastSave="{00000000-0000-0000-0000-000000000000}"/>
  <bookViews>
    <workbookView xWindow="240" yWindow="460" windowWidth="32760" windowHeight="19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6" i="1" l="1" a="1"/>
  <c r="A6" i="1" s="1"/>
  <c r="D24" i="1"/>
  <c r="E12" i="1"/>
  <c r="D14" i="1"/>
  <c r="D13" i="1"/>
  <c r="D22" i="1"/>
  <c r="D10" i="1"/>
  <c r="B20" i="1" l="1"/>
  <c r="J6" i="1" s="1"/>
  <c r="R15" i="1"/>
  <c r="D37" i="1"/>
  <c r="E37" i="1"/>
  <c r="F37" i="1"/>
  <c r="G37" i="1"/>
  <c r="H37" i="1"/>
  <c r="I37" i="1"/>
  <c r="J37" i="1"/>
  <c r="K37" i="1"/>
  <c r="L37" i="1"/>
  <c r="M37" i="1"/>
  <c r="N37" i="1"/>
  <c r="O37" i="1"/>
  <c r="P37" i="1"/>
  <c r="Q37" i="1"/>
  <c r="R37" i="1"/>
  <c r="S37" i="1"/>
  <c r="T37" i="1"/>
  <c r="U37" i="1"/>
  <c r="V37" i="1"/>
  <c r="W37" i="1"/>
  <c r="X37" i="1"/>
  <c r="Y37" i="1"/>
  <c r="Z37" i="1"/>
  <c r="AA37" i="1"/>
  <c r="AB37" i="1"/>
  <c r="AC37" i="1"/>
  <c r="AD37" i="1"/>
  <c r="AE37" i="1"/>
  <c r="AF37" i="1"/>
  <c r="AG37" i="1"/>
  <c r="AH37" i="1"/>
  <c r="AI37" i="1"/>
  <c r="AJ37" i="1"/>
  <c r="AK37" i="1"/>
  <c r="AL37" i="1"/>
  <c r="AM37" i="1"/>
  <c r="AN37" i="1"/>
  <c r="AO37" i="1"/>
  <c r="AP37" i="1"/>
  <c r="AQ37" i="1"/>
  <c r="AR37" i="1"/>
  <c r="AS37" i="1"/>
  <c r="AT37" i="1"/>
  <c r="AU37" i="1"/>
  <c r="AV37" i="1"/>
  <c r="AW37" i="1"/>
  <c r="AX37" i="1"/>
  <c r="AY37" i="1"/>
  <c r="AZ37" i="1"/>
  <c r="C37" i="1"/>
  <c r="H10" i="1"/>
  <c r="D31" i="1"/>
  <c r="D33" i="1" s="1"/>
  <c r="H11" i="1"/>
  <c r="H12" i="1"/>
  <c r="H13" i="1"/>
  <c r="H14" i="1"/>
  <c r="H15" i="1"/>
  <c r="B19" i="1"/>
  <c r="R12" i="1"/>
  <c r="R13" i="1" s="1"/>
  <c r="B23" i="1"/>
  <c r="B24" i="1"/>
  <c r="B25" i="1"/>
  <c r="B27" i="1"/>
  <c r="E31" i="1"/>
  <c r="E33" i="1" s="1"/>
  <c r="F31" i="1"/>
  <c r="F33" i="1" s="1"/>
  <c r="G31" i="1"/>
  <c r="G35" i="1" s="1"/>
  <c r="H31" i="1"/>
  <c r="H35" i="1" s="1"/>
  <c r="I31" i="1"/>
  <c r="I33" i="1" s="1"/>
  <c r="J31" i="1"/>
  <c r="J33" i="1" s="1"/>
  <c r="K31" i="1"/>
  <c r="K36" i="1" s="1"/>
  <c r="L31" i="1"/>
  <c r="L33" i="1" s="1"/>
  <c r="M31" i="1"/>
  <c r="M36" i="1" s="1"/>
  <c r="N31" i="1"/>
  <c r="N35" i="1" s="1"/>
  <c r="O31" i="1"/>
  <c r="O33" i="1" s="1"/>
  <c r="P31" i="1"/>
  <c r="P35" i="1" s="1"/>
  <c r="Q31" i="1"/>
  <c r="Q35" i="1" s="1"/>
  <c r="R31" i="1"/>
  <c r="R35" i="1" s="1"/>
  <c r="S31" i="1"/>
  <c r="S36" i="1" s="1"/>
  <c r="T31" i="1"/>
  <c r="T33" i="1" s="1"/>
  <c r="U31" i="1"/>
  <c r="U33" i="1" s="1"/>
  <c r="V31" i="1"/>
  <c r="V33" i="1" s="1"/>
  <c r="W31" i="1"/>
  <c r="W33" i="1" s="1"/>
  <c r="X31" i="1"/>
  <c r="X33" i="1" s="1"/>
  <c r="Y31" i="1"/>
  <c r="Y36" i="1" s="1"/>
  <c r="Z31" i="1"/>
  <c r="Z35" i="1" s="1"/>
  <c r="AA31" i="1"/>
  <c r="AA36" i="1" s="1"/>
  <c r="AB31" i="1"/>
  <c r="AB33" i="1" s="1"/>
  <c r="AC31" i="1"/>
  <c r="AC33" i="1" s="1"/>
  <c r="AD31" i="1"/>
  <c r="AD33" i="1" s="1"/>
  <c r="AE31" i="1"/>
  <c r="AE33" i="1" s="1"/>
  <c r="AF31" i="1"/>
  <c r="AF33" i="1" s="1"/>
  <c r="AG31" i="1"/>
  <c r="AG33" i="1" s="1"/>
  <c r="AH31" i="1"/>
  <c r="AH33" i="1" s="1"/>
  <c r="AI31" i="1"/>
  <c r="AI33" i="1" s="1"/>
  <c r="AJ31" i="1"/>
  <c r="AJ33" i="1" s="1"/>
  <c r="AK31" i="1"/>
  <c r="AK36" i="1" s="1"/>
  <c r="AL31" i="1"/>
  <c r="AL35" i="1" s="1"/>
  <c r="AM31" i="1"/>
  <c r="AM36" i="1" s="1"/>
  <c r="AN31" i="1"/>
  <c r="AN33" i="1" s="1"/>
  <c r="AO31" i="1"/>
  <c r="AO33" i="1" s="1"/>
  <c r="AP31" i="1"/>
  <c r="AP36" i="1" s="1"/>
  <c r="AQ31" i="1"/>
  <c r="AQ36" i="1" s="1"/>
  <c r="AR31" i="1"/>
  <c r="AR35" i="1" s="1"/>
  <c r="AS31" i="1"/>
  <c r="AS33" i="1" s="1"/>
  <c r="AT31" i="1"/>
  <c r="AT33" i="1" s="1"/>
  <c r="AU31" i="1"/>
  <c r="AU36" i="1" s="1"/>
  <c r="AV31" i="1"/>
  <c r="AV33" i="1" s="1"/>
  <c r="AW31" i="1"/>
  <c r="AW35" i="1" s="1"/>
  <c r="AX31" i="1"/>
  <c r="AX35" i="1" s="1"/>
  <c r="AY31" i="1"/>
  <c r="AY33" i="1" s="1"/>
  <c r="AZ31" i="1"/>
  <c r="AZ33" i="1" s="1"/>
  <c r="C32" i="1"/>
  <c r="C34" i="1" s="1"/>
  <c r="D32" i="1"/>
  <c r="D34" i="1" s="1"/>
  <c r="E32" i="1"/>
  <c r="E34" i="1" s="1"/>
  <c r="F32" i="1"/>
  <c r="F34" i="1" s="1"/>
  <c r="G32" i="1"/>
  <c r="G34" i="1" s="1"/>
  <c r="H32" i="1"/>
  <c r="H34" i="1" s="1"/>
  <c r="I32" i="1"/>
  <c r="I34" i="1" s="1"/>
  <c r="J32" i="1"/>
  <c r="J34" i="1" s="1"/>
  <c r="K32" i="1"/>
  <c r="K34" i="1" s="1"/>
  <c r="L32" i="1"/>
  <c r="L34" i="1" s="1"/>
  <c r="M32" i="1"/>
  <c r="M34" i="1" s="1"/>
  <c r="N32" i="1"/>
  <c r="N34" i="1" s="1"/>
  <c r="O32" i="1"/>
  <c r="O34" i="1" s="1"/>
  <c r="P32" i="1"/>
  <c r="P34" i="1" s="1"/>
  <c r="Q32" i="1"/>
  <c r="Q34" i="1" s="1"/>
  <c r="R32" i="1"/>
  <c r="R34" i="1" s="1"/>
  <c r="S32" i="1"/>
  <c r="S34" i="1" s="1"/>
  <c r="T32" i="1"/>
  <c r="T34" i="1" s="1"/>
  <c r="U32" i="1"/>
  <c r="U34" i="1" s="1"/>
  <c r="V32" i="1"/>
  <c r="V34" i="1" s="1"/>
  <c r="W32" i="1"/>
  <c r="W34" i="1" s="1"/>
  <c r="X32" i="1"/>
  <c r="X34" i="1" s="1"/>
  <c r="Y32" i="1"/>
  <c r="Y34" i="1" s="1"/>
  <c r="Z32" i="1"/>
  <c r="Z34" i="1" s="1"/>
  <c r="AA32" i="1"/>
  <c r="AA34" i="1" s="1"/>
  <c r="AB32" i="1"/>
  <c r="AB34" i="1" s="1"/>
  <c r="AC32" i="1"/>
  <c r="AC34" i="1" s="1"/>
  <c r="AD32" i="1"/>
  <c r="AD34" i="1" s="1"/>
  <c r="AE32" i="1"/>
  <c r="AE34" i="1" s="1"/>
  <c r="AF32" i="1"/>
  <c r="AF34" i="1" s="1"/>
  <c r="AG32" i="1"/>
  <c r="AG34" i="1" s="1"/>
  <c r="AH32" i="1"/>
  <c r="AH34" i="1" s="1"/>
  <c r="AI32" i="1"/>
  <c r="AI34" i="1" s="1"/>
  <c r="AJ32" i="1"/>
  <c r="AJ34" i="1" s="1"/>
  <c r="AK32" i="1"/>
  <c r="AK34" i="1" s="1"/>
  <c r="AL32" i="1"/>
  <c r="AL34" i="1" s="1"/>
  <c r="AM32" i="1"/>
  <c r="AM34" i="1" s="1"/>
  <c r="AN32" i="1"/>
  <c r="AN34" i="1" s="1"/>
  <c r="AO32" i="1"/>
  <c r="AO34" i="1" s="1"/>
  <c r="AP32" i="1"/>
  <c r="AP34" i="1" s="1"/>
  <c r="AQ32" i="1"/>
  <c r="AQ34" i="1" s="1"/>
  <c r="AR32" i="1"/>
  <c r="AR34" i="1" s="1"/>
  <c r="AS32" i="1"/>
  <c r="AS34" i="1" s="1"/>
  <c r="AT32" i="1"/>
  <c r="AT34" i="1" s="1"/>
  <c r="AU32" i="1"/>
  <c r="AU34" i="1" s="1"/>
  <c r="AV32" i="1"/>
  <c r="AV34" i="1" s="1"/>
  <c r="AW32" i="1"/>
  <c r="AW34" i="1" s="1"/>
  <c r="AX32" i="1"/>
  <c r="AX34" i="1" s="1"/>
  <c r="AY32" i="1"/>
  <c r="AZ32" i="1"/>
  <c r="AZ34" i="1" s="1"/>
  <c r="R33" i="1"/>
  <c r="AY34" i="1"/>
  <c r="AV36" i="1"/>
  <c r="AX36" i="1"/>
  <c r="B22" i="1"/>
  <c r="AJ36" i="1" l="1"/>
  <c r="R36" i="1"/>
  <c r="Q36" i="1"/>
  <c r="T36" i="1"/>
  <c r="E35" i="1"/>
  <c r="P36" i="1"/>
  <c r="N36" i="1"/>
  <c r="K33" i="1"/>
  <c r="L36" i="1"/>
  <c r="H33" i="1"/>
  <c r="AZ36" i="1"/>
  <c r="AA35" i="1"/>
  <c r="AU33" i="1"/>
  <c r="O36" i="1"/>
  <c r="AY36" i="1"/>
  <c r="AP35" i="1"/>
  <c r="AO35" i="1"/>
  <c r="AQ35" i="1"/>
  <c r="AE36" i="1"/>
  <c r="AG35" i="1"/>
  <c r="AD36" i="1"/>
  <c r="AF35" i="1"/>
  <c r="T35" i="1"/>
  <c r="AQ33" i="1"/>
  <c r="AP33" i="1"/>
  <c r="S35" i="1"/>
  <c r="AL36" i="1"/>
  <c r="H36" i="1"/>
  <c r="I35" i="1"/>
  <c r="AA33" i="1"/>
  <c r="AR33" i="1"/>
  <c r="B37" i="1"/>
  <c r="G12" i="1" s="1"/>
  <c r="L6" i="1" s="1"/>
  <c r="AR36" i="1"/>
  <c r="AS35" i="1"/>
  <c r="U35" i="1"/>
  <c r="AF36" i="1"/>
  <c r="F35" i="1"/>
  <c r="S33" i="1"/>
  <c r="B32" i="1"/>
  <c r="L11" i="1" s="1"/>
  <c r="AC36" i="1"/>
  <c r="AM35" i="1"/>
  <c r="Z36" i="1"/>
  <c r="F36" i="1"/>
  <c r="O35" i="1"/>
  <c r="Q33" i="1"/>
  <c r="P33" i="1"/>
  <c r="X36" i="1"/>
  <c r="AE35" i="1"/>
  <c r="AN35" i="1"/>
  <c r="AB36" i="1"/>
  <c r="AO36" i="1"/>
  <c r="E36" i="1"/>
  <c r="AN36" i="1"/>
  <c r="AZ35" i="1"/>
  <c r="AD35" i="1"/>
  <c r="G33" i="1"/>
  <c r="G36" i="1"/>
  <c r="AM33" i="1"/>
  <c r="AY35" i="1"/>
  <c r="AC35" i="1"/>
  <c r="AB35" i="1"/>
  <c r="B34" i="1"/>
  <c r="L13" i="1" s="1"/>
  <c r="AT36" i="1"/>
  <c r="AH36" i="1"/>
  <c r="V36" i="1"/>
  <c r="J36" i="1"/>
  <c r="AU35" i="1"/>
  <c r="AI35" i="1"/>
  <c r="W35" i="1"/>
  <c r="K35" i="1"/>
  <c r="AW33" i="1"/>
  <c r="AK33" i="1"/>
  <c r="Y33" i="1"/>
  <c r="M33" i="1"/>
  <c r="AK35" i="1"/>
  <c r="Y35" i="1"/>
  <c r="M35" i="1"/>
  <c r="AI36" i="1"/>
  <c r="W36" i="1"/>
  <c r="AV35" i="1"/>
  <c r="AJ35" i="1"/>
  <c r="X35" i="1"/>
  <c r="L35" i="1"/>
  <c r="AX33" i="1"/>
  <c r="AL33" i="1"/>
  <c r="Z33" i="1"/>
  <c r="N33" i="1"/>
  <c r="D35" i="1"/>
  <c r="AS36" i="1"/>
  <c r="AG36" i="1"/>
  <c r="U36" i="1"/>
  <c r="I36" i="1"/>
  <c r="AT35" i="1"/>
  <c r="AH35" i="1"/>
  <c r="V35" i="1"/>
  <c r="J35" i="1"/>
  <c r="C31" i="1"/>
  <c r="D36" i="1"/>
  <c r="R14" i="1"/>
  <c r="R11" i="1" s="1"/>
  <c r="AW36" i="1"/>
  <c r="C33" i="1" l="1"/>
  <c r="B33" i="1" s="1"/>
  <c r="L12" i="1" s="1"/>
  <c r="C35" i="1"/>
  <c r="B35" i="1" s="1"/>
  <c r="L14" i="1" s="1"/>
  <c r="H6" i="1" s="1"/>
  <c r="C36" i="1"/>
  <c r="B36" i="1" s="1"/>
  <c r="L15" i="1" s="1"/>
  <c r="B31" i="1"/>
  <c r="L10" i="1" s="1"/>
  <c r="F6" i="1" l="1"/>
  <c r="B6" i="1"/>
  <c r="A5" i="1" s="1"/>
  <c r="D6" i="1"/>
  <c r="G13" i="1" l="1"/>
  <c r="R9" i="1"/>
  <c r="R10" i="1" s="1"/>
  <c r="L1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10" authorId="0" shapeId="0" xr:uid="{00000000-0006-0000-0000-000001000000}">
      <text>
        <r>
          <rPr>
            <b/>
            <sz val="10"/>
            <color rgb="FF000000"/>
            <rFont val="Tahoma"/>
            <family val="2"/>
          </rPr>
          <t>What is the size of the disks attached per broker for logs.dir</t>
        </r>
        <r>
          <rPr>
            <sz val="10"/>
            <color rgb="FF000000"/>
            <rFont val="Tahoma"/>
            <family val="2"/>
          </rPr>
          <t xml:space="preserve">
</t>
        </r>
      </text>
    </comment>
    <comment ref="E10" authorId="0" shapeId="0" xr:uid="{00000000-0006-0000-0000-00000C000000}">
      <text>
        <r>
          <rPr>
            <sz val="10"/>
            <color rgb="FF000000"/>
            <rFont val="Tahoma"/>
            <family val="2"/>
          </rPr>
          <t>These are recommendations for the number of replica assignment per broker.</t>
        </r>
      </text>
    </comment>
    <comment ref="B11" authorId="0" shapeId="0" xr:uid="{00000000-0006-0000-0000-000002000000}">
      <text>
        <r>
          <rPr>
            <b/>
            <sz val="10"/>
            <color rgb="FF000000"/>
            <rFont val="Tahoma"/>
            <family val="2"/>
          </rPr>
          <t>What is the average ingestion rate for the disk attached. This question will need some assessments before installing anything. The sustained throughput is what matters. Burst throughput could probably be much higher, but once the data pipe is established , it saturates and slows down to the actual disk throughput.</t>
        </r>
        <r>
          <rPr>
            <sz val="10"/>
            <color rgb="FF000000"/>
            <rFont val="Tahoma"/>
            <family val="2"/>
          </rPr>
          <t xml:space="preserve">
</t>
        </r>
      </text>
    </comment>
    <comment ref="E11" authorId="0" shapeId="0" xr:uid="{00000000-0006-0000-0000-00000D000000}">
      <text>
        <r>
          <rPr>
            <b/>
            <sz val="10"/>
            <color rgb="FF000000"/>
            <rFont val="Tahoma"/>
            <family val="2"/>
          </rPr>
          <t xml:space="preserve">This is the total number of replicas per cluster for a steady state of operations. Going more than this number can cause issues in case of controller failures. Please refere here for more details :
</t>
        </r>
        <r>
          <rPr>
            <b/>
            <sz val="10"/>
            <color rgb="FF000000"/>
            <rFont val="Tahoma"/>
            <family val="2"/>
          </rPr>
          <t xml:space="preserve">
</t>
        </r>
        <r>
          <rPr>
            <sz val="10"/>
            <color rgb="FF000000"/>
            <rFont val="Tahoma"/>
            <family val="2"/>
          </rPr>
          <t xml:space="preserve">https://www.confluent.io/blog/apache-kafka-supports-200k-partitions-per-cluster/
</t>
        </r>
        <r>
          <rPr>
            <sz val="10"/>
            <color rgb="FF000000"/>
            <rFont val="Tahoma"/>
            <family val="2"/>
          </rPr>
          <t xml:space="preserve">
</t>
        </r>
      </text>
    </comment>
    <comment ref="R11" authorId="0" shapeId="0" xr:uid="{00000000-0006-0000-0000-000003000000}">
      <text>
        <r>
          <rPr>
            <b/>
            <sz val="10"/>
            <color rgb="FF000000"/>
            <rFont val="Tahoma"/>
            <family val="2"/>
          </rPr>
          <t xml:space="preserve">This is the minimum value that should be put everywhere for this property considering your configurations provided above. </t>
        </r>
        <r>
          <rPr>
            <sz val="10"/>
            <color rgb="FF000000"/>
            <rFont val="Tahoma"/>
            <family val="2"/>
          </rPr>
          <t xml:space="preserve">
</t>
        </r>
        <r>
          <rPr>
            <b/>
            <sz val="10"/>
            <color rgb="FF000000"/>
            <rFont val="Tahoma"/>
            <family val="2"/>
          </rPr>
          <t>Putting the property value any less than this would quite possibly error out.</t>
        </r>
      </text>
    </comment>
    <comment ref="B12" authorId="0" shapeId="0" xr:uid="{00000000-0006-0000-0000-000004000000}">
      <text>
        <r>
          <rPr>
            <b/>
            <sz val="10"/>
            <color rgb="FF000000"/>
            <rFont val="Tahoma"/>
            <family val="2"/>
          </rPr>
          <t xml:space="preserve">How much is the max amount of disk capacity that you would actually wanna fill up leaving the rest as reserved disk space for steady state ops.
</t>
        </r>
        <r>
          <rPr>
            <b/>
            <sz val="10"/>
            <color rgb="FF000000"/>
            <rFont val="Tahoma"/>
            <family val="2"/>
          </rPr>
          <t xml:space="preserve">
</t>
        </r>
        <r>
          <rPr>
            <sz val="10"/>
            <color rgb="FF000000"/>
            <rFont val="Tahoma"/>
            <family val="2"/>
          </rPr>
          <t xml:space="preserve">
</t>
        </r>
      </text>
    </comment>
    <comment ref="R12" authorId="0" shapeId="0" xr:uid="{00000000-0006-0000-0000-000005000000}">
      <text>
        <r>
          <rPr>
            <b/>
            <sz val="10"/>
            <color rgb="FF000000"/>
            <rFont val="Calibri"/>
            <family val="2"/>
          </rPr>
          <t xml:space="preserve">This value is recommended on the broker side to prevent any errors at broker side due to message size </t>
        </r>
      </text>
    </comment>
    <comment ref="B13" authorId="0" shapeId="0" xr:uid="{00000000-0006-0000-0000-000006000000}">
      <text>
        <r>
          <rPr>
            <b/>
            <sz val="10"/>
            <color rgb="FF000000"/>
            <rFont val="Tahoma"/>
            <family val="2"/>
          </rPr>
          <t xml:space="preserve">The Inbound and Outbound Network links are segregated in case the broker machine has 2 NIC cards. One is used for Ingress and the other for Egress. 
</t>
        </r>
        <r>
          <rPr>
            <b/>
            <sz val="10"/>
            <color rgb="FF000000"/>
            <rFont val="Tahoma"/>
            <family val="2"/>
          </rPr>
          <t xml:space="preserve">
</t>
        </r>
        <r>
          <rPr>
            <b/>
            <sz val="10"/>
            <color rgb="FF000000"/>
            <rFont val="Tahoma"/>
            <family val="2"/>
          </rPr>
          <t xml:space="preserve">In case of a single NIC, you can put half the capacity here and the other half in the next box.
</t>
        </r>
        <r>
          <rPr>
            <sz val="10"/>
            <color rgb="FF000000"/>
            <rFont val="Tahoma"/>
            <family val="2"/>
          </rPr>
          <t xml:space="preserve">
</t>
        </r>
      </text>
    </comment>
    <comment ref="R13" authorId="0" shapeId="0" xr:uid="{00000000-0006-0000-0000-000007000000}">
      <text>
        <r>
          <rPr>
            <b/>
            <sz val="10"/>
            <color indexed="8"/>
            <rFont val="Calibri"/>
            <family val="2"/>
          </rPr>
          <t xml:space="preserve">This value is recommended on the broker side to prevent any errors at broker side due to message size </t>
        </r>
      </text>
    </comment>
    <comment ref="B14" authorId="0" shapeId="0" xr:uid="{00000000-0006-0000-0000-000008000000}">
      <text>
        <r>
          <rPr>
            <b/>
            <sz val="10"/>
            <color rgb="FF000000"/>
            <rFont val="Tahoma"/>
            <family val="2"/>
          </rPr>
          <t xml:space="preserve">Read above
</t>
        </r>
      </text>
    </comment>
    <comment ref="Q14" authorId="0" shapeId="0" xr:uid="{00000000-0006-0000-0000-000009000000}">
      <text>
        <r>
          <rPr>
            <b/>
            <sz val="10"/>
            <color rgb="FF000000"/>
            <rFont val="Tahoma"/>
            <family val="2"/>
          </rPr>
          <t xml:space="preserve">Put the minimum number of messages you would want to be present per batch (given enough throughput) considering the data provided in row 22.
</t>
        </r>
        <r>
          <rPr>
            <b/>
            <sz val="10"/>
            <color rgb="FF000000"/>
            <rFont val="Tahoma"/>
            <family val="2"/>
          </rPr>
          <t xml:space="preserve">
</t>
        </r>
        <r>
          <rPr>
            <b/>
            <sz val="10"/>
            <color rgb="FF000000"/>
            <rFont val="Tahoma"/>
            <family val="2"/>
          </rPr>
          <t xml:space="preserve">P.S: Put atleast 1.
</t>
        </r>
      </text>
    </comment>
    <comment ref="B15" authorId="0" shapeId="0" xr:uid="{00000000-0006-0000-0000-00000A000000}">
      <text>
        <r>
          <rPr>
            <b/>
            <sz val="10"/>
            <color rgb="FF000000"/>
            <rFont val="Tahoma"/>
            <family val="2"/>
          </rPr>
          <t xml:space="preserve">How saturated do you want your network to be at steady state of operations ?
</t>
        </r>
      </text>
    </comment>
    <comment ref="Q15" authorId="0" shapeId="0" xr:uid="{00000000-0006-0000-0000-00000B000000}">
      <text>
        <r>
          <rPr>
            <b/>
            <sz val="10"/>
            <color rgb="FF000000"/>
            <rFont val="Tahoma"/>
            <family val="2"/>
          </rPr>
          <t xml:space="preserve">How many messages you would want in a batch if batch is not full and the through put is not enough? The linger time will be calculated accordingly.
</t>
        </r>
        <r>
          <rPr>
            <b/>
            <sz val="10"/>
            <color rgb="FF000000"/>
            <rFont val="Tahoma"/>
            <family val="2"/>
          </rPr>
          <t xml:space="preserve">
</t>
        </r>
        <r>
          <rPr>
            <b/>
            <sz val="10"/>
            <color rgb="FF000000"/>
            <rFont val="Tahoma"/>
            <family val="2"/>
          </rPr>
          <t xml:space="preserve">P.S: Put atleast 1.
</t>
        </r>
      </text>
    </comment>
    <comment ref="C18" authorId="0" shapeId="0" xr:uid="{00000000-0006-0000-0000-00000E000000}">
      <text>
        <r>
          <rPr>
            <b/>
            <sz val="10"/>
            <color rgb="FF000000"/>
            <rFont val="Tahoma"/>
            <family val="2"/>
          </rPr>
          <t xml:space="preserve">You can keep adding more topic details in row 18 thru 28 for various different types of topics.
</t>
        </r>
        <r>
          <rPr>
            <sz val="10"/>
            <color rgb="FF000000"/>
            <rFont val="Tahoma"/>
            <family val="2"/>
          </rPr>
          <t xml:space="preserve">
</t>
        </r>
        <r>
          <rPr>
            <sz val="10"/>
            <color rgb="FF000000"/>
            <rFont val="Tahoma"/>
            <family val="2"/>
          </rPr>
          <t xml:space="preserve">Remember , its "type" of topics , not every topic. If topics share similar stats, just add the multiplicative factor on Row 27 for that. 
</t>
        </r>
        <r>
          <rPr>
            <sz val="10"/>
            <color rgb="FF000000"/>
            <rFont val="Tahoma"/>
            <family val="2"/>
          </rPr>
          <t xml:space="preserve">
</t>
        </r>
        <r>
          <rPr>
            <sz val="10"/>
            <color rgb="FF000000"/>
            <rFont val="Tahoma"/>
            <family val="2"/>
          </rPr>
          <t xml:space="preserve">Just use the next empty column to add more types of topics in the sheet. Its configured till AZ column to calculate data.
</t>
        </r>
      </text>
    </comment>
    <comment ref="A19" authorId="0" shapeId="0" xr:uid="{00000000-0006-0000-0000-00000F000000}">
      <text>
        <r>
          <rPr>
            <b/>
            <sz val="10"/>
            <color indexed="8"/>
            <rFont val="Tahoma"/>
            <family val="2"/>
          </rPr>
          <t xml:space="preserve">Partition Count per topic 
</t>
        </r>
      </text>
    </comment>
    <comment ref="A22" authorId="0" shapeId="0" xr:uid="{00000000-0006-0000-0000-000010000000}">
      <text>
        <r>
          <rPr>
            <b/>
            <sz val="10"/>
            <color indexed="8"/>
            <rFont val="Tahoma"/>
            <family val="2"/>
          </rPr>
          <t xml:space="preserve">Average message size in Bytes
</t>
        </r>
      </text>
    </comment>
    <comment ref="A23" authorId="0" shapeId="0" xr:uid="{00000000-0006-0000-0000-000011000000}">
      <text>
        <r>
          <rPr>
            <b/>
            <sz val="10"/>
            <color indexed="8"/>
            <rFont val="Tahoma"/>
            <family val="2"/>
          </rPr>
          <t xml:space="preserve">Number of messages expected for the topic at a cluster level on per second basis
</t>
        </r>
      </text>
    </comment>
    <comment ref="A24" authorId="0" shapeId="0" xr:uid="{00000000-0006-0000-0000-000012000000}">
      <text>
        <r>
          <rPr>
            <b/>
            <sz val="10"/>
            <color indexed="8"/>
            <rFont val="Tahoma"/>
            <family val="2"/>
          </rPr>
          <t xml:space="preserve">The Peak values are expected for quick calculation about the Peak Ingress into the Cluster and Peak Egress from the cluster. This currently does not factor into the Capacity planning equation. It presented and calculated for your consideration purposes. 
The number can be copy pasted from the avg size and count if the peak is not expected to be drastically different.
</t>
        </r>
      </text>
    </comment>
    <comment ref="A25" authorId="0" shapeId="0" xr:uid="{00000000-0006-0000-0000-000013000000}">
      <text>
        <r>
          <rPr>
            <b/>
            <sz val="10"/>
            <color indexed="8"/>
            <rFont val="Tahoma"/>
            <family val="2"/>
          </rPr>
          <t xml:space="preserve">Same as the one above
</t>
        </r>
      </text>
    </comment>
    <comment ref="A26" authorId="0" shapeId="0" xr:uid="{00000000-0006-0000-0000-000014000000}">
      <text>
        <r>
          <rPr>
            <b/>
            <sz val="10"/>
            <color indexed="8"/>
            <rFont val="Tahoma"/>
            <family val="2"/>
          </rPr>
          <t>The total number of consumer groups that will be reading from these topics. Please include replicators, connectors or any other custom groups that you may have for reliable calculations.</t>
        </r>
      </text>
    </comment>
    <comment ref="A27" authorId="0" shapeId="0" xr:uid="{00000000-0006-0000-0000-000015000000}">
      <text>
        <r>
          <rPr>
            <b/>
            <sz val="10"/>
            <color indexed="8"/>
            <rFont val="Tahoma"/>
            <family val="2"/>
          </rPr>
          <t xml:space="preserve">Considering the properties of the topic above , how many other topics with the same configuration can be expected in the cluster. (Multiplicative factor)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<sst xmlns="http://schemas.openxmlformats.org/spreadsheetml/2006/main" count="52" uniqueCount="52">
  <si>
    <t>Topic Name</t>
  </si>
  <si>
    <t>Replication Factor</t>
  </si>
  <si>
    <t>A</t>
  </si>
  <si>
    <t>Capacity planning</t>
  </si>
  <si>
    <t>Broker Size Details</t>
  </si>
  <si>
    <t>Aggregate Totals
Do Not Edit</t>
  </si>
  <si>
    <t>Legend</t>
  </si>
  <si>
    <t>Labels</t>
  </si>
  <si>
    <t>Calculated Output</t>
  </si>
  <si>
    <t>Numbers at a glance</t>
  </si>
  <si>
    <t>Disk Size per Broker (GB)</t>
  </si>
  <si>
    <t>Overall Disk Capacity required (GB)</t>
  </si>
  <si>
    <t>Total Retention time (Hours)</t>
  </si>
  <si>
    <t>Avg Incoming Msg Size (Bytes)</t>
  </si>
  <si>
    <t>Peak Incoming Message Size (Bytes)</t>
  </si>
  <si>
    <t>Peak Incoming Messages (count/sec)</t>
  </si>
  <si>
    <t>Avg Incoming Messages (count/sec)</t>
  </si>
  <si>
    <t>Total Consumer Groups (count)</t>
  </si>
  <si>
    <t>Topics With Same stats (count)</t>
  </si>
  <si>
    <t>B</t>
  </si>
  <si>
    <t>Disk Throughput per Broker (MBps)</t>
  </si>
  <si>
    <t>Network link Inbound per Broker (MBps)</t>
  </si>
  <si>
    <t>Avg Ingress into Cluster (MBps)</t>
  </si>
  <si>
    <t>Peak Ingress into Cluster (MBps)</t>
  </si>
  <si>
    <t>Avg Egress from Cluster (MBps)</t>
  </si>
  <si>
    <t>Peak Egress from Cluster (MBps)</t>
  </si>
  <si>
    <t>Inter broker Replication Bandwidth (MBps)</t>
  </si>
  <si>
    <t>Partition Count</t>
  </si>
  <si>
    <t>Total Partition Count Incl. Replicas</t>
  </si>
  <si>
    <t>Values Needed as Input</t>
  </si>
  <si>
    <t>Recommended Broker Count</t>
  </si>
  <si>
    <t>Max Leader Partitions per Broker</t>
  </si>
  <si>
    <t>Max Fetcher Partitions per Broker</t>
  </si>
  <si>
    <t>batch.size</t>
  </si>
  <si>
    <t>linger.ms</t>
  </si>
  <si>
    <t>max.request.size</t>
  </si>
  <si>
    <t>message.max.bytes</t>
  </si>
  <si>
    <t>buffer.memory</t>
  </si>
  <si>
    <t xml:space="preserve">Combined N/W traffic based broker count </t>
  </si>
  <si>
    <t>Replication Factor based Broker Count</t>
  </si>
  <si>
    <t>High Watermark for Disk Size (%age)</t>
  </si>
  <si>
    <t>N/W link Outbound per Broker (MBps)</t>
  </si>
  <si>
    <t>Watermark for N/W Bandwidth (%age)</t>
  </si>
  <si>
    <t>Broker Replica Count Soft Limit</t>
  </si>
  <si>
    <t>Total Replica Count Soft Limit</t>
  </si>
  <si>
    <t>Broker Replica Count Soft Limit based broker count</t>
  </si>
  <si>
    <t>Disk Capacity Based broker count</t>
  </si>
  <si>
    <t xml:space="preserve">N/W Inbound Traffic based broker count </t>
  </si>
  <si>
    <t xml:space="preserve">Disk Throughput based broker count </t>
  </si>
  <si>
    <t>Max Partition Count Per Broker</t>
  </si>
  <si>
    <t>Replica Distribution</t>
  </si>
  <si>
    <t>Disk usage per broker (GB)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</si>
</sst>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0"/>
      <color indexed="8"/>
      <name val="Tahoma"/>
      <family val="2"/>
    </font>
    <font>
      <b/>
      <sz val="10"/>
      <color indexed="8"/>
      <name val="Calibri"/>
      <family val="2"/>
    </font>
    <font>
      <b/>
      <sz val="12"/>
      <color theme="1"/>
      <name val="Calibri"/>
      <family val="2"/>
      <scheme val="minor"/>
    </font>
    <font>
      <sz val="12"/>
      <color rgb="FF000000"/>
      <name val="Calibri"/>
      <family val="2"/>
      <scheme val="minor"/>
    </font>
    <font>
      <sz val="24"/>
      <color theme="1"/>
      <name val="Calibri"/>
      <family val="2"/>
      <scheme val="minor"/>
    </font>
    <font>
      <b/>
      <sz val="16"/>
      <color theme="1"/>
      <name val="Calibri"/>
      <family val="2"/>
      <scheme val="minor"/>
    </font>
    <font>
      <b/>
      <sz val="14"/>
      <color theme="1"/>
      <name val="Calibri"/>
      <family val="2"/>
      <scheme val="minor"/>
    </font>
    <font>
      <sz val="16"/>
      <color theme="1"/>
      <name val="Calibri"/>
      <family val="2"/>
      <scheme val="minor"/>
    </font>
    <font>
      <b/>
      <sz val="10"/>
      <color rgb="FF000000"/>
      <name val="Tahoma"/>
      <family val="2"/>
    </font>
    <font>
      <sz val="10"/>
      <color rgb="FF000000"/>
      <name val="Tahoma"/>
      <family val="2"/>
    </font>
    <font>
      <b/>
      <sz val="10"/>
      <color rgb="FF000000"/>
      <name val="Calibri"/>
      <family val="2"/>
    </font>
  </fonts>
  <fills count="5">
    <fill>
      <patternFill patternType="none"/>
    </fill>
    <fill>
      <patternFill patternType="gray125"/>
    </fill>
    <fill>
      <patternFill patternType="solid">
        <fgColor theme="4" tint="0.79998168889431442"/>
        <bgColor indexed="64"/>
      </patternFill>
    </fill>
    <fill>
      <patternFill patternType="solid">
        <fgColor theme="9" tint="0.39997558519241921"/>
        <bgColor indexed="64"/>
      </patternFill>
    </fill>
    <fill>
      <patternFill patternType="solid">
        <fgColor theme="5"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9">
    <xf numFmtId="0" fontId="0" fillId="0" borderId="0" xfId="0"/>
    <xf numFmtId="0" fontId="0" fillId="0" borderId="0" xfId="0" applyAlignment="1">
      <alignment horizontal="center"/>
    </xf>
    <xf numFmtId="0" fontId="4" fillId="0" borderId="0" xfId="0" applyFont="1"/>
    <xf numFmtId="0" fontId="0" fillId="2" borderId="0" xfId="0" applyFill="1"/>
    <xf numFmtId="0" fontId="0" fillId="3" borderId="1" xfId="0" applyFill="1" applyBorder="1"/>
    <xf numFmtId="0" fontId="0" fillId="4" borderId="1" xfId="0" applyFill="1" applyBorder="1"/>
    <xf numFmtId="0" fontId="0" fillId="2" borderId="1" xfId="0" applyFill="1" applyBorder="1" applyAlignment="1">
      <alignment horizontal="center" vertical="center" wrapText="1"/>
    </xf>
    <xf numFmtId="0" fontId="0" fillId="0" borderId="0" xfId="0" applyAlignment="1">
      <alignment horizontal="center" vertical="center"/>
    </xf>
    <xf numFmtId="0" fontId="0" fillId="2" borderId="2" xfId="0" applyFill="1" applyBorder="1" applyAlignment="1">
      <alignment horizontal="center" vertical="center" wrapText="1"/>
    </xf>
    <xf numFmtId="0" fontId="5" fillId="3" borderId="1" xfId="0" applyFont="1" applyFill="1" applyBorder="1" applyAlignment="1">
      <alignment horizontal="center"/>
    </xf>
    <xf numFmtId="0" fontId="0" fillId="3" borderId="2" xfId="0" applyFill="1" applyBorder="1"/>
    <xf numFmtId="0" fontId="0" fillId="4" borderId="3" xfId="0" applyFill="1" applyBorder="1" applyAlignment="1">
      <alignment horizontal="center" vertical="center"/>
    </xf>
    <xf numFmtId="0" fontId="0" fillId="4" borderId="3" xfId="0" applyFill="1" applyBorder="1"/>
    <xf numFmtId="0" fontId="0" fillId="4" borderId="1" xfId="0" applyFill="1" applyBorder="1" applyAlignment="1"/>
    <xf numFmtId="9" fontId="0" fillId="4" borderId="1" xfId="0" applyNumberFormat="1" applyFill="1" applyBorder="1" applyAlignment="1"/>
    <xf numFmtId="1" fontId="0" fillId="4" borderId="1" xfId="0" applyNumberFormat="1" applyFill="1" applyBorder="1" applyAlignment="1"/>
    <xf numFmtId="0" fontId="7" fillId="2" borderId="6"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7" fillId="2" borderId="9"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7" fillId="2" borderId="11" xfId="0" applyFont="1" applyFill="1" applyBorder="1" applyAlignment="1">
      <alignment horizontal="center" vertical="center" wrapText="1"/>
    </xf>
    <xf numFmtId="0" fontId="0" fillId="2" borderId="2" xfId="0" applyFill="1" applyBorder="1" applyAlignment="1">
      <alignment horizontal="center" vertical="center"/>
    </xf>
    <xf numFmtId="0" fontId="0" fillId="2" borderId="5" xfId="0" applyFill="1" applyBorder="1" applyAlignment="1">
      <alignment horizontal="center" vertical="center"/>
    </xf>
    <xf numFmtId="0" fontId="0" fillId="2" borderId="2" xfId="0" applyFill="1" applyBorder="1" applyAlignment="1">
      <alignment horizontal="left" wrapText="1"/>
    </xf>
    <xf numFmtId="0" fontId="0" fillId="2" borderId="5" xfId="0" applyFill="1" applyBorder="1" applyAlignment="1">
      <alignment horizontal="left" wrapText="1"/>
    </xf>
    <xf numFmtId="0" fontId="8" fillId="3" borderId="1" xfId="0" applyFont="1" applyFill="1" applyBorder="1" applyAlignment="1">
      <alignment horizontal="center" vertical="center"/>
    </xf>
    <xf numFmtId="0" fontId="3" fillId="3" borderId="2"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8" fillId="3" borderId="6" xfId="0" applyFont="1" applyFill="1" applyBorder="1" applyAlignment="1">
      <alignment horizontal="center" vertical="center"/>
    </xf>
    <xf numFmtId="0" fontId="8" fillId="3" borderId="8" xfId="0" applyFont="1" applyFill="1" applyBorder="1" applyAlignment="1">
      <alignment horizontal="center" vertical="center"/>
    </xf>
    <xf numFmtId="0" fontId="8" fillId="3" borderId="9" xfId="0" applyFont="1" applyFill="1" applyBorder="1" applyAlignment="1">
      <alignment horizontal="center" vertical="center"/>
    </xf>
    <xf numFmtId="0" fontId="8" fillId="3" borderId="11"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8" xfId="0" applyFont="1" applyFill="1" applyBorder="1" applyAlignment="1">
      <alignment horizontal="center" vertical="center"/>
    </xf>
    <xf numFmtId="0" fontId="3" fillId="3" borderId="9"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11" xfId="0" applyFont="1" applyFill="1" applyBorder="1" applyAlignment="1">
      <alignment horizontal="center" vertical="center"/>
    </xf>
    <xf numFmtId="0" fontId="0" fillId="2" borderId="2"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6" fillId="3" borderId="1" xfId="0" applyFont="1" applyFill="1" applyBorder="1" applyAlignment="1">
      <alignment horizontal="center" vertical="center"/>
    </xf>
    <xf numFmtId="0" fontId="0" fillId="2" borderId="1" xfId="0" applyFill="1" applyBorder="1" applyAlignment="1">
      <alignment horizontal="center"/>
    </xf>
    <xf numFmtId="0" fontId="3" fillId="3" borderId="1" xfId="0" applyFont="1" applyFill="1" applyBorder="1" applyAlignment="1">
      <alignment horizontal="center" vertical="center"/>
    </xf>
    <xf numFmtId="0" fontId="3" fillId="3" borderId="14" xfId="0" applyFont="1" applyFill="1" applyBorder="1" applyAlignment="1">
      <alignment horizontal="center" vertical="center"/>
    </xf>
    <xf numFmtId="0" fontId="0" fillId="3" borderId="12" xfId="0" applyFont="1" applyFill="1" applyBorder="1" applyAlignment="1">
      <alignment horizontal="left" vertical="center" wrapText="1"/>
    </xf>
    <xf numFmtId="0" fontId="0" fillId="3" borderId="13" xfId="0" applyFont="1" applyFill="1" applyBorder="1" applyAlignment="1">
      <alignment horizontal="left" vertical="center" wrapText="1"/>
    </xf>
    <xf numFmtId="0" fontId="0" fillId="3" borderId="14" xfId="0" applyFont="1" applyFill="1" applyBorder="1" applyAlignment="1">
      <alignment horizontal="left" vertical="center" wrapText="1"/>
    </xf>
  </cellXfs>
  <cellStyles count="1">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A41"/>
  <sheetViews>
    <sheetView tabSelected="1" zoomScale="110" zoomScaleNormal="110" workbookViewId="0">
      <selection activeCell="A5" sqref="A5"/>
    </sheetView>
  </sheetViews>
  <sheetFormatPr baseColWidth="10" defaultRowHeight="16" x14ac:dyDescent="0.2"/>
  <cols>
    <col min="1" max="1" width="44.5" customWidth="1"/>
    <col min="2" max="2" width="15" customWidth="1"/>
    <col min="3" max="3" width="19" customWidth="1"/>
    <col min="5" max="5" width="14.1640625" customWidth="1"/>
    <col min="6" max="6" width="14" customWidth="1"/>
    <col min="13" max="13" width="8.83203125" customWidth="1"/>
    <col min="17" max="17" width="8.33203125" customWidth="1"/>
  </cols>
  <sheetData>
    <row r="2" spans="1:18" x14ac:dyDescent="0.2">
      <c r="D2" s="1"/>
      <c r="E2" s="1"/>
      <c r="F2" s="1"/>
      <c r="G2" s="1"/>
      <c r="H2" s="1"/>
      <c r="I2" s="1"/>
      <c r="J2" s="1"/>
      <c r="K2" s="1"/>
      <c r="L2" s="1"/>
    </row>
    <row r="3" spans="1:18" ht="16" customHeight="1" x14ac:dyDescent="0.2">
      <c r="A3" s="42" t="s">
        <v>30</v>
      </c>
      <c r="B3" s="42" t="s">
        <v>3</v>
      </c>
      <c r="C3" s="42"/>
      <c r="D3" s="42"/>
      <c r="E3" s="42"/>
      <c r="F3" s="42"/>
      <c r="G3" s="42"/>
      <c r="H3" s="42"/>
      <c r="I3" s="42"/>
      <c r="J3" s="42"/>
      <c r="K3" s="42"/>
      <c r="L3" s="42"/>
      <c r="M3" s="42"/>
      <c r="O3" s="16" t="s">
        <v>6</v>
      </c>
      <c r="P3" s="17"/>
      <c r="Q3" s="18"/>
    </row>
    <row r="4" spans="1:18" ht="16" customHeight="1" x14ac:dyDescent="0.2">
      <c r="A4" s="42"/>
      <c r="B4" s="42"/>
      <c r="C4" s="42"/>
      <c r="D4" s="42"/>
      <c r="E4" s="42"/>
      <c r="F4" s="42"/>
      <c r="G4" s="42"/>
      <c r="H4" s="42"/>
      <c r="I4" s="42"/>
      <c r="J4" s="42"/>
      <c r="K4" s="42"/>
      <c r="L4" s="42"/>
      <c r="M4" s="42"/>
      <c r="O4" s="19"/>
      <c r="P4" s="20"/>
      <c r="Q4" s="21"/>
    </row>
    <row r="5" spans="1:18" ht="34" customHeight="1" x14ac:dyDescent="0.35">
      <c r="A5" s="9">
        <f>MAX(B6:L6)</f>
        <v>14</v>
      </c>
      <c r="B5" s="27" t="s">
        <v>47</v>
      </c>
      <c r="C5" s="28"/>
      <c r="D5" s="27" t="s">
        <v>38</v>
      </c>
      <c r="E5" s="28"/>
      <c r="F5" s="27" t="s">
        <v>48</v>
      </c>
      <c r="G5" s="28"/>
      <c r="H5" s="27" t="s">
        <v>46</v>
      </c>
      <c r="I5" s="28"/>
      <c r="J5" s="27" t="s">
        <v>39</v>
      </c>
      <c r="K5" s="28"/>
      <c r="L5" s="27" t="s">
        <v>45</v>
      </c>
      <c r="M5" s="28"/>
      <c r="O5" s="5"/>
      <c r="P5" s="22" t="s">
        <v>29</v>
      </c>
      <c r="Q5" s="23"/>
    </row>
    <row r="6" spans="1:18" ht="16" customHeight="1" x14ac:dyDescent="0.2">
      <c r="A6" s="46" t="str" cm="1">
        <f t="array" ref="A6">_xlfn.SWITCH(A5,B6," The Cluster is bound by Average Ingress Network data and considered as minimum, considering Network Ingress throttling for as potential bottleneck for Average data ingress",
D6," The cluster is limited by Average total bandwidth available for the cluster. Please use the recommended number of brokers to cater well to both Producers and Consumers without bandwidth issues.",
F6," The cluster is Ingress Disk write bound and the inbound data is more than what the cluster as a whole can handle. Please consider upgrading Disk Write throughput or using the recommended number of brokers",
H6," The cluster is disk capacity bound and data retention policy needs either more brokers with equal capacity disks or more disk capacity is needed. This considers equal data distribution across the cluster.",
J6," The broker count is limited by the replication factor provided in the configuration parameters for the topics.",
L6," The broker count is limited at the soft limit for replica count per broker node. This is as per recommendations from Jun Rao in his blogs. Please modify cell G11 to taste.")</f>
        <v xml:space="preserve"> The broker count is limited at the soft limit for replica count per broker node. This is as per recommendations from Jun Rao in his blogs. Please modify cell G11 to taste.</v>
      </c>
      <c r="B6" s="29">
        <f>CEILING((L10/D13)/D15,1)</f>
        <v>2</v>
      </c>
      <c r="C6" s="30"/>
      <c r="D6" s="29">
        <f>CEILING(((L12+L10)/(D13+D14))/D15, 1)</f>
        <v>4</v>
      </c>
      <c r="E6" s="30"/>
      <c r="F6" s="29">
        <f>CEILING(((L10+L15)/D11),1)</f>
        <v>7</v>
      </c>
      <c r="G6" s="30"/>
      <c r="H6" s="29">
        <f>CEILING(L14/D10,1)</f>
        <v>5</v>
      </c>
      <c r="I6" s="30"/>
      <c r="J6" s="29">
        <f>CEILING(B20,1)</f>
        <v>3</v>
      </c>
      <c r="K6" s="30"/>
      <c r="L6" s="26">
        <f>CEILING(G12/G10,1)</f>
        <v>14</v>
      </c>
      <c r="M6" s="26"/>
      <c r="O6" s="6"/>
      <c r="P6" s="22" t="s">
        <v>7</v>
      </c>
      <c r="Q6" s="23"/>
    </row>
    <row r="7" spans="1:18" ht="16" customHeight="1" x14ac:dyDescent="0.2">
      <c r="A7" s="47"/>
      <c r="B7" s="31"/>
      <c r="C7" s="32"/>
      <c r="D7" s="31"/>
      <c r="E7" s="32"/>
      <c r="F7" s="31"/>
      <c r="G7" s="32"/>
      <c r="H7" s="31"/>
      <c r="I7" s="32"/>
      <c r="J7" s="31"/>
      <c r="K7" s="32"/>
      <c r="L7" s="26"/>
      <c r="M7" s="26"/>
      <c r="O7" s="4"/>
      <c r="P7" s="22" t="s">
        <v>8</v>
      </c>
      <c r="Q7" s="23"/>
    </row>
    <row r="8" spans="1:18" ht="17" customHeight="1" x14ac:dyDescent="0.2">
      <c r="A8" s="47"/>
      <c r="B8" s="33" t="s">
        <v>4</v>
      </c>
      <c r="C8" s="34"/>
      <c r="D8" s="35"/>
      <c r="E8" s="33" t="s">
        <v>50</v>
      </c>
      <c r="F8" s="34"/>
      <c r="G8" s="35"/>
      <c r="H8" s="44" t="s">
        <v>9</v>
      </c>
      <c r="I8" s="44"/>
      <c r="J8" s="44"/>
      <c r="K8" s="44"/>
      <c r="L8" s="45"/>
    </row>
    <row r="9" spans="1:18" ht="16" customHeight="1" x14ac:dyDescent="0.2">
      <c r="A9" s="47"/>
      <c r="B9" s="36"/>
      <c r="C9" s="37"/>
      <c r="D9" s="38"/>
      <c r="E9" s="36"/>
      <c r="F9" s="37"/>
      <c r="G9" s="38"/>
      <c r="H9" s="44"/>
      <c r="I9" s="44"/>
      <c r="J9" s="44"/>
      <c r="K9" s="44"/>
      <c r="L9" s="44"/>
      <c r="N9" s="43" t="s">
        <v>31</v>
      </c>
      <c r="O9" s="43"/>
      <c r="P9" s="43"/>
      <c r="Q9" s="43"/>
      <c r="R9" s="4">
        <f>CEILING(B19/A5,1)</f>
        <v>5</v>
      </c>
    </row>
    <row r="10" spans="1:18" ht="16" customHeight="1" x14ac:dyDescent="0.2">
      <c r="A10" s="48"/>
      <c r="B10" s="24" t="s">
        <v>10</v>
      </c>
      <c r="C10" s="25"/>
      <c r="D10" s="13">
        <f>1024</f>
        <v>1024</v>
      </c>
      <c r="E10" s="24" t="s">
        <v>43</v>
      </c>
      <c r="F10" s="25"/>
      <c r="G10" s="15">
        <v>8000</v>
      </c>
      <c r="H10" s="43" t="str">
        <f t="shared" ref="H10:H16" si="0">A31</f>
        <v>Avg Ingress into Cluster (MBps)</v>
      </c>
      <c r="I10" s="43"/>
      <c r="J10" s="43"/>
      <c r="K10" s="43"/>
      <c r="L10" s="4">
        <f t="shared" ref="L10:L15" si="1">B31</f>
        <v>704.59</v>
      </c>
      <c r="N10" s="43" t="s">
        <v>32</v>
      </c>
      <c r="O10" s="43"/>
      <c r="P10" s="43"/>
      <c r="Q10" s="43"/>
      <c r="R10" s="4">
        <f>L17-R9</f>
        <v>-5</v>
      </c>
    </row>
    <row r="11" spans="1:18" ht="16" customHeight="1" x14ac:dyDescent="0.2">
      <c r="B11" s="24" t="s">
        <v>20</v>
      </c>
      <c r="C11" s="25"/>
      <c r="D11" s="13">
        <v>350</v>
      </c>
      <c r="E11" s="24" t="s">
        <v>44</v>
      </c>
      <c r="F11" s="25"/>
      <c r="G11" s="15">
        <v>200000</v>
      </c>
      <c r="H11" s="43" t="str">
        <f t="shared" si="0"/>
        <v>Peak Ingress into Cluster (MBps)</v>
      </c>
      <c r="I11" s="43"/>
      <c r="J11" s="43"/>
      <c r="K11" s="43"/>
      <c r="L11" s="4">
        <f t="shared" si="1"/>
        <v>3527.84</v>
      </c>
      <c r="N11" s="39" t="s">
        <v>35</v>
      </c>
      <c r="O11" s="40"/>
      <c r="P11" s="40"/>
      <c r="Q11" s="41"/>
      <c r="R11" s="4">
        <f>R14+1024</f>
        <v>103424</v>
      </c>
    </row>
    <row r="12" spans="1:18" x14ac:dyDescent="0.2">
      <c r="B12" s="24" t="s">
        <v>40</v>
      </c>
      <c r="C12" s="25"/>
      <c r="D12" s="14">
        <v>0.6</v>
      </c>
      <c r="E12" s="24" t="str">
        <f>A37</f>
        <v>Total Partition Count Incl. Replicas</v>
      </c>
      <c r="F12" s="25"/>
      <c r="G12" s="4">
        <f>$B$37</f>
        <v>108150</v>
      </c>
      <c r="H12" s="43" t="str">
        <f t="shared" si="0"/>
        <v>Avg Egress from Cluster (MBps)</v>
      </c>
      <c r="I12" s="43"/>
      <c r="J12" s="43"/>
      <c r="K12" s="43"/>
      <c r="L12" s="4">
        <f t="shared" si="1"/>
        <v>3518.56</v>
      </c>
      <c r="N12" s="39" t="s">
        <v>36</v>
      </c>
      <c r="O12" s="40"/>
      <c r="P12" s="40"/>
      <c r="Q12" s="41"/>
      <c r="R12" s="4">
        <f>MAX(C22:INDEX(22:22,COLUMNS(22:22)))</f>
        <v>5120</v>
      </c>
    </row>
    <row r="13" spans="1:18" x14ac:dyDescent="0.2">
      <c r="B13" s="24" t="s">
        <v>21</v>
      </c>
      <c r="C13" s="25"/>
      <c r="D13" s="13">
        <f>((10*1024)/2)/8</f>
        <v>640</v>
      </c>
      <c r="E13" s="24" t="s">
        <v>49</v>
      </c>
      <c r="F13" s="25"/>
      <c r="G13" s="4">
        <f>CEILING(G12/A5,1)</f>
        <v>7725</v>
      </c>
      <c r="H13" s="43" t="str">
        <f t="shared" si="0"/>
        <v>Peak Egress from Cluster (MBps)</v>
      </c>
      <c r="I13" s="43"/>
      <c r="J13" s="43"/>
      <c r="K13" s="43"/>
      <c r="L13" s="4">
        <f t="shared" si="1"/>
        <v>17602.54</v>
      </c>
      <c r="N13" s="39" t="s">
        <v>37</v>
      </c>
      <c r="O13" s="40"/>
      <c r="P13" s="40"/>
      <c r="Q13" s="41"/>
      <c r="R13" s="4">
        <f>R12+1024</f>
        <v>6144</v>
      </c>
    </row>
    <row r="14" spans="1:18" x14ac:dyDescent="0.2">
      <c r="B14" s="24" t="s">
        <v>41</v>
      </c>
      <c r="C14" s="25"/>
      <c r="D14" s="13">
        <f>((10*1024)/2)/8</f>
        <v>640</v>
      </c>
      <c r="H14" s="43" t="str">
        <f t="shared" si="0"/>
        <v>Overall Disk Capacity required (GB)</v>
      </c>
      <c r="I14" s="43"/>
      <c r="J14" s="43"/>
      <c r="K14" s="43"/>
      <c r="L14" s="4">
        <f t="shared" si="1"/>
        <v>4406.1400000000003</v>
      </c>
      <c r="N14" s="43" t="s">
        <v>33</v>
      </c>
      <c r="O14" s="43"/>
      <c r="P14" s="43"/>
      <c r="Q14" s="5">
        <v>20</v>
      </c>
      <c r="R14" s="4">
        <f>(MAX(C22:INDEX(22:22,COLUMNS(22:22)))*Q14)</f>
        <v>102400</v>
      </c>
    </row>
    <row r="15" spans="1:18" x14ac:dyDescent="0.2">
      <c r="B15" s="24" t="s">
        <v>42</v>
      </c>
      <c r="C15" s="25"/>
      <c r="D15" s="14">
        <v>0.95</v>
      </c>
      <c r="H15" s="43" t="str">
        <f t="shared" si="0"/>
        <v>Inter broker Replication Bandwidth (MBps)</v>
      </c>
      <c r="I15" s="43"/>
      <c r="J15" s="43"/>
      <c r="K15" s="43"/>
      <c r="L15" s="4">
        <f t="shared" si="1"/>
        <v>1409.18</v>
      </c>
      <c r="N15" s="43" t="s">
        <v>34</v>
      </c>
      <c r="O15" s="43"/>
      <c r="P15" s="43"/>
      <c r="Q15" s="5">
        <v>10</v>
      </c>
      <c r="R15" s="4">
        <f>(1000/(MIN(C23:INDEX(23:23,COLUMNS(23:23)))))*Q15</f>
        <v>50</v>
      </c>
    </row>
    <row r="16" spans="1:18" x14ac:dyDescent="0.2">
      <c r="H16" s="43" t="s">
        <v>51</v>
      </c>
      <c r="I16" s="43"/>
      <c r="J16" s="43"/>
      <c r="K16" s="43"/>
      <c r="L16" s="4">
        <f>L14/A5</f>
        <v>314.72428571428571</v>
      </c>
    </row>
    <row r="18" spans="1:53" ht="39" customHeight="1" x14ac:dyDescent="0.2">
      <c r="A18" s="6" t="s">
        <v>0</v>
      </c>
      <c r="B18" s="8" t="s">
        <v>5</v>
      </c>
      <c r="C18" s="11" t="s">
        <v>2</v>
      </c>
      <c r="D18" s="7" t="s">
        <v>19</v>
      </c>
    </row>
    <row r="19" spans="1:53" ht="17" x14ac:dyDescent="0.2">
      <c r="A19" s="6" t="s">
        <v>27</v>
      </c>
      <c r="B19" s="10">
        <f>SUM(C19:INDEX(19:19,COLUMNS(19:19)))</f>
        <v>70</v>
      </c>
      <c r="C19" s="12">
        <v>20</v>
      </c>
      <c r="D19">
        <v>50</v>
      </c>
    </row>
    <row r="20" spans="1:53" ht="17" x14ac:dyDescent="0.2">
      <c r="A20" s="6" t="s">
        <v>1</v>
      </c>
      <c r="B20" s="10">
        <f>MAX(C20:AZ20)</f>
        <v>3</v>
      </c>
      <c r="C20" s="12">
        <v>3</v>
      </c>
      <c r="D20">
        <v>3</v>
      </c>
    </row>
    <row r="21" spans="1:53" ht="17" x14ac:dyDescent="0.2">
      <c r="A21" s="6" t="s">
        <v>12</v>
      </c>
      <c r="B21" s="10"/>
      <c r="C21" s="12">
        <v>365</v>
      </c>
      <c r="D21">
        <v>24</v>
      </c>
    </row>
    <row r="22" spans="1:53" ht="17" x14ac:dyDescent="0.2">
      <c r="A22" s="6" t="s">
        <v>13</v>
      </c>
      <c r="B22" s="10">
        <f>SUM(C22:INDEX(22:22,COLUMNS(22:22)))</f>
        <v>7168</v>
      </c>
      <c r="C22" s="12">
        <v>2048</v>
      </c>
      <c r="D22">
        <f>5*1024</f>
        <v>5120</v>
      </c>
    </row>
    <row r="23" spans="1:53" ht="17" x14ac:dyDescent="0.2">
      <c r="A23" s="6" t="s">
        <v>16</v>
      </c>
      <c r="B23" s="10">
        <f>SUM(C23:INDEX(23:23,COLUMNS(23:23)))</f>
        <v>500</v>
      </c>
      <c r="C23" s="12">
        <v>200</v>
      </c>
      <c r="D23" s="2">
        <v>300</v>
      </c>
      <c r="E23" s="2"/>
      <c r="F23" s="2"/>
      <c r="G23" s="2"/>
      <c r="H23" s="2"/>
      <c r="I23" s="2"/>
      <c r="J23" s="2"/>
      <c r="K23" s="2"/>
      <c r="L23" s="2"/>
      <c r="M23" s="2"/>
      <c r="N23" s="2"/>
      <c r="O23" s="2"/>
      <c r="P23" s="2"/>
      <c r="Q23" s="2"/>
      <c r="R23" s="2"/>
      <c r="S23" s="2"/>
      <c r="T23" s="2"/>
      <c r="U23" s="2"/>
      <c r="V23" s="2"/>
      <c r="W23" s="2"/>
      <c r="X23" s="2"/>
      <c r="Y23" s="2"/>
      <c r="Z23" s="2"/>
    </row>
    <row r="24" spans="1:53" ht="17" x14ac:dyDescent="0.2">
      <c r="A24" s="6" t="s">
        <v>14</v>
      </c>
      <c r="B24" s="10">
        <f>SUM(C24:INDEX(24:24,COLUMNS(24:24)))</f>
        <v>29696</v>
      </c>
      <c r="C24" s="12">
        <v>4096</v>
      </c>
      <c r="D24">
        <f>D22*5</f>
        <v>25600</v>
      </c>
    </row>
    <row r="25" spans="1:53" ht="17" x14ac:dyDescent="0.2">
      <c r="A25" s="6" t="s">
        <v>15</v>
      </c>
      <c r="B25" s="10">
        <f>SUM(C25:INDEX(25:25,COLUMNS(25:25)))</f>
        <v>1000</v>
      </c>
      <c r="C25" s="12">
        <v>500</v>
      </c>
      <c r="D25" s="2">
        <v>500</v>
      </c>
    </row>
    <row r="26" spans="1:53" ht="17" x14ac:dyDescent="0.2">
      <c r="A26" s="6" t="s">
        <v>17</v>
      </c>
      <c r="B26" s="10"/>
      <c r="C26" s="12">
        <v>5</v>
      </c>
      <c r="D26">
        <v>2</v>
      </c>
    </row>
    <row r="27" spans="1:53" ht="17" x14ac:dyDescent="0.2">
      <c r="A27" s="6" t="s">
        <v>18</v>
      </c>
      <c r="B27" s="10">
        <f>SUM(C27:INDEX(27:27,COLUMNS(27:27)))</f>
        <v>1801</v>
      </c>
      <c r="C27" s="12">
        <v>1800</v>
      </c>
      <c r="D27" s="2">
        <v>1</v>
      </c>
    </row>
    <row r="31" spans="1:53" hidden="1" x14ac:dyDescent="0.2">
      <c r="A31" s="3" t="s">
        <v>22</v>
      </c>
      <c r="B31" s="3">
        <f>CEILING(SUM(C31:INDEX(31:31,COLUMNS(31:31))),0.01)</f>
        <v>704.59</v>
      </c>
      <c r="C31">
        <f>((((C22*C23)/1024)/1024)*C27)</f>
        <v>703.125</v>
      </c>
      <c r="D31">
        <f t="shared" ref="D31:AZ31" si="2">((((D22*D23)/1024)/1024)*D27)</f>
        <v>1.46484375</v>
      </c>
      <c r="E31">
        <f t="shared" si="2"/>
        <v>0</v>
      </c>
      <c r="F31">
        <f t="shared" si="2"/>
        <v>0</v>
      </c>
      <c r="G31">
        <f t="shared" si="2"/>
        <v>0</v>
      </c>
      <c r="H31">
        <f t="shared" si="2"/>
        <v>0</v>
      </c>
      <c r="I31">
        <f t="shared" si="2"/>
        <v>0</v>
      </c>
      <c r="J31">
        <f t="shared" si="2"/>
        <v>0</v>
      </c>
      <c r="K31">
        <f t="shared" si="2"/>
        <v>0</v>
      </c>
      <c r="L31">
        <f t="shared" si="2"/>
        <v>0</v>
      </c>
      <c r="M31">
        <f t="shared" si="2"/>
        <v>0</v>
      </c>
      <c r="N31">
        <f t="shared" si="2"/>
        <v>0</v>
      </c>
      <c r="O31">
        <f t="shared" si="2"/>
        <v>0</v>
      </c>
      <c r="P31">
        <f t="shared" si="2"/>
        <v>0</v>
      </c>
      <c r="Q31">
        <f t="shared" si="2"/>
        <v>0</v>
      </c>
      <c r="R31">
        <f t="shared" si="2"/>
        <v>0</v>
      </c>
      <c r="S31">
        <f t="shared" si="2"/>
        <v>0</v>
      </c>
      <c r="T31">
        <f t="shared" si="2"/>
        <v>0</v>
      </c>
      <c r="U31">
        <f t="shared" si="2"/>
        <v>0</v>
      </c>
      <c r="V31">
        <f t="shared" si="2"/>
        <v>0</v>
      </c>
      <c r="W31">
        <f t="shared" si="2"/>
        <v>0</v>
      </c>
      <c r="X31">
        <f t="shared" si="2"/>
        <v>0</v>
      </c>
      <c r="Y31">
        <f t="shared" si="2"/>
        <v>0</v>
      </c>
      <c r="Z31">
        <f t="shared" si="2"/>
        <v>0</v>
      </c>
      <c r="AA31">
        <f t="shared" si="2"/>
        <v>0</v>
      </c>
      <c r="AB31">
        <f t="shared" si="2"/>
        <v>0</v>
      </c>
      <c r="AC31">
        <f t="shared" si="2"/>
        <v>0</v>
      </c>
      <c r="AD31">
        <f t="shared" si="2"/>
        <v>0</v>
      </c>
      <c r="AE31">
        <f t="shared" si="2"/>
        <v>0</v>
      </c>
      <c r="AF31">
        <f t="shared" si="2"/>
        <v>0</v>
      </c>
      <c r="AG31">
        <f t="shared" si="2"/>
        <v>0</v>
      </c>
      <c r="AH31">
        <f t="shared" si="2"/>
        <v>0</v>
      </c>
      <c r="AI31">
        <f t="shared" si="2"/>
        <v>0</v>
      </c>
      <c r="AJ31">
        <f t="shared" si="2"/>
        <v>0</v>
      </c>
      <c r="AK31">
        <f t="shared" si="2"/>
        <v>0</v>
      </c>
      <c r="AL31">
        <f t="shared" si="2"/>
        <v>0</v>
      </c>
      <c r="AM31">
        <f t="shared" si="2"/>
        <v>0</v>
      </c>
      <c r="AN31">
        <f t="shared" si="2"/>
        <v>0</v>
      </c>
      <c r="AO31">
        <f t="shared" si="2"/>
        <v>0</v>
      </c>
      <c r="AP31">
        <f t="shared" si="2"/>
        <v>0</v>
      </c>
      <c r="AQ31">
        <f t="shared" si="2"/>
        <v>0</v>
      </c>
      <c r="AR31">
        <f t="shared" si="2"/>
        <v>0</v>
      </c>
      <c r="AS31">
        <f t="shared" si="2"/>
        <v>0</v>
      </c>
      <c r="AT31">
        <f t="shared" si="2"/>
        <v>0</v>
      </c>
      <c r="AU31">
        <f t="shared" si="2"/>
        <v>0</v>
      </c>
      <c r="AV31">
        <f t="shared" si="2"/>
        <v>0</v>
      </c>
      <c r="AW31">
        <f t="shared" si="2"/>
        <v>0</v>
      </c>
      <c r="AX31">
        <f t="shared" si="2"/>
        <v>0</v>
      </c>
      <c r="AY31">
        <f t="shared" si="2"/>
        <v>0</v>
      </c>
      <c r="AZ31">
        <f t="shared" si="2"/>
        <v>0</v>
      </c>
    </row>
    <row r="32" spans="1:53" hidden="1" x14ac:dyDescent="0.2">
      <c r="A32" s="3" t="s">
        <v>23</v>
      </c>
      <c r="B32" s="3">
        <f>CEILING(SUM(C32:INDEX(32:32,COLUMNS(32:32))),0.01)</f>
        <v>3527.84</v>
      </c>
      <c r="C32" s="2">
        <f>((((C24*C25)/1024)/1024)*C27)</f>
        <v>3515.625</v>
      </c>
      <c r="D32" s="2">
        <f t="shared" ref="D32:AZ32" si="3">((((D24*D25)/1024)/1024)*D27)</f>
        <v>12.20703125</v>
      </c>
      <c r="E32" s="2">
        <f t="shared" si="3"/>
        <v>0</v>
      </c>
      <c r="F32" s="2">
        <f t="shared" si="3"/>
        <v>0</v>
      </c>
      <c r="G32" s="2">
        <f t="shared" si="3"/>
        <v>0</v>
      </c>
      <c r="H32" s="2">
        <f t="shared" si="3"/>
        <v>0</v>
      </c>
      <c r="I32" s="2">
        <f t="shared" si="3"/>
        <v>0</v>
      </c>
      <c r="J32" s="2">
        <f t="shared" si="3"/>
        <v>0</v>
      </c>
      <c r="K32" s="2">
        <f t="shared" si="3"/>
        <v>0</v>
      </c>
      <c r="L32" s="2">
        <f t="shared" si="3"/>
        <v>0</v>
      </c>
      <c r="M32" s="2">
        <f t="shared" si="3"/>
        <v>0</v>
      </c>
      <c r="N32" s="2">
        <f t="shared" si="3"/>
        <v>0</v>
      </c>
      <c r="O32" s="2">
        <f t="shared" si="3"/>
        <v>0</v>
      </c>
      <c r="P32" s="2">
        <f t="shared" si="3"/>
        <v>0</v>
      </c>
      <c r="Q32" s="2">
        <f t="shared" si="3"/>
        <v>0</v>
      </c>
      <c r="R32" s="2">
        <f t="shared" si="3"/>
        <v>0</v>
      </c>
      <c r="S32" s="2">
        <f t="shared" si="3"/>
        <v>0</v>
      </c>
      <c r="T32" s="2">
        <f t="shared" si="3"/>
        <v>0</v>
      </c>
      <c r="U32" s="2">
        <f t="shared" si="3"/>
        <v>0</v>
      </c>
      <c r="V32" s="2">
        <f t="shared" si="3"/>
        <v>0</v>
      </c>
      <c r="W32" s="2">
        <f t="shared" si="3"/>
        <v>0</v>
      </c>
      <c r="X32" s="2">
        <f t="shared" si="3"/>
        <v>0</v>
      </c>
      <c r="Y32" s="2">
        <f t="shared" si="3"/>
        <v>0</v>
      </c>
      <c r="Z32" s="2">
        <f t="shared" si="3"/>
        <v>0</v>
      </c>
      <c r="AA32" s="2">
        <f t="shared" si="3"/>
        <v>0</v>
      </c>
      <c r="AB32" s="2">
        <f t="shared" si="3"/>
        <v>0</v>
      </c>
      <c r="AC32" s="2">
        <f t="shared" si="3"/>
        <v>0</v>
      </c>
      <c r="AD32" s="2">
        <f t="shared" si="3"/>
        <v>0</v>
      </c>
      <c r="AE32" s="2">
        <f t="shared" si="3"/>
        <v>0</v>
      </c>
      <c r="AF32" s="2">
        <f t="shared" si="3"/>
        <v>0</v>
      </c>
      <c r="AG32" s="2">
        <f t="shared" si="3"/>
        <v>0</v>
      </c>
      <c r="AH32" s="2">
        <f t="shared" si="3"/>
        <v>0</v>
      </c>
      <c r="AI32" s="2">
        <f t="shared" si="3"/>
        <v>0</v>
      </c>
      <c r="AJ32" s="2">
        <f t="shared" si="3"/>
        <v>0</v>
      </c>
      <c r="AK32" s="2">
        <f t="shared" si="3"/>
        <v>0</v>
      </c>
      <c r="AL32" s="2">
        <f t="shared" si="3"/>
        <v>0</v>
      </c>
      <c r="AM32" s="2">
        <f t="shared" si="3"/>
        <v>0</v>
      </c>
      <c r="AN32" s="2">
        <f t="shared" si="3"/>
        <v>0</v>
      </c>
      <c r="AO32" s="2">
        <f t="shared" si="3"/>
        <v>0</v>
      </c>
      <c r="AP32" s="2">
        <f t="shared" si="3"/>
        <v>0</v>
      </c>
      <c r="AQ32" s="2">
        <f t="shared" si="3"/>
        <v>0</v>
      </c>
      <c r="AR32" s="2">
        <f t="shared" si="3"/>
        <v>0</v>
      </c>
      <c r="AS32" s="2">
        <f t="shared" si="3"/>
        <v>0</v>
      </c>
      <c r="AT32" s="2">
        <f t="shared" si="3"/>
        <v>0</v>
      </c>
      <c r="AU32" s="2">
        <f t="shared" si="3"/>
        <v>0</v>
      </c>
      <c r="AV32" s="2">
        <f t="shared" si="3"/>
        <v>0</v>
      </c>
      <c r="AW32" s="2">
        <f t="shared" si="3"/>
        <v>0</v>
      </c>
      <c r="AX32" s="2">
        <f t="shared" si="3"/>
        <v>0</v>
      </c>
      <c r="AY32" s="2">
        <f t="shared" si="3"/>
        <v>0</v>
      </c>
      <c r="AZ32" s="2">
        <f t="shared" si="3"/>
        <v>0</v>
      </c>
      <c r="BA32" s="2"/>
    </row>
    <row r="33" spans="1:52" hidden="1" x14ac:dyDescent="0.2">
      <c r="A33" s="3" t="s">
        <v>24</v>
      </c>
      <c r="B33" s="3">
        <f>CEILING(SUM(C33:INDEX(33:33,COLUMNS(33:33))),0.01)</f>
        <v>3518.56</v>
      </c>
      <c r="C33">
        <f>C31*C26</f>
        <v>3515.625</v>
      </c>
      <c r="D33">
        <f t="shared" ref="D33:AZ33" si="4">D31*D26</f>
        <v>2.9296875</v>
      </c>
      <c r="E33">
        <f t="shared" si="4"/>
        <v>0</v>
      </c>
      <c r="F33">
        <f t="shared" si="4"/>
        <v>0</v>
      </c>
      <c r="G33">
        <f t="shared" si="4"/>
        <v>0</v>
      </c>
      <c r="H33">
        <f t="shared" si="4"/>
        <v>0</v>
      </c>
      <c r="I33">
        <f t="shared" si="4"/>
        <v>0</v>
      </c>
      <c r="J33">
        <f t="shared" si="4"/>
        <v>0</v>
      </c>
      <c r="K33">
        <f t="shared" si="4"/>
        <v>0</v>
      </c>
      <c r="L33">
        <f t="shared" si="4"/>
        <v>0</v>
      </c>
      <c r="M33">
        <f t="shared" si="4"/>
        <v>0</v>
      </c>
      <c r="N33">
        <f t="shared" si="4"/>
        <v>0</v>
      </c>
      <c r="O33">
        <f t="shared" si="4"/>
        <v>0</v>
      </c>
      <c r="P33">
        <f t="shared" si="4"/>
        <v>0</v>
      </c>
      <c r="Q33">
        <f t="shared" si="4"/>
        <v>0</v>
      </c>
      <c r="R33">
        <f t="shared" si="4"/>
        <v>0</v>
      </c>
      <c r="S33">
        <f t="shared" si="4"/>
        <v>0</v>
      </c>
      <c r="T33">
        <f t="shared" si="4"/>
        <v>0</v>
      </c>
      <c r="U33">
        <f t="shared" si="4"/>
        <v>0</v>
      </c>
      <c r="V33">
        <f t="shared" si="4"/>
        <v>0</v>
      </c>
      <c r="W33">
        <f t="shared" si="4"/>
        <v>0</v>
      </c>
      <c r="X33">
        <f t="shared" si="4"/>
        <v>0</v>
      </c>
      <c r="Y33">
        <f t="shared" si="4"/>
        <v>0</v>
      </c>
      <c r="Z33">
        <f t="shared" si="4"/>
        <v>0</v>
      </c>
      <c r="AA33">
        <f t="shared" si="4"/>
        <v>0</v>
      </c>
      <c r="AB33">
        <f t="shared" si="4"/>
        <v>0</v>
      </c>
      <c r="AC33">
        <f t="shared" si="4"/>
        <v>0</v>
      </c>
      <c r="AD33">
        <f t="shared" si="4"/>
        <v>0</v>
      </c>
      <c r="AE33">
        <f t="shared" si="4"/>
        <v>0</v>
      </c>
      <c r="AF33">
        <f t="shared" si="4"/>
        <v>0</v>
      </c>
      <c r="AG33">
        <f t="shared" si="4"/>
        <v>0</v>
      </c>
      <c r="AH33">
        <f t="shared" si="4"/>
        <v>0</v>
      </c>
      <c r="AI33">
        <f t="shared" si="4"/>
        <v>0</v>
      </c>
      <c r="AJ33">
        <f t="shared" si="4"/>
        <v>0</v>
      </c>
      <c r="AK33">
        <f t="shared" si="4"/>
        <v>0</v>
      </c>
      <c r="AL33">
        <f t="shared" si="4"/>
        <v>0</v>
      </c>
      <c r="AM33">
        <f t="shared" si="4"/>
        <v>0</v>
      </c>
      <c r="AN33">
        <f t="shared" si="4"/>
        <v>0</v>
      </c>
      <c r="AO33">
        <f t="shared" si="4"/>
        <v>0</v>
      </c>
      <c r="AP33">
        <f t="shared" si="4"/>
        <v>0</v>
      </c>
      <c r="AQ33">
        <f t="shared" si="4"/>
        <v>0</v>
      </c>
      <c r="AR33">
        <f t="shared" si="4"/>
        <v>0</v>
      </c>
      <c r="AS33">
        <f t="shared" si="4"/>
        <v>0</v>
      </c>
      <c r="AT33">
        <f t="shared" si="4"/>
        <v>0</v>
      </c>
      <c r="AU33">
        <f t="shared" si="4"/>
        <v>0</v>
      </c>
      <c r="AV33">
        <f t="shared" si="4"/>
        <v>0</v>
      </c>
      <c r="AW33">
        <f t="shared" si="4"/>
        <v>0</v>
      </c>
      <c r="AX33">
        <f t="shared" si="4"/>
        <v>0</v>
      </c>
      <c r="AY33">
        <f t="shared" si="4"/>
        <v>0</v>
      </c>
      <c r="AZ33">
        <f t="shared" si="4"/>
        <v>0</v>
      </c>
    </row>
    <row r="34" spans="1:52" hidden="1" x14ac:dyDescent="0.2">
      <c r="A34" s="3" t="s">
        <v>25</v>
      </c>
      <c r="B34" s="3">
        <f>CEILING(SUM(C34:INDEX(34:34,COLUMNS(34:34))),0.01)</f>
        <v>17602.54</v>
      </c>
      <c r="C34">
        <f>C32*C26</f>
        <v>17578.125</v>
      </c>
      <c r="D34">
        <f t="shared" ref="D34:AZ34" si="5">D32*D26</f>
        <v>24.4140625</v>
      </c>
      <c r="E34">
        <f t="shared" si="5"/>
        <v>0</v>
      </c>
      <c r="F34">
        <f t="shared" si="5"/>
        <v>0</v>
      </c>
      <c r="G34">
        <f t="shared" si="5"/>
        <v>0</v>
      </c>
      <c r="H34">
        <f t="shared" si="5"/>
        <v>0</v>
      </c>
      <c r="I34">
        <f t="shared" si="5"/>
        <v>0</v>
      </c>
      <c r="J34">
        <f t="shared" si="5"/>
        <v>0</v>
      </c>
      <c r="K34">
        <f t="shared" si="5"/>
        <v>0</v>
      </c>
      <c r="L34">
        <f t="shared" si="5"/>
        <v>0</v>
      </c>
      <c r="M34">
        <f t="shared" si="5"/>
        <v>0</v>
      </c>
      <c r="N34">
        <f t="shared" si="5"/>
        <v>0</v>
      </c>
      <c r="O34">
        <f t="shared" si="5"/>
        <v>0</v>
      </c>
      <c r="P34">
        <f t="shared" si="5"/>
        <v>0</v>
      </c>
      <c r="Q34">
        <f t="shared" si="5"/>
        <v>0</v>
      </c>
      <c r="R34">
        <f t="shared" si="5"/>
        <v>0</v>
      </c>
      <c r="S34">
        <f t="shared" si="5"/>
        <v>0</v>
      </c>
      <c r="T34">
        <f t="shared" si="5"/>
        <v>0</v>
      </c>
      <c r="U34">
        <f t="shared" si="5"/>
        <v>0</v>
      </c>
      <c r="V34">
        <f t="shared" si="5"/>
        <v>0</v>
      </c>
      <c r="W34">
        <f t="shared" si="5"/>
        <v>0</v>
      </c>
      <c r="X34">
        <f t="shared" si="5"/>
        <v>0</v>
      </c>
      <c r="Y34">
        <f t="shared" si="5"/>
        <v>0</v>
      </c>
      <c r="Z34">
        <f t="shared" si="5"/>
        <v>0</v>
      </c>
      <c r="AA34">
        <f t="shared" si="5"/>
        <v>0</v>
      </c>
      <c r="AB34">
        <f t="shared" si="5"/>
        <v>0</v>
      </c>
      <c r="AC34">
        <f t="shared" si="5"/>
        <v>0</v>
      </c>
      <c r="AD34">
        <f t="shared" si="5"/>
        <v>0</v>
      </c>
      <c r="AE34">
        <f t="shared" si="5"/>
        <v>0</v>
      </c>
      <c r="AF34">
        <f t="shared" si="5"/>
        <v>0</v>
      </c>
      <c r="AG34">
        <f t="shared" si="5"/>
        <v>0</v>
      </c>
      <c r="AH34">
        <f t="shared" si="5"/>
        <v>0</v>
      </c>
      <c r="AI34">
        <f t="shared" si="5"/>
        <v>0</v>
      </c>
      <c r="AJ34">
        <f t="shared" si="5"/>
        <v>0</v>
      </c>
      <c r="AK34">
        <f t="shared" si="5"/>
        <v>0</v>
      </c>
      <c r="AL34">
        <f t="shared" si="5"/>
        <v>0</v>
      </c>
      <c r="AM34">
        <f t="shared" si="5"/>
        <v>0</v>
      </c>
      <c r="AN34">
        <f t="shared" si="5"/>
        <v>0</v>
      </c>
      <c r="AO34">
        <f t="shared" si="5"/>
        <v>0</v>
      </c>
      <c r="AP34">
        <f t="shared" si="5"/>
        <v>0</v>
      </c>
      <c r="AQ34">
        <f t="shared" si="5"/>
        <v>0</v>
      </c>
      <c r="AR34">
        <f t="shared" si="5"/>
        <v>0</v>
      </c>
      <c r="AS34">
        <f t="shared" si="5"/>
        <v>0</v>
      </c>
      <c r="AT34">
        <f t="shared" si="5"/>
        <v>0</v>
      </c>
      <c r="AU34">
        <f t="shared" si="5"/>
        <v>0</v>
      </c>
      <c r="AV34">
        <f t="shared" si="5"/>
        <v>0</v>
      </c>
      <c r="AW34">
        <f t="shared" si="5"/>
        <v>0</v>
      </c>
      <c r="AX34">
        <f t="shared" si="5"/>
        <v>0</v>
      </c>
      <c r="AY34">
        <f t="shared" si="5"/>
        <v>0</v>
      </c>
      <c r="AZ34">
        <f t="shared" si="5"/>
        <v>0</v>
      </c>
    </row>
    <row r="35" spans="1:52" hidden="1" x14ac:dyDescent="0.2">
      <c r="A35" s="3" t="s">
        <v>11</v>
      </c>
      <c r="B35" s="3">
        <f>CEILING((SUM(C35:INDEX(35:35,COLUMNS(35:35))))/D12,0.01)</f>
        <v>4406.1400000000003</v>
      </c>
      <c r="C35">
        <f>(((C31*C21*60*60*C20)/1024)/1024)</f>
        <v>2643.3169841766357</v>
      </c>
      <c r="D35">
        <f t="shared" ref="D35:AZ35" si="6">(((D31*D21*60*60*D20)/1024)/1024)</f>
        <v>0.36209821701049805</v>
      </c>
      <c r="E35">
        <f t="shared" si="6"/>
        <v>0</v>
      </c>
      <c r="F35">
        <f t="shared" si="6"/>
        <v>0</v>
      </c>
      <c r="G35">
        <f t="shared" si="6"/>
        <v>0</v>
      </c>
      <c r="H35">
        <f t="shared" si="6"/>
        <v>0</v>
      </c>
      <c r="I35">
        <f t="shared" si="6"/>
        <v>0</v>
      </c>
      <c r="J35">
        <f t="shared" si="6"/>
        <v>0</v>
      </c>
      <c r="K35">
        <f t="shared" si="6"/>
        <v>0</v>
      </c>
      <c r="L35">
        <f t="shared" si="6"/>
        <v>0</v>
      </c>
      <c r="M35">
        <f t="shared" si="6"/>
        <v>0</v>
      </c>
      <c r="N35">
        <f t="shared" si="6"/>
        <v>0</v>
      </c>
      <c r="O35">
        <f t="shared" si="6"/>
        <v>0</v>
      </c>
      <c r="P35">
        <f t="shared" si="6"/>
        <v>0</v>
      </c>
      <c r="Q35">
        <f t="shared" si="6"/>
        <v>0</v>
      </c>
      <c r="R35">
        <f t="shared" si="6"/>
        <v>0</v>
      </c>
      <c r="S35">
        <f t="shared" si="6"/>
        <v>0</v>
      </c>
      <c r="T35">
        <f t="shared" si="6"/>
        <v>0</v>
      </c>
      <c r="U35">
        <f t="shared" si="6"/>
        <v>0</v>
      </c>
      <c r="V35">
        <f t="shared" si="6"/>
        <v>0</v>
      </c>
      <c r="W35">
        <f t="shared" si="6"/>
        <v>0</v>
      </c>
      <c r="X35">
        <f t="shared" si="6"/>
        <v>0</v>
      </c>
      <c r="Y35">
        <f t="shared" si="6"/>
        <v>0</v>
      </c>
      <c r="Z35">
        <f t="shared" si="6"/>
        <v>0</v>
      </c>
      <c r="AA35">
        <f t="shared" si="6"/>
        <v>0</v>
      </c>
      <c r="AB35">
        <f t="shared" si="6"/>
        <v>0</v>
      </c>
      <c r="AC35">
        <f t="shared" si="6"/>
        <v>0</v>
      </c>
      <c r="AD35">
        <f t="shared" si="6"/>
        <v>0</v>
      </c>
      <c r="AE35">
        <f t="shared" si="6"/>
        <v>0</v>
      </c>
      <c r="AF35">
        <f t="shared" si="6"/>
        <v>0</v>
      </c>
      <c r="AG35">
        <f t="shared" si="6"/>
        <v>0</v>
      </c>
      <c r="AH35">
        <f t="shared" si="6"/>
        <v>0</v>
      </c>
      <c r="AI35">
        <f t="shared" si="6"/>
        <v>0</v>
      </c>
      <c r="AJ35">
        <f t="shared" si="6"/>
        <v>0</v>
      </c>
      <c r="AK35">
        <f t="shared" si="6"/>
        <v>0</v>
      </c>
      <c r="AL35">
        <f t="shared" si="6"/>
        <v>0</v>
      </c>
      <c r="AM35">
        <f t="shared" si="6"/>
        <v>0</v>
      </c>
      <c r="AN35">
        <f t="shared" si="6"/>
        <v>0</v>
      </c>
      <c r="AO35">
        <f t="shared" si="6"/>
        <v>0</v>
      </c>
      <c r="AP35">
        <f t="shared" si="6"/>
        <v>0</v>
      </c>
      <c r="AQ35">
        <f t="shared" si="6"/>
        <v>0</v>
      </c>
      <c r="AR35">
        <f t="shared" si="6"/>
        <v>0</v>
      </c>
      <c r="AS35">
        <f t="shared" si="6"/>
        <v>0</v>
      </c>
      <c r="AT35">
        <f t="shared" si="6"/>
        <v>0</v>
      </c>
      <c r="AU35">
        <f t="shared" si="6"/>
        <v>0</v>
      </c>
      <c r="AV35">
        <f t="shared" si="6"/>
        <v>0</v>
      </c>
      <c r="AW35">
        <f t="shared" si="6"/>
        <v>0</v>
      </c>
      <c r="AX35">
        <f t="shared" si="6"/>
        <v>0</v>
      </c>
      <c r="AY35">
        <f t="shared" si="6"/>
        <v>0</v>
      </c>
      <c r="AZ35">
        <f t="shared" si="6"/>
        <v>0</v>
      </c>
    </row>
    <row r="36" spans="1:52" hidden="1" x14ac:dyDescent="0.2">
      <c r="A36" s="3" t="s">
        <v>26</v>
      </c>
      <c r="B36" s="3">
        <f>CEILING(SUM(C36:INDEX(36:36,COLUMNS(36:36))),0.01)</f>
        <v>1409.18</v>
      </c>
      <c r="C36">
        <f>C31*(C20-1)</f>
        <v>1406.25</v>
      </c>
      <c r="D36">
        <f t="shared" ref="D36:AZ36" si="7">D31*(D20-1)</f>
        <v>2.9296875</v>
      </c>
      <c r="E36">
        <f t="shared" si="7"/>
        <v>0</v>
      </c>
      <c r="F36">
        <f t="shared" si="7"/>
        <v>0</v>
      </c>
      <c r="G36">
        <f t="shared" si="7"/>
        <v>0</v>
      </c>
      <c r="H36">
        <f t="shared" si="7"/>
        <v>0</v>
      </c>
      <c r="I36">
        <f t="shared" si="7"/>
        <v>0</v>
      </c>
      <c r="J36">
        <f t="shared" si="7"/>
        <v>0</v>
      </c>
      <c r="K36">
        <f t="shared" si="7"/>
        <v>0</v>
      </c>
      <c r="L36">
        <f t="shared" si="7"/>
        <v>0</v>
      </c>
      <c r="M36">
        <f t="shared" si="7"/>
        <v>0</v>
      </c>
      <c r="N36">
        <f t="shared" si="7"/>
        <v>0</v>
      </c>
      <c r="O36">
        <f t="shared" si="7"/>
        <v>0</v>
      </c>
      <c r="P36">
        <f t="shared" si="7"/>
        <v>0</v>
      </c>
      <c r="Q36">
        <f t="shared" si="7"/>
        <v>0</v>
      </c>
      <c r="R36">
        <f t="shared" si="7"/>
        <v>0</v>
      </c>
      <c r="S36">
        <f t="shared" si="7"/>
        <v>0</v>
      </c>
      <c r="T36">
        <f t="shared" si="7"/>
        <v>0</v>
      </c>
      <c r="U36">
        <f t="shared" si="7"/>
        <v>0</v>
      </c>
      <c r="V36">
        <f t="shared" si="7"/>
        <v>0</v>
      </c>
      <c r="W36">
        <f t="shared" si="7"/>
        <v>0</v>
      </c>
      <c r="X36">
        <f t="shared" si="7"/>
        <v>0</v>
      </c>
      <c r="Y36">
        <f t="shared" si="7"/>
        <v>0</v>
      </c>
      <c r="Z36">
        <f t="shared" si="7"/>
        <v>0</v>
      </c>
      <c r="AA36">
        <f t="shared" si="7"/>
        <v>0</v>
      </c>
      <c r="AB36">
        <f t="shared" si="7"/>
        <v>0</v>
      </c>
      <c r="AC36">
        <f t="shared" si="7"/>
        <v>0</v>
      </c>
      <c r="AD36">
        <f t="shared" si="7"/>
        <v>0</v>
      </c>
      <c r="AE36">
        <f t="shared" si="7"/>
        <v>0</v>
      </c>
      <c r="AF36">
        <f t="shared" si="7"/>
        <v>0</v>
      </c>
      <c r="AG36">
        <f t="shared" si="7"/>
        <v>0</v>
      </c>
      <c r="AH36">
        <f t="shared" si="7"/>
        <v>0</v>
      </c>
      <c r="AI36">
        <f t="shared" si="7"/>
        <v>0</v>
      </c>
      <c r="AJ36">
        <f t="shared" si="7"/>
        <v>0</v>
      </c>
      <c r="AK36">
        <f t="shared" si="7"/>
        <v>0</v>
      </c>
      <c r="AL36">
        <f t="shared" si="7"/>
        <v>0</v>
      </c>
      <c r="AM36">
        <f t="shared" si="7"/>
        <v>0</v>
      </c>
      <c r="AN36">
        <f t="shared" si="7"/>
        <v>0</v>
      </c>
      <c r="AO36">
        <f t="shared" si="7"/>
        <v>0</v>
      </c>
      <c r="AP36">
        <f t="shared" si="7"/>
        <v>0</v>
      </c>
      <c r="AQ36">
        <f t="shared" si="7"/>
        <v>0</v>
      </c>
      <c r="AR36">
        <f t="shared" si="7"/>
        <v>0</v>
      </c>
      <c r="AS36">
        <f t="shared" si="7"/>
        <v>0</v>
      </c>
      <c r="AT36">
        <f t="shared" si="7"/>
        <v>0</v>
      </c>
      <c r="AU36">
        <f t="shared" si="7"/>
        <v>0</v>
      </c>
      <c r="AV36">
        <f t="shared" si="7"/>
        <v>0</v>
      </c>
      <c r="AW36">
        <f t="shared" si="7"/>
        <v>0</v>
      </c>
      <c r="AX36">
        <f t="shared" si="7"/>
        <v>0</v>
      </c>
      <c r="AY36">
        <f t="shared" si="7"/>
        <v>0</v>
      </c>
      <c r="AZ36">
        <f t="shared" si="7"/>
        <v>0</v>
      </c>
    </row>
    <row r="37" spans="1:52" hidden="1" x14ac:dyDescent="0.2">
      <c r="A37" s="3" t="s">
        <v>28</v>
      </c>
      <c r="B37" s="3">
        <f>CEILING(SUM(C37:INDEX(37:37,COLUMNS(37:37))),0.01)</f>
        <v>108150</v>
      </c>
      <c r="C37">
        <f>C27*C19*C20</f>
        <v>108000</v>
      </c>
      <c r="D37">
        <f t="shared" ref="D37:AZ37" si="8">D27*D19*D20</f>
        <v>150</v>
      </c>
      <c r="E37">
        <f t="shared" si="8"/>
        <v>0</v>
      </c>
      <c r="F37">
        <f t="shared" si="8"/>
        <v>0</v>
      </c>
      <c r="G37">
        <f t="shared" si="8"/>
        <v>0</v>
      </c>
      <c r="H37">
        <f t="shared" si="8"/>
        <v>0</v>
      </c>
      <c r="I37">
        <f t="shared" si="8"/>
        <v>0</v>
      </c>
      <c r="J37">
        <f t="shared" si="8"/>
        <v>0</v>
      </c>
      <c r="K37">
        <f t="shared" si="8"/>
        <v>0</v>
      </c>
      <c r="L37">
        <f t="shared" si="8"/>
        <v>0</v>
      </c>
      <c r="M37">
        <f t="shared" si="8"/>
        <v>0</v>
      </c>
      <c r="N37">
        <f t="shared" si="8"/>
        <v>0</v>
      </c>
      <c r="O37">
        <f t="shared" si="8"/>
        <v>0</v>
      </c>
      <c r="P37">
        <f t="shared" si="8"/>
        <v>0</v>
      </c>
      <c r="Q37">
        <f t="shared" si="8"/>
        <v>0</v>
      </c>
      <c r="R37">
        <f t="shared" si="8"/>
        <v>0</v>
      </c>
      <c r="S37">
        <f t="shared" si="8"/>
        <v>0</v>
      </c>
      <c r="T37">
        <f t="shared" si="8"/>
        <v>0</v>
      </c>
      <c r="U37">
        <f t="shared" si="8"/>
        <v>0</v>
      </c>
      <c r="V37">
        <f t="shared" si="8"/>
        <v>0</v>
      </c>
      <c r="W37">
        <f t="shared" si="8"/>
        <v>0</v>
      </c>
      <c r="X37">
        <f t="shared" si="8"/>
        <v>0</v>
      </c>
      <c r="Y37">
        <f t="shared" si="8"/>
        <v>0</v>
      </c>
      <c r="Z37">
        <f t="shared" si="8"/>
        <v>0</v>
      </c>
      <c r="AA37">
        <f t="shared" si="8"/>
        <v>0</v>
      </c>
      <c r="AB37">
        <f t="shared" si="8"/>
        <v>0</v>
      </c>
      <c r="AC37">
        <f t="shared" si="8"/>
        <v>0</v>
      </c>
      <c r="AD37">
        <f t="shared" si="8"/>
        <v>0</v>
      </c>
      <c r="AE37">
        <f t="shared" si="8"/>
        <v>0</v>
      </c>
      <c r="AF37">
        <f t="shared" si="8"/>
        <v>0</v>
      </c>
      <c r="AG37">
        <f t="shared" si="8"/>
        <v>0</v>
      </c>
      <c r="AH37">
        <f t="shared" si="8"/>
        <v>0</v>
      </c>
      <c r="AI37">
        <f t="shared" si="8"/>
        <v>0</v>
      </c>
      <c r="AJ37">
        <f t="shared" si="8"/>
        <v>0</v>
      </c>
      <c r="AK37">
        <f t="shared" si="8"/>
        <v>0</v>
      </c>
      <c r="AL37">
        <f t="shared" si="8"/>
        <v>0</v>
      </c>
      <c r="AM37">
        <f t="shared" si="8"/>
        <v>0</v>
      </c>
      <c r="AN37">
        <f t="shared" si="8"/>
        <v>0</v>
      </c>
      <c r="AO37">
        <f t="shared" si="8"/>
        <v>0</v>
      </c>
      <c r="AP37">
        <f t="shared" si="8"/>
        <v>0</v>
      </c>
      <c r="AQ37">
        <f t="shared" si="8"/>
        <v>0</v>
      </c>
      <c r="AR37">
        <f t="shared" si="8"/>
        <v>0</v>
      </c>
      <c r="AS37">
        <f t="shared" si="8"/>
        <v>0</v>
      </c>
      <c r="AT37">
        <f t="shared" si="8"/>
        <v>0</v>
      </c>
      <c r="AU37">
        <f t="shared" si="8"/>
        <v>0</v>
      </c>
      <c r="AV37">
        <f t="shared" si="8"/>
        <v>0</v>
      </c>
      <c r="AW37">
        <f t="shared" si="8"/>
        <v>0</v>
      </c>
      <c r="AX37">
        <f t="shared" si="8"/>
        <v>0</v>
      </c>
      <c r="AY37">
        <f t="shared" si="8"/>
        <v>0</v>
      </c>
      <c r="AZ37">
        <f t="shared" si="8"/>
        <v>0</v>
      </c>
    </row>
    <row r="41" spans="1:52" ht="17" customHeight="1" x14ac:dyDescent="0.2"/>
  </sheetData>
  <mergeCells count="46">
    <mergeCell ref="E12:F12"/>
    <mergeCell ref="E13:F13"/>
    <mergeCell ref="E8:G9"/>
    <mergeCell ref="B3:M4"/>
    <mergeCell ref="H5:I5"/>
    <mergeCell ref="H6:I7"/>
    <mergeCell ref="A3:A4"/>
    <mergeCell ref="H16:K16"/>
    <mergeCell ref="B5:C5"/>
    <mergeCell ref="B6:C7"/>
    <mergeCell ref="H11:K11"/>
    <mergeCell ref="H12:K12"/>
    <mergeCell ref="H13:K13"/>
    <mergeCell ref="H14:K14"/>
    <mergeCell ref="H15:K15"/>
    <mergeCell ref="H8:L9"/>
    <mergeCell ref="B10:C10"/>
    <mergeCell ref="D5:E5"/>
    <mergeCell ref="D6:E7"/>
    <mergeCell ref="B11:C11"/>
    <mergeCell ref="H10:K10"/>
    <mergeCell ref="A6:A10"/>
    <mergeCell ref="E11:F11"/>
    <mergeCell ref="L6:M7"/>
    <mergeCell ref="B12:C12"/>
    <mergeCell ref="B13:C13"/>
    <mergeCell ref="B14:C14"/>
    <mergeCell ref="B15:C15"/>
    <mergeCell ref="F6:G7"/>
    <mergeCell ref="J6:K7"/>
    <mergeCell ref="B8:D9"/>
    <mergeCell ref="O3:Q4"/>
    <mergeCell ref="P5:Q5"/>
    <mergeCell ref="P7:Q7"/>
    <mergeCell ref="E10:F10"/>
    <mergeCell ref="F5:G5"/>
    <mergeCell ref="J5:K5"/>
    <mergeCell ref="L5:M5"/>
    <mergeCell ref="N11:Q11"/>
    <mergeCell ref="N12:Q12"/>
    <mergeCell ref="P6:Q6"/>
    <mergeCell ref="N9:Q9"/>
    <mergeCell ref="N10:Q10"/>
    <mergeCell ref="N13:Q13"/>
    <mergeCell ref="N14:P14"/>
    <mergeCell ref="N15:P15"/>
  </mergeCells>
  <conditionalFormatting sqref="G12">
    <cfRule type="cellIs" dxfId="1" priority="2" stopIfTrue="1" operator="greaterThan">
      <formula>$G$11</formula>
    </cfRule>
  </conditionalFormatting>
  <conditionalFormatting sqref="G13">
    <cfRule type="cellIs" dxfId="0" priority="1" stopIfTrue="1" operator="greaterThan">
      <formula>$G$11</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2019-09-16T23:35:33Z</dcterms:created>
  <dcterms:modified xsi:type="dcterms:W3CDTF">2020-01-28T21:39:00Z</dcterms:modified>
</cp:coreProperties>
</file>