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alid\Downloads\"/>
    </mc:Choice>
  </mc:AlternateContent>
  <xr:revisionPtr revIDLastSave="0" documentId="13_ncr:1_{B02BD28D-A43F-4AD4-89F7-B330590FF009}" xr6:coauthVersionLast="47" xr6:coauthVersionMax="47" xr10:uidLastSave="{00000000-0000-0000-0000-000000000000}"/>
  <bookViews>
    <workbookView xWindow="-108" yWindow="-108" windowWidth="23256" windowHeight="12456" firstSheet="6" activeTab="9" xr2:uid="{00000000-000D-0000-FFFF-FFFF00000000}"/>
  </bookViews>
  <sheets>
    <sheet name="Introduction" sheetId="12" r:id="rId1"/>
    <sheet name="Analysis &amp; Insights" sheetId="13" r:id="rId2"/>
    <sheet name="Free Cash Flow" sheetId="2" r:id="rId3"/>
    <sheet name="Fixed Assets" sheetId="3" r:id="rId4"/>
    <sheet name="Net Working Capital" sheetId="4" r:id="rId5"/>
    <sheet name="DCF" sheetId="5" r:id="rId6"/>
    <sheet name="WACC" sheetId="6" r:id="rId7"/>
    <sheet name="Income Statement" sheetId="8" r:id="rId8"/>
    <sheet name="Balance Sheet" sheetId="9" r:id="rId9"/>
    <sheet name="Cash Flow Statement"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3" l="1"/>
  <c r="A15" i="13"/>
  <c r="N52" i="13"/>
  <c r="N51" i="13"/>
  <c r="K58" i="13"/>
  <c r="J58" i="13"/>
  <c r="I58" i="13"/>
  <c r="H58" i="13"/>
  <c r="G58" i="13"/>
  <c r="F58" i="13"/>
  <c r="E58" i="13"/>
  <c r="D58" i="13"/>
  <c r="C58" i="13"/>
  <c r="B58" i="13"/>
  <c r="K57" i="13"/>
  <c r="J57" i="13"/>
  <c r="I57" i="13"/>
  <c r="H57" i="13"/>
  <c r="G57" i="13"/>
  <c r="F57" i="13"/>
  <c r="E57" i="13"/>
  <c r="D57" i="13"/>
  <c r="C57" i="13"/>
  <c r="B57" i="13"/>
  <c r="K56" i="13"/>
  <c r="J56" i="13"/>
  <c r="I56" i="13"/>
  <c r="H56" i="13"/>
  <c r="G56" i="13"/>
  <c r="F56" i="13"/>
  <c r="E56" i="13"/>
  <c r="D56" i="13"/>
  <c r="C56" i="13"/>
  <c r="B56" i="13"/>
  <c r="K55" i="13"/>
  <c r="J55" i="13"/>
  <c r="I55" i="13"/>
  <c r="H55" i="13"/>
  <c r="G55" i="13"/>
  <c r="F55" i="13"/>
  <c r="E55" i="13"/>
  <c r="D55" i="13"/>
  <c r="C55" i="13"/>
  <c r="B55" i="13"/>
  <c r="K54" i="13"/>
  <c r="J54" i="13"/>
  <c r="I54" i="13"/>
  <c r="H54" i="13"/>
  <c r="G54" i="13"/>
  <c r="F54" i="13"/>
  <c r="E54" i="13"/>
  <c r="D54" i="13"/>
  <c r="C54" i="13"/>
  <c r="B54" i="13"/>
  <c r="K53" i="13"/>
  <c r="J53" i="13"/>
  <c r="I53" i="13"/>
  <c r="H53" i="13"/>
  <c r="G53" i="13"/>
  <c r="F53" i="13"/>
  <c r="E53" i="13"/>
  <c r="D53" i="13"/>
  <c r="C53" i="13"/>
  <c r="B53" i="13"/>
  <c r="K52" i="13"/>
  <c r="J52" i="13"/>
  <c r="I52" i="13"/>
  <c r="H52" i="13"/>
  <c r="G52" i="13"/>
  <c r="F52" i="13"/>
  <c r="E52" i="13"/>
  <c r="D52" i="13"/>
  <c r="C52" i="13"/>
  <c r="B52" i="13"/>
  <c r="K51" i="13"/>
  <c r="J51" i="13"/>
  <c r="I51" i="13"/>
  <c r="H51" i="13"/>
  <c r="G51" i="13"/>
  <c r="E51" i="13"/>
  <c r="D51" i="13"/>
  <c r="C51" i="13"/>
  <c r="B51" i="13"/>
  <c r="G5" i="13"/>
  <c r="D5" i="13"/>
  <c r="A5" i="13"/>
  <c r="J12" i="5"/>
  <c r="I12" i="5"/>
  <c r="C17" i="5"/>
  <c r="C18" i="5"/>
  <c r="C16" i="5"/>
  <c r="H7" i="5"/>
  <c r="C12" i="5"/>
  <c r="F15" i="5" s="1"/>
  <c r="C18" i="6"/>
  <c r="C16" i="6"/>
  <c r="C15" i="6"/>
  <c r="C9" i="6"/>
  <c r="C8" i="6"/>
  <c r="C6" i="6"/>
  <c r="D27" i="8"/>
  <c r="E4" i="5"/>
  <c r="F4" i="5"/>
  <c r="G4" i="5"/>
  <c r="H4" i="5"/>
  <c r="I4" i="5"/>
  <c r="I7" i="5" s="1"/>
  <c r="J4" i="5"/>
  <c r="J7" i="5" s="1"/>
  <c r="K4" i="5"/>
  <c r="K7" i="5" s="1"/>
  <c r="C13" i="5" s="1"/>
  <c r="C14" i="5" s="1"/>
  <c r="D4" i="5"/>
  <c r="F21" i="2"/>
  <c r="G21" i="2"/>
  <c r="H21" i="2"/>
  <c r="I21" i="2"/>
  <c r="J21" i="2"/>
  <c r="H10" i="4"/>
  <c r="I10" i="4"/>
  <c r="J10" i="4"/>
  <c r="K10" i="4"/>
  <c r="H11" i="4"/>
  <c r="H14" i="4" s="1"/>
  <c r="I11" i="4"/>
  <c r="I14" i="4" s="1"/>
  <c r="J11" i="4"/>
  <c r="K11" i="4"/>
  <c r="H12" i="4"/>
  <c r="I12" i="4"/>
  <c r="J12" i="4"/>
  <c r="J14" i="4" s="1"/>
  <c r="K12" i="4"/>
  <c r="K14" i="4" s="1"/>
  <c r="H13" i="4"/>
  <c r="I13" i="4"/>
  <c r="J13" i="4"/>
  <c r="K13" i="4"/>
  <c r="G11" i="4"/>
  <c r="G12" i="4"/>
  <c r="G13" i="4"/>
  <c r="G10" i="4"/>
  <c r="H6" i="4"/>
  <c r="I6" i="4"/>
  <c r="J6" i="4"/>
  <c r="K6" i="4"/>
  <c r="K7" i="4" s="1"/>
  <c r="G6" i="4"/>
  <c r="I7" i="4"/>
  <c r="H7" i="4"/>
  <c r="G7" i="4"/>
  <c r="G14" i="4"/>
  <c r="F10" i="4"/>
  <c r="G29" i="4"/>
  <c r="G28" i="4"/>
  <c r="F23" i="4"/>
  <c r="J7" i="4"/>
  <c r="G27" i="4"/>
  <c r="K25" i="4"/>
  <c r="J25" i="4"/>
  <c r="I25" i="4"/>
  <c r="H25" i="4"/>
  <c r="G25" i="4"/>
  <c r="K9" i="4"/>
  <c r="J9" i="4"/>
  <c r="I9" i="4"/>
  <c r="H9" i="4"/>
  <c r="G9" i="4"/>
  <c r="K5" i="4"/>
  <c r="J5" i="4"/>
  <c r="I5" i="4"/>
  <c r="H5" i="4"/>
  <c r="G5" i="4"/>
  <c r="K4" i="4"/>
  <c r="J4" i="4"/>
  <c r="I4" i="4"/>
  <c r="H4" i="4"/>
  <c r="G4" i="4"/>
  <c r="E23" i="4"/>
  <c r="D23" i="4"/>
  <c r="C23" i="4"/>
  <c r="K21" i="4"/>
  <c r="J21" i="4"/>
  <c r="I21" i="4"/>
  <c r="H21" i="4"/>
  <c r="G21" i="4"/>
  <c r="F22" i="4"/>
  <c r="E22" i="4"/>
  <c r="D22" i="4"/>
  <c r="C22" i="4"/>
  <c r="F21" i="4"/>
  <c r="E21" i="4"/>
  <c r="D21" i="4"/>
  <c r="C21" i="4"/>
  <c r="F29" i="4"/>
  <c r="E29" i="4"/>
  <c r="D29" i="4"/>
  <c r="C29" i="4"/>
  <c r="F28" i="4"/>
  <c r="E28" i="4"/>
  <c r="D28" i="4"/>
  <c r="C28" i="4"/>
  <c r="F27" i="4"/>
  <c r="E27" i="4"/>
  <c r="D27" i="4"/>
  <c r="C27" i="4"/>
  <c r="F26" i="4"/>
  <c r="E26" i="4"/>
  <c r="D26" i="4"/>
  <c r="C26" i="4"/>
  <c r="D25" i="4"/>
  <c r="E25" i="4"/>
  <c r="F25" i="4"/>
  <c r="C25" i="4"/>
  <c r="I16" i="2"/>
  <c r="J16" i="2"/>
  <c r="G16" i="2"/>
  <c r="H16" i="2"/>
  <c r="F16" i="2"/>
  <c r="G15" i="2"/>
  <c r="H15" i="2"/>
  <c r="I15" i="2"/>
  <c r="J15" i="2"/>
  <c r="F15" i="2"/>
  <c r="F14" i="2"/>
  <c r="G14" i="2"/>
  <c r="H14" i="2"/>
  <c r="I14" i="2"/>
  <c r="J14" i="2"/>
  <c r="G13" i="2"/>
  <c r="H13" i="2"/>
  <c r="I13" i="2"/>
  <c r="J13" i="2"/>
  <c r="F13" i="2"/>
  <c r="F12" i="2"/>
  <c r="G12" i="2"/>
  <c r="H12" i="2"/>
  <c r="I12" i="2"/>
  <c r="J12" i="2"/>
  <c r="G11" i="2"/>
  <c r="H11" i="2"/>
  <c r="I11" i="2"/>
  <c r="J11" i="2"/>
  <c r="F6" i="3"/>
  <c r="F4" i="3"/>
  <c r="J8" i="2"/>
  <c r="I8" i="2"/>
  <c r="H8" i="2"/>
  <c r="G8" i="2"/>
  <c r="F8" i="2"/>
  <c r="J9" i="2"/>
  <c r="I9" i="2"/>
  <c r="H9" i="2"/>
  <c r="H10" i="2" s="1"/>
  <c r="G9" i="2"/>
  <c r="F9" i="2"/>
  <c r="J10" i="2"/>
  <c r="I10" i="2"/>
  <c r="G10" i="2"/>
  <c r="F10" i="2"/>
  <c r="J6" i="2"/>
  <c r="I6" i="2"/>
  <c r="H6" i="2"/>
  <c r="G6" i="2"/>
  <c r="F6" i="2"/>
  <c r="J5" i="2"/>
  <c r="I5" i="2"/>
  <c r="H5" i="2"/>
  <c r="G5" i="2"/>
  <c r="H19" i="4" s="1"/>
  <c r="F5" i="2"/>
  <c r="G4" i="2"/>
  <c r="H4" i="2" s="1"/>
  <c r="F4" i="2"/>
  <c r="C13" i="6"/>
  <c r="C4" i="6"/>
  <c r="K19" i="4"/>
  <c r="J19" i="4"/>
  <c r="I19" i="4"/>
  <c r="G19" i="4"/>
  <c r="F19" i="4"/>
  <c r="E19" i="4"/>
  <c r="D19" i="4"/>
  <c r="G18" i="4"/>
  <c r="F18" i="4"/>
  <c r="E18" i="4"/>
  <c r="D18" i="4"/>
  <c r="F14" i="4"/>
  <c r="E20" i="2" s="1"/>
  <c r="E14" i="4"/>
  <c r="D14" i="4"/>
  <c r="C14" i="4"/>
  <c r="F13" i="4"/>
  <c r="E13" i="4"/>
  <c r="D13" i="4"/>
  <c r="C13" i="4"/>
  <c r="F12" i="4"/>
  <c r="E12" i="4"/>
  <c r="D12" i="4"/>
  <c r="C12" i="4"/>
  <c r="F11" i="4"/>
  <c r="E11" i="4"/>
  <c r="D11" i="4"/>
  <c r="C11" i="4"/>
  <c r="E10" i="4"/>
  <c r="D10" i="4"/>
  <c r="C10" i="4"/>
  <c r="F9" i="4"/>
  <c r="E9" i="4"/>
  <c r="D9" i="4"/>
  <c r="C9" i="4"/>
  <c r="F7" i="4"/>
  <c r="E7" i="4"/>
  <c r="D7" i="4"/>
  <c r="C7" i="4"/>
  <c r="F6" i="4"/>
  <c r="E6" i="4"/>
  <c r="D6" i="4"/>
  <c r="C6" i="4"/>
  <c r="F5" i="4"/>
  <c r="E5" i="4"/>
  <c r="D5" i="4"/>
  <c r="C5" i="4"/>
  <c r="F4" i="4"/>
  <c r="E4" i="4"/>
  <c r="D4" i="4"/>
  <c r="C4" i="4"/>
  <c r="J12" i="3"/>
  <c r="I12" i="3"/>
  <c r="H12" i="3"/>
  <c r="G12" i="3"/>
  <c r="E7" i="3"/>
  <c r="D7" i="3"/>
  <c r="C7" i="3"/>
  <c r="C6" i="3"/>
  <c r="C16" i="2" s="1"/>
  <c r="E5" i="3"/>
  <c r="E11" i="3" s="1"/>
  <c r="D5" i="3"/>
  <c r="D11" i="3" s="1"/>
  <c r="C5" i="3"/>
  <c r="C11" i="3" s="1"/>
  <c r="F11" i="3" s="1"/>
  <c r="E4" i="3"/>
  <c r="D4" i="3"/>
  <c r="C4" i="3"/>
  <c r="E29" i="2"/>
  <c r="D29" i="2"/>
  <c r="C29" i="2"/>
  <c r="J28" i="2"/>
  <c r="I28" i="2"/>
  <c r="H28" i="2"/>
  <c r="G28" i="2"/>
  <c r="F28" i="2"/>
  <c r="E28" i="2"/>
  <c r="D28" i="2"/>
  <c r="C28" i="2"/>
  <c r="J27" i="2"/>
  <c r="I27" i="2"/>
  <c r="H27" i="2"/>
  <c r="G27" i="2"/>
  <c r="F27" i="2"/>
  <c r="E27" i="2"/>
  <c r="D27" i="2"/>
  <c r="C27" i="2"/>
  <c r="E25" i="2"/>
  <c r="D25" i="2"/>
  <c r="J24" i="2"/>
  <c r="I24" i="2"/>
  <c r="H24" i="2"/>
  <c r="G24" i="2"/>
  <c r="F24" i="2"/>
  <c r="E24" i="2"/>
  <c r="D24" i="2"/>
  <c r="C24" i="2"/>
  <c r="B24" i="2"/>
  <c r="D20" i="2"/>
  <c r="C20" i="2"/>
  <c r="E19" i="2"/>
  <c r="D19" i="2"/>
  <c r="D18" i="2" s="1"/>
  <c r="C19" i="2"/>
  <c r="C18" i="2" s="1"/>
  <c r="C17" i="2" s="1"/>
  <c r="E15" i="2"/>
  <c r="D15" i="2"/>
  <c r="C15" i="2"/>
  <c r="E14" i="2"/>
  <c r="D14" i="2"/>
  <c r="C14" i="2"/>
  <c r="E13" i="2"/>
  <c r="D13" i="2"/>
  <c r="C13" i="2"/>
  <c r="E12" i="2"/>
  <c r="D12" i="2"/>
  <c r="C12" i="2"/>
  <c r="E11" i="2"/>
  <c r="D11" i="2"/>
  <c r="C11" i="2"/>
  <c r="E10" i="2"/>
  <c r="D10" i="2"/>
  <c r="C10" i="2"/>
  <c r="E9" i="2"/>
  <c r="D9" i="2"/>
  <c r="C9" i="2"/>
  <c r="E8" i="2"/>
  <c r="D8" i="2"/>
  <c r="C8" i="2"/>
  <c r="E6" i="2"/>
  <c r="D6" i="2"/>
  <c r="C6" i="2"/>
  <c r="E5" i="2"/>
  <c r="D5" i="2"/>
  <c r="C5" i="2"/>
  <c r="E4" i="2"/>
  <c r="D4" i="2"/>
  <c r="C4" i="2"/>
  <c r="G7" i="5" l="1"/>
  <c r="C10" i="5" s="1"/>
  <c r="C15" i="5" s="1"/>
  <c r="C19" i="5" s="1"/>
  <c r="C21" i="5" s="1"/>
  <c r="F12" i="5" s="1"/>
  <c r="E18" i="2"/>
  <c r="E17" i="2" s="1"/>
  <c r="D17" i="2"/>
  <c r="C21" i="2"/>
  <c r="F5" i="3"/>
  <c r="G11" i="3"/>
  <c r="H11" i="3" s="1"/>
  <c r="I11" i="3" s="1"/>
  <c r="J11" i="3" s="1"/>
  <c r="C12" i="3"/>
  <c r="D6" i="3"/>
  <c r="E6" i="3"/>
  <c r="I4" i="2"/>
  <c r="I18" i="4"/>
  <c r="H18" i="4"/>
  <c r="E16" i="2" l="1"/>
  <c r="E21" i="2" s="1"/>
  <c r="E12" i="3"/>
  <c r="D16" i="2"/>
  <c r="D21" i="2" s="1"/>
  <c r="D12" i="3"/>
  <c r="F11" i="2"/>
  <c r="F7" i="3"/>
  <c r="G4" i="3" s="1"/>
  <c r="J4" i="2"/>
  <c r="K18" i="4" s="1"/>
  <c r="J18" i="4"/>
  <c r="G6" i="3" l="1"/>
  <c r="G5" i="3"/>
  <c r="G7" i="3" s="1"/>
  <c r="H4" i="3" s="1"/>
  <c r="H6" i="3" l="1"/>
  <c r="H5" i="3"/>
  <c r="H7" i="3" s="1"/>
  <c r="I4" i="3" s="1"/>
  <c r="I6" i="3" l="1"/>
  <c r="I5" i="3"/>
  <c r="I7" i="3" s="1"/>
  <c r="J4" i="3" s="1"/>
  <c r="J6" i="3" l="1"/>
  <c r="J5" i="3"/>
  <c r="J7" i="3" s="1"/>
  <c r="G19" i="2"/>
  <c r="G18" i="2"/>
  <c r="G20" i="2"/>
  <c r="I20" i="2"/>
  <c r="I18" i="2"/>
  <c r="I19" i="2"/>
  <c r="H19" i="2"/>
  <c r="H18" i="2"/>
  <c r="H20" i="2"/>
  <c r="J19" i="2"/>
  <c r="J18" i="2"/>
  <c r="J20" i="2"/>
  <c r="F19" i="2"/>
  <c r="F18" i="2"/>
  <c r="F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1" authorId="0" shapeId="0" xr:uid="{00000000-0006-0000-0400-000001000000}">
      <text>
        <r>
          <rPr>
            <sz val="10"/>
            <rFont val="SimSun"/>
            <charset val="134"/>
          </rPr>
          <t>======
ID#AAAAccCPVgc
kenji    (2022-07-02 07:51:37)
Industry Growth Rate</t>
        </r>
      </text>
    </comment>
    <comment ref="C20" authorId="0" shapeId="0" xr:uid="{00000000-0006-0000-0400-000002000000}">
      <text>
        <r>
          <rPr>
            <sz val="10"/>
            <rFont val="SimSun"/>
            <charset val="134"/>
          </rPr>
          <t>======
ID#AAAAccCPVgg
kenji    (2022-07-02 07:51:37)
Source: Company 10k filing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0500-000001000000}">
      <text>
        <r>
          <rPr>
            <sz val="10"/>
            <rFont val="SimSun"/>
            <charset val="134"/>
          </rPr>
          <t>======
ID#AAAAccCPVgU
kenji    (2022-07-02 07:51:37)
Source: Bloomberg</t>
        </r>
      </text>
    </comment>
    <comment ref="C7" authorId="0" shapeId="0" xr:uid="{00000000-0006-0000-0500-000002000000}">
      <text>
        <r>
          <rPr>
            <sz val="10"/>
            <rFont val="SimSun"/>
            <charset val="134"/>
          </rPr>
          <t>======
ID#AAAAccCPVgk
kenji    (2022-07-02 07:51:37)
US Corporate Tax Rate</t>
        </r>
      </text>
    </comment>
    <comment ref="C11" authorId="0" shapeId="0" xr:uid="{00000000-0006-0000-0500-000003000000}">
      <text>
        <r>
          <rPr>
            <sz val="10"/>
            <rFont val="SimSun"/>
            <charset val="134"/>
          </rPr>
          <t>======
ID#AAAAccCPVgs
kenji    (2022-07-02 07:51:37)
Source: Bloomberg</t>
        </r>
      </text>
    </comment>
    <comment ref="C12" authorId="0" shapeId="0" xr:uid="{00000000-0006-0000-0500-000004000000}">
      <text>
        <r>
          <rPr>
            <sz val="10"/>
            <rFont val="SimSun"/>
            <charset val="134"/>
          </rPr>
          <t>======
ID#AAAAccCPVgo
kenji    (2022-07-02 07:51:37)
Source: Bloomberg</t>
        </r>
      </text>
    </comment>
    <comment ref="C14" authorId="0" shapeId="0" xr:uid="{00000000-0006-0000-0500-000005000000}">
      <text>
        <r>
          <rPr>
            <sz val="10"/>
            <rFont val="SimSun"/>
            <charset val="134"/>
          </rPr>
          <t>======
ID#AAAAccCPVgY
kenji    (2022-07-02 07:51:37)
Source: Bloomberg</t>
        </r>
      </text>
    </comment>
  </commentList>
</comments>
</file>

<file path=xl/sharedStrings.xml><?xml version="1.0" encoding="utf-8"?>
<sst xmlns="http://schemas.openxmlformats.org/spreadsheetml/2006/main" count="279" uniqueCount="248">
  <si>
    <t>Unlevered Free Cash Flow (mm)</t>
  </si>
  <si>
    <t>Fiscal Year</t>
  </si>
  <si>
    <t>Revenue</t>
  </si>
  <si>
    <t>COGS</t>
  </si>
  <si>
    <t>Gross Profit</t>
  </si>
  <si>
    <t>Operating Expenses</t>
  </si>
  <si>
    <t>Selling, General, Administrative</t>
  </si>
  <si>
    <t>Total Operating Expenses</t>
  </si>
  <si>
    <t>EBITDA</t>
  </si>
  <si>
    <t>Depreciation &amp; Amortization</t>
  </si>
  <si>
    <t>Operating Profit (EBIT)</t>
  </si>
  <si>
    <t>Operating Taxes</t>
  </si>
  <si>
    <t>NOPAT (Net Operating Profit After Taxes)</t>
  </si>
  <si>
    <t>(+) Depreciation &amp; Amortization</t>
  </si>
  <si>
    <t>(-) Capital Expenditures</t>
  </si>
  <si>
    <t>(-) Change in NWC</t>
  </si>
  <si>
    <t>NWC</t>
  </si>
  <si>
    <t>Current Assets</t>
  </si>
  <si>
    <t>Unlevered Free Cash Flow</t>
  </si>
  <si>
    <t>Assumptions</t>
  </si>
  <si>
    <t>Revenue Growth</t>
  </si>
  <si>
    <t>COGS % of Revenue</t>
  </si>
  <si>
    <t>SG&amp;A % of Revenue</t>
  </si>
  <si>
    <t>Tax % of EBIT</t>
  </si>
  <si>
    <t>Fixed Assets Schedule</t>
  </si>
  <si>
    <t>Beginning PP&amp;E</t>
  </si>
  <si>
    <t>D&amp;A</t>
  </si>
  <si>
    <t>CapEx</t>
  </si>
  <si>
    <t>Ending PP&amp;E</t>
  </si>
  <si>
    <t>D&amp;A as a % of Beginning PP&amp;E</t>
  </si>
  <si>
    <t>CapEx as a % of Beginning PP&amp;E</t>
  </si>
  <si>
    <t>Net Working Capital</t>
  </si>
  <si>
    <t>Accounts Receivables</t>
  </si>
  <si>
    <t>Merchandise Inventory</t>
  </si>
  <si>
    <t>Other Current Assets</t>
  </si>
  <si>
    <t>Accounts Payable</t>
  </si>
  <si>
    <t>Accrued Salaries and Benefits</t>
  </si>
  <si>
    <t>Accrued Member Rewards</t>
  </si>
  <si>
    <t>Deferred Membership Fees</t>
  </si>
  <si>
    <t>Other Current Liabilities</t>
  </si>
  <si>
    <t>Current Liabilities</t>
  </si>
  <si>
    <t>Days Sales Outstanding (DSO)</t>
  </si>
  <si>
    <t>Days Inventory Outstanding (DIO)</t>
  </si>
  <si>
    <t>Days Payable Outstanding (DPO)</t>
  </si>
  <si>
    <t>Other Current Assets as a % of Revenue</t>
  </si>
  <si>
    <t>Accrued Salaries as a % of Revenue</t>
  </si>
  <si>
    <t>Accrued Member Rewards as a % of Revenue</t>
  </si>
  <si>
    <t>Deferred Membership Fees as a % of Revenue</t>
  </si>
  <si>
    <t>Other Current Liabilities as a % of Revenue</t>
  </si>
  <si>
    <t>Projection Year</t>
  </si>
  <si>
    <t>Present Value of Free Cash Flow</t>
  </si>
  <si>
    <t>Implied Share Price Calculation</t>
  </si>
  <si>
    <t>Sensitivity Table</t>
  </si>
  <si>
    <t>Sum of PV of FCF</t>
  </si>
  <si>
    <t>Growth Rate</t>
  </si>
  <si>
    <t>WACC</t>
  </si>
  <si>
    <t>Terminal Value</t>
  </si>
  <si>
    <t>PV of Terminal Value</t>
  </si>
  <si>
    <t>Enterprise Value</t>
  </si>
  <si>
    <t>(+) Cash</t>
  </si>
  <si>
    <t>(-) Debt</t>
  </si>
  <si>
    <t>(-) Minority Interest</t>
  </si>
  <si>
    <t>Equity Value</t>
  </si>
  <si>
    <t>Diluted Shares Outstanding (mm)</t>
  </si>
  <si>
    <t>Implied Share Price</t>
  </si>
  <si>
    <t>Weighted Average Cost of Capital (WACC)</t>
  </si>
  <si>
    <t>Equity (mm)</t>
  </si>
  <si>
    <t>Debt (mm)</t>
  </si>
  <si>
    <t>Cost of Debt</t>
  </si>
  <si>
    <t>Tax Rate</t>
  </si>
  <si>
    <t>D/(D+E)</t>
  </si>
  <si>
    <t>After Tax Cost of Debt</t>
  </si>
  <si>
    <t>Risk Free Rate (10-Yr Treasury Yield)</t>
  </si>
  <si>
    <t>Expected Market Return</t>
  </si>
  <si>
    <t>Market Risk Premium</t>
  </si>
  <si>
    <t>Levered Beta</t>
  </si>
  <si>
    <t>E/(D+E)</t>
  </si>
  <si>
    <t>Cost of Equity</t>
  </si>
  <si>
    <t>Consolidated Statements Of Income - USD ($) shares in Thousands, $ in Millions</t>
  </si>
  <si>
    <t>Sep. 01, 2019</t>
  </si>
  <si>
    <t>Aug. 30, 2020</t>
  </si>
  <si>
    <t>Aug. 29, 2021</t>
  </si>
  <si>
    <t>REVENUE</t>
  </si>
  <si>
    <t>Total revenue</t>
  </si>
  <si>
    <t>OPERATING EXPENSES</t>
  </si>
  <si>
    <t>Merchandise costs</t>
  </si>
  <si>
    <t>Selling, general and administrative</t>
  </si>
  <si>
    <t>Preopening expenses</t>
  </si>
  <si>
    <t>Operating Income</t>
  </si>
  <si>
    <t>OTHER INCOME (EXPENSE)</t>
  </si>
  <si>
    <t>Interest expense</t>
  </si>
  <si>
    <t>Interest income and other, net</t>
  </si>
  <si>
    <t>INCOME BEFORE INCOME TAXES</t>
  </si>
  <si>
    <t>Income Tax Expense (Benefit)</t>
  </si>
  <si>
    <t>Net Income</t>
  </si>
  <si>
    <t>Diluted (shares)</t>
  </si>
  <si>
    <t>Merchandise Sales Revenue</t>
  </si>
  <si>
    <t>Membership Fee Revenue</t>
  </si>
  <si>
    <t>Consolidated Balance Sheets - USD ($) $ in Millions</t>
  </si>
  <si>
    <t>Sep. 02, 2018</t>
  </si>
  <si>
    <t>CURRENT ASSETS</t>
  </si>
  <si>
    <t>Cash and cash equivalents</t>
  </si>
  <si>
    <t>Short-term investments</t>
  </si>
  <si>
    <t>Receivables, net</t>
  </si>
  <si>
    <t>Merchandise inventories</t>
  </si>
  <si>
    <t>Other current assets</t>
  </si>
  <si>
    <t>Total current assets</t>
  </si>
  <si>
    <t>OTHER ASSETS</t>
  </si>
  <si>
    <t>Property and Equipment, net</t>
  </si>
  <si>
    <t>Operating lease right-of-use assets</t>
  </si>
  <si>
    <t>Other long-term assets</t>
  </si>
  <si>
    <t>TOTAL ASSETS</t>
  </si>
  <si>
    <t>CURRENT LIABILITIES</t>
  </si>
  <si>
    <t>Accounts payable</t>
  </si>
  <si>
    <t>Accrued salaries and benefits</t>
  </si>
  <si>
    <t>Accrued member rewards</t>
  </si>
  <si>
    <t>Deferred membership fees</t>
  </si>
  <si>
    <t>Current portion of long-term debt</t>
  </si>
  <si>
    <t>Other current liabilities</t>
  </si>
  <si>
    <t>Total current liabilities</t>
  </si>
  <si>
    <t>OTHER LIABILITIES</t>
  </si>
  <si>
    <t>Long-term debt, excluding current portion</t>
  </si>
  <si>
    <t>Long-term operating lease liabilities</t>
  </si>
  <si>
    <t>Other long-term liabilities</t>
  </si>
  <si>
    <t>Total liabilities</t>
  </si>
  <si>
    <t>EQUITY</t>
  </si>
  <si>
    <t>Preferred stock $.01 par value; 100,000,000 shares authorized; no shares issued and outstanding</t>
  </si>
  <si>
    <t>Common Stock $.01 par value; 100,000,000 shares authorized; 441,825,000 and 441,255,000 shares issued and outstanding</t>
  </si>
  <si>
    <t>Additional paid-in capital</t>
  </si>
  <si>
    <t>Accumulated other comprehensive loss</t>
  </si>
  <si>
    <t>Retained earnings</t>
  </si>
  <si>
    <t>Total Costco stockholders' equity</t>
  </si>
  <si>
    <t>Noncontrolling interests</t>
  </si>
  <si>
    <t>Total equity</t>
  </si>
  <si>
    <t>TOTAL LIABILITIES AND EQUITY</t>
  </si>
  <si>
    <t>Consolidated Statements Of Cash Flows - USD ($) $ in Millions</t>
  </si>
  <si>
    <t>CASH FLOWS FROM OPERATING ACTIVITIES</t>
  </si>
  <si>
    <t>Net income including noncontrolling interests</t>
  </si>
  <si>
    <t>Adjustments to reconcile net income including noncontrolling interests to net cash provided by operating activities:</t>
  </si>
  <si>
    <t>Depreciation and amortization</t>
  </si>
  <si>
    <t>Non-cash lease expense</t>
  </si>
  <si>
    <t>Stock-based compensation</t>
  </si>
  <si>
    <t>Other non-cash operating activities, net</t>
  </si>
  <si>
    <t>Deferred income taxes</t>
  </si>
  <si>
    <t>Changes in operating assets and liabilities:</t>
  </si>
  <si>
    <t>Other operating assets and liabilities, net</t>
  </si>
  <si>
    <t>Net Cash Provided by (Used in) Operating Activities</t>
  </si>
  <si>
    <t>CASH FLOWS FROM INVESTING ACTIVITIES</t>
  </si>
  <si>
    <t>Purchases of short-term investments</t>
  </si>
  <si>
    <t>Maturities and sales of short-term investments</t>
  </si>
  <si>
    <t>Additions to property and equipment</t>
  </si>
  <si>
    <t>Acquisitions</t>
  </si>
  <si>
    <t>Other investing activities, net</t>
  </si>
  <si>
    <t>Net Cash Provided by (Used in) Investing Activities</t>
  </si>
  <si>
    <t>CASH FLOWS FROM FINANCING ACTIVITIES</t>
  </si>
  <si>
    <t>Change in bank payments outstanding</t>
  </si>
  <si>
    <t>Proceeds from short-term borrowings</t>
  </si>
  <si>
    <t>Proceeds from issuance of long-term debt</t>
  </si>
  <si>
    <t>Repayments of long-term debt</t>
  </si>
  <si>
    <t>Tax withholdings on stock-based awards</t>
  </si>
  <si>
    <t>Repurchases of common stock</t>
  </si>
  <si>
    <t>Cash dividend payments</t>
  </si>
  <si>
    <t>Other financing activities, net</t>
  </si>
  <si>
    <t>Net Cash Provided by (Used in) Financing Activities</t>
  </si>
  <si>
    <t>EFFECT OF EXCHANGE RATE CHANGES ON CASH AND CASH EQUIVALENTS</t>
  </si>
  <si>
    <t>Net change in cash and cash equivalents</t>
  </si>
  <si>
    <t>CASH AND CASH EQUIVALENTS BEGINNING OF YEAR</t>
  </si>
  <si>
    <t>CASH AND CASH EQUIVALENTS END OF YEAR</t>
  </si>
  <si>
    <t>SUPPLEMENTAL DISCLOSURE OF CASH FLOW INFORMATION:</t>
  </si>
  <si>
    <t>Interest paid</t>
  </si>
  <si>
    <t>Income taxes paid, net</t>
  </si>
  <si>
    <t>SUPPLEMENTAL DISCLOSURE OF NON-CASH INVESTING AND FINANCING ACTIVITIES:</t>
  </si>
  <si>
    <t>Cash dividend declared, but not yet paid</t>
  </si>
  <si>
    <t>E(Ri) = Rf + Bi*(E(Rm)-Rf)</t>
  </si>
  <si>
    <t>2019A</t>
  </si>
  <si>
    <t>2020A</t>
  </si>
  <si>
    <t>2021A</t>
  </si>
  <si>
    <t>2022E</t>
  </si>
  <si>
    <t>2023E</t>
  </si>
  <si>
    <t>2024E</t>
  </si>
  <si>
    <t>2025E</t>
  </si>
  <si>
    <t>2026E</t>
  </si>
  <si>
    <t>Financial Analyst</t>
  </si>
  <si>
    <t>Discounted Cash Flow Valuation Study</t>
  </si>
  <si>
    <t>Professional portfolio case study | Publicly traded company | Integrated operating forecast, WACC and valuation sensitivity</t>
  </si>
  <si>
    <t>PROFESSIONAL PROFILE</t>
  </si>
  <si>
    <t>Name</t>
  </si>
  <si>
    <t>Walid Takhim</t>
  </si>
  <si>
    <t>Role</t>
  </si>
  <si>
    <t>Focus</t>
  </si>
  <si>
    <t>Corporate valuation &amp; financial modeling</t>
  </si>
  <si>
    <t>PROJECT PURPOSE</t>
  </si>
  <si>
    <t>This workbook demonstrates the ability to build a complete, auditable DCF model for a publicly traded company—from historical financial analysis and operating forecasts to free cash flow valuation and scenario testing.</t>
  </si>
  <si>
    <t>MODEL CAPABILITIES DEMONSTRATED</t>
  </si>
  <si>
    <t>OPERATING FORECAST</t>
  </si>
  <si>
    <t>FREE CASH FLOW</t>
  </si>
  <si>
    <t>COST OF CAPITAL</t>
  </si>
  <si>
    <t>VALUATION</t>
  </si>
  <si>
    <t>Revenue growth, cost structure, EBITDA, taxes and margin development based on historical performance and explicit assumptions.</t>
  </si>
  <si>
    <t>Unlevered free cash flow derived from NOPAT, D&amp;A, capital expenditure and changes in net working capital.</t>
  </si>
  <si>
    <t>WACC built from capital structure, cost of debt, tax rate, risk-free rate, market risk premium and levered beta.</t>
  </si>
  <si>
    <t>Enterprise and equity value, implied share price, terminal value and two-variable sensitivity analysis.</t>
  </si>
  <si>
    <t>ANALYTICAL WORKFLOW</t>
  </si>
  <si>
    <t>01  ANALYZE</t>
  </si>
  <si>
    <t>02  FORECAST</t>
  </si>
  <si>
    <t>03  VALUE</t>
  </si>
  <si>
    <t>04  TEST</t>
  </si>
  <si>
    <t>Normalize historical income statement, balance sheet and cash flow data; identify operating drivers and working-capital trends.</t>
  </si>
  <si>
    <t>Translate business drivers into revenue, margins, fixed assets, working capital and unlevered free cash flow projections.</t>
  </si>
  <si>
    <t>Discount forecast cash flows, estimate terminal value, bridge enterprise value to equity value and calculate implied value per share.</t>
  </si>
  <si>
    <t>Assess valuation sensitivity to WACC and perpetual growth assumptions and highlight model risks and key dependencies.</t>
  </si>
  <si>
    <t>KEY DELIVERABLES</t>
  </si>
  <si>
    <t>• Integrated historical and forecast financial statements
• Revenue, margin, CapEx and working-capital assumptions
• Unlevered free cash flow schedule
• WACC and terminal-value calculation
• Implied enterprise value, equity value and share price
• WACC / perpetual-growth sensitivity matrix</t>
  </si>
  <si>
    <t>WORKBOOK STRUCTURE
Free Cash Flow  |  Fixed Assets  |  Net Working Capital
DCF  |  WACC  |  Income Statement
Balance Sheet  |  Cash Flow Statement  |  Analysis &amp; Insights</t>
  </si>
  <si>
    <t>Portfolio note — This model is presented as evidence of financial-modeling capability. Assumptions are illustrative and should be refreshed with current company, industry and macroeconomic data before any investment use.</t>
  </si>
  <si>
    <t>DCF Analysis — Trends and Key Insights</t>
  </si>
  <si>
    <t>Historical 2019–2021 and forecast 2022–2026 | Amounts in millions, except per-share value</t>
  </si>
  <si>
    <t>2026E REVENUE</t>
  </si>
  <si>
    <t>2021A–2026E REVENUE CAGR</t>
  </si>
  <si>
    <t>2026E UFCF</t>
  </si>
  <si>
    <t>IMPLIED SHARE PRICE</t>
  </si>
  <si>
    <t>+48.2% vs 2021A</t>
  </si>
  <si>
    <t>Decelerating growth</t>
  </si>
  <si>
    <t>+5.6% vs 2021A</t>
  </si>
  <si>
    <t>Base-case valuation</t>
  </si>
  <si>
    <t>KEY INSIGHTS</t>
  </si>
  <si>
    <t>MODEL REVIEW POINT</t>
  </si>
  <si>
    <t>Revenue increases 48.2% between 2021A and 2026E, but annual growth slows from 17.5% to 5.0%.</t>
  </si>
  <si>
    <t>EBITDA increases 44.3%, slightly below revenue growth; the EBITDA margin declines from 4.33% to 4.22%.</t>
  </si>
  <si>
    <t>UFCF grows only 5.6% over the same period and falls sharply in 2022E before recovering.</t>
  </si>
  <si>
    <t>The present value of the terminal value represents 82.5% of enterprise value, making valuation highly sensitive to WACC and perpetual growth.</t>
  </si>
  <si>
    <t>Projected working capital not reflected in UFCF</t>
  </si>
  <si>
    <t>The detailed schedule projects increasingly negative net working capital, while the “Change in NWC” line in Free Cash Flow is blank for 2022E–2026E. The diagnostic below isolates the potential impact without changing the DCF.</t>
  </si>
  <si>
    <t>CHART DATA — formulas linked to the financial model</t>
  </si>
  <si>
    <t>EBITDA Margin</t>
  </si>
  <si>
    <t>Reported UFCF</t>
  </si>
  <si>
    <t>Detailed NWC</t>
  </si>
  <si>
    <t>Change in Detailed NWC</t>
  </si>
  <si>
    <t>UFCF incl. NWC Change</t>
  </si>
  <si>
    <t>Revenue Index</t>
  </si>
  <si>
    <t>EBITDA Index</t>
  </si>
  <si>
    <t>Enterprise Value Component</t>
  </si>
  <si>
    <t>Value</t>
  </si>
  <si>
    <t>PV of Explicit FCF</t>
  </si>
  <si>
    <t>TV = Final-year FCF × (1 + g) / (WACC − g)</t>
  </si>
  <si>
    <t>CAPM ASSUMPTIONS</t>
  </si>
  <si>
    <t>WACC = Cost of Equity × E/(D+E) + After-tax Cost of Debt × D/(D+E)</t>
  </si>
  <si>
    <t>MODEL CONVENTION   •   Blue = hard-coded input   •   Green = cross-sheet link   •   Black =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</si>
</sst>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 #,##0.00\ &quot;€&quot;_-;\-* #,##0.00\ &quot;€&quot;_-;_-* &quot;-&quot;??\ &quot;€&quot;_-;_-@_-"/>
    <numFmt numFmtId="164" formatCode="&quot;$&quot;#,##0"/>
    <numFmt numFmtId="165" formatCode="0.0%"/>
    <numFmt numFmtId="166" formatCode="yyyy\A"/>
    <numFmt numFmtId="167" formatCode="yyyy\E"/>
    <numFmt numFmtId="168" formatCode="0.0"/>
    <numFmt numFmtId="173" formatCode="#,##0.0000"/>
    <numFmt numFmtId="175" formatCode="[$$-409]#,##0.00"/>
    <numFmt numFmtId="176" formatCode="0.00\x"/>
  </numFmts>
  <fonts count="32">
    <font>
      <sz val="11"/>
      <color theme="1"/>
      <name val="Calibri"/>
      <charset val="134"/>
      <scheme val="minor"/>
    </font>
    <font>
      <sz val="11"/>
      <color theme="1"/>
      <name val="Calibri"/>
      <charset val="134"/>
    </font>
    <font>
      <sz val="10"/>
      <name val="SimSun"/>
      <charset val="134"/>
    </font>
    <font>
      <sz val="11"/>
      <color theme="1"/>
      <name val="Calibri"/>
      <charset val="134"/>
      <scheme val="minor"/>
    </font>
    <font>
      <sz val="11"/>
      <color theme="1"/>
      <name val="Calibri"/>
      <family val="2"/>
    </font>
    <font>
      <sz val="10"/>
      <color rgb="FFFFFFFF"/>
      <name val="Aptos"/>
      <family val="2"/>
    </font>
    <font>
      <b/>
      <sz val="22"/>
      <color rgb="FFFFFFFF"/>
      <name val="Aptos"/>
      <family val="2"/>
    </font>
    <font>
      <b/>
      <sz val="10"/>
      <color rgb="FFFFFFFF"/>
      <name val="Aptos"/>
      <family val="2"/>
    </font>
    <font>
      <b/>
      <sz val="10"/>
      <color rgb="FF17324D"/>
      <name val="Aptos"/>
      <family val="2"/>
    </font>
    <font>
      <sz val="10"/>
      <color rgb="FF262626"/>
      <name val="Aptos"/>
      <family val="2"/>
    </font>
    <font>
      <b/>
      <sz val="24"/>
      <color rgb="FFFFFFFF"/>
      <name val="Aptos"/>
      <family val="2"/>
    </font>
    <font>
      <sz val="11"/>
      <color rgb="FFFFFFFF"/>
      <name val="Aptos"/>
      <family val="2"/>
    </font>
    <font>
      <sz val="10"/>
      <color rgb="FF001F43"/>
      <name val="Aptos"/>
      <family val="2"/>
    </font>
    <font>
      <b/>
      <sz val="10"/>
      <color rgb="FF001F43"/>
      <name val="Aptos"/>
      <family val="2"/>
    </font>
    <font>
      <b/>
      <sz val="10"/>
      <color rgb="FF262626"/>
      <name val="Aptos"/>
      <family val="2"/>
    </font>
    <font>
      <sz val="10"/>
      <color rgb="FF595959"/>
      <name val="Aptos"/>
      <family val="2"/>
    </font>
    <font>
      <sz val="9"/>
      <color rgb="FFFFFFFF"/>
      <name val="Aptos"/>
      <family val="2"/>
    </font>
    <font>
      <sz val="10"/>
      <color rgb="FF0000FF"/>
      <name val="Aptos"/>
      <family val="2"/>
    </font>
    <font>
      <sz val="11"/>
      <color rgb="FF262626"/>
      <name val="Aptos"/>
      <family val="2"/>
    </font>
    <font>
      <b/>
      <sz val="20"/>
      <color rgb="FF262626"/>
      <name val="Aptos"/>
      <family val="2"/>
    </font>
    <font>
      <b/>
      <sz val="11"/>
      <color rgb="FF262626"/>
      <name val="Aptos"/>
      <family val="2"/>
    </font>
    <font>
      <i/>
      <sz val="10"/>
      <color rgb="FF595959"/>
      <name val="Aptos"/>
      <family val="2"/>
    </font>
    <font>
      <b/>
      <sz val="10"/>
      <color rgb="FF595959"/>
      <name val="Aptos"/>
      <family val="2"/>
    </font>
    <font>
      <b/>
      <sz val="10"/>
      <color rgb="FF001F43"/>
      <name val="Calibri"/>
      <family val="2"/>
      <scheme val="minor"/>
    </font>
    <font>
      <b/>
      <sz val="10"/>
      <color rgb="FF0000FF"/>
      <name val="Aptos"/>
      <family val="2"/>
    </font>
    <font>
      <sz val="10"/>
      <color rgb="FF008000"/>
      <name val="Aptos"/>
      <family val="2"/>
    </font>
    <font>
      <sz val="10"/>
      <color rgb="FF000000"/>
      <name val="Aptos"/>
      <family val="2"/>
    </font>
    <font>
      <b/>
      <sz val="10"/>
      <color rgb="FF000000"/>
      <name val="Aptos"/>
      <family val="2"/>
    </font>
    <font>
      <b/>
      <sz val="10"/>
      <color rgb="FF008000"/>
      <name val="Aptos"/>
      <family val="2"/>
    </font>
    <font>
      <b/>
      <sz val="14"/>
      <color rgb="FF000000"/>
      <name val="Aptos"/>
      <family val="2"/>
    </font>
    <font>
      <b/>
      <sz val="13"/>
      <color rgb="FF000000"/>
      <name val="Aptos"/>
      <family val="2"/>
    </font>
    <font>
      <b/>
      <sz val="9"/>
      <color rgb="FF486273"/>
      <name val="Calibri"/>
      <family val="2"/>
      <scheme val="minor"/>
    </font>
  </fonts>
  <fills count="11">
    <fill>
      <patternFill patternType="none"/>
    </fill>
    <fill>
      <patternFill patternType="gray125"/>
    </fill>
    <fill>
      <patternFill patternType="solid">
        <fgColor rgb="FFFFFFFF"/>
        <bgColor indexed="64"/>
      </patternFill>
    </fill>
    <fill>
      <patternFill patternType="solid">
        <fgColor rgb="FF001F43"/>
        <bgColor indexed="64"/>
      </patternFill>
    </fill>
    <fill>
      <patternFill patternType="solid">
        <fgColor rgb="FFB9D5F3"/>
        <bgColor indexed="64"/>
      </patternFill>
    </fill>
    <fill>
      <patternFill patternType="solid">
        <fgColor rgb="FFF2F6FF"/>
        <bgColor indexed="64"/>
      </patternFill>
    </fill>
    <fill>
      <patternFill patternType="solid">
        <fgColor rgb="FFF8F8F8"/>
        <bgColor indexed="64"/>
      </patternFill>
    </fill>
    <fill>
      <patternFill patternType="solid">
        <fgColor rgb="FFF3C79B"/>
        <bgColor indexed="64"/>
      </patternFill>
    </fill>
    <fill>
      <patternFill patternType="solid">
        <fgColor rgb="FFE7EBEF"/>
        <bgColor indexed="64"/>
      </patternFill>
    </fill>
    <fill>
      <patternFill patternType="solid">
        <fgColor rgb="FFDCE6F1"/>
        <bgColor indexed="64"/>
      </patternFill>
    </fill>
    <fill>
      <patternFill patternType="solid">
        <fgColor rgb="FFFFF4CC"/>
        <bgColor indexed="64"/>
      </patternFill>
    </fill>
  </fills>
  <borders count="35">
    <border>
      <left/>
      <right/>
      <top/>
      <bottom/>
      <diagonal/>
    </border>
    <border>
      <left/>
      <right/>
      <top style="medium">
        <color rgb="FF001F43"/>
      </top>
      <bottom/>
      <diagonal/>
    </border>
    <border>
      <left/>
      <right/>
      <top style="medium">
        <color rgb="FF001F43"/>
      </top>
      <bottom style="medium">
        <color rgb="FF001F43"/>
      </bottom>
      <diagonal/>
    </border>
    <border>
      <left/>
      <right/>
      <top style="thin">
        <color rgb="FFD9D9D9"/>
      </top>
      <bottom style="medium">
        <color rgb="FF001F43"/>
      </bottom>
      <diagonal/>
    </border>
    <border>
      <left/>
      <right/>
      <top style="thin">
        <color rgb="FFD9D9D9"/>
      </top>
      <bottom/>
      <diagonal/>
    </border>
    <border>
      <left/>
      <right/>
      <top style="thin">
        <color rgb="FFD9D9D9"/>
      </top>
      <bottom style="thin">
        <color rgb="FFD9D9D9"/>
      </bottom>
      <diagonal/>
    </border>
    <border>
      <left/>
      <right/>
      <top style="medium">
        <color rgb="FF001F43"/>
      </top>
      <bottom style="thin">
        <color rgb="FFD9D9D9"/>
      </bottom>
      <diagonal/>
    </border>
    <border>
      <left style="thin">
        <color rgb="FFD9D9D9"/>
      </left>
      <right/>
      <top style="thin">
        <color rgb="FFD9D9D9"/>
      </top>
      <bottom style="thin">
        <color rgb="FFD9D9D9"/>
      </bottom>
      <diagonal/>
    </border>
    <border>
      <left style="thin">
        <color rgb="FFD9D9D9"/>
      </left>
      <right/>
      <top style="thin">
        <color rgb="FFD9D9D9"/>
      </top>
      <bottom/>
      <diagonal/>
    </border>
    <border>
      <left style="thin">
        <color rgb="FFD9D9D9"/>
      </left>
      <right/>
      <top/>
      <bottom/>
      <diagonal/>
    </border>
    <border>
      <left style="thin">
        <color rgb="FFD9D9D9"/>
      </left>
      <right/>
      <top style="medium">
        <color rgb="FF001F43"/>
      </top>
      <bottom style="medium">
        <color rgb="FF001F43"/>
      </bottom>
      <diagonal/>
    </border>
    <border>
      <left style="thin">
        <color rgb="FFD9D9D9"/>
      </left>
      <right/>
      <top style="medium">
        <color rgb="FF001F43"/>
      </top>
      <bottom/>
      <diagonal/>
    </border>
    <border>
      <left style="thin">
        <color rgb="FFD9D9D9"/>
      </left>
      <right/>
      <top style="medium">
        <color rgb="FF001F43"/>
      </top>
      <bottom style="thin">
        <color rgb="FFD9D9D9"/>
      </bottom>
      <diagonal/>
    </border>
    <border>
      <left/>
      <right style="thin">
        <color rgb="FFD9D9D9"/>
      </right>
      <top style="thin">
        <color rgb="FFD9D9D9"/>
      </top>
      <bottom/>
      <diagonal/>
    </border>
    <border>
      <left/>
      <right style="thin">
        <color rgb="FFD9D9D9"/>
      </right>
      <top/>
      <bottom/>
      <diagonal/>
    </border>
    <border>
      <left/>
      <right style="thin">
        <color rgb="FFD9D9D9"/>
      </right>
      <top style="medium">
        <color rgb="FF001F43"/>
      </top>
      <bottom style="medium">
        <color rgb="FF001F43"/>
      </bottom>
      <diagonal/>
    </border>
    <border>
      <left/>
      <right style="thin">
        <color rgb="FFD9D9D9"/>
      </right>
      <top style="medium">
        <color rgb="FF001F43"/>
      </top>
      <bottom/>
      <diagonal/>
    </border>
    <border>
      <left/>
      <right style="thin">
        <color rgb="FFD9D9D9"/>
      </right>
      <top style="medium">
        <color rgb="FF001F43"/>
      </top>
      <bottom style="thin">
        <color rgb="FFD9D9D9"/>
      </bottom>
      <diagonal/>
    </border>
    <border>
      <left style="thin">
        <color rgb="FFD9D9D9"/>
      </left>
      <right/>
      <top style="thin">
        <color rgb="FFD9D9D9"/>
      </top>
      <bottom style="medium">
        <color rgb="FF001F43"/>
      </bottom>
      <diagonal/>
    </border>
    <border>
      <left/>
      <right style="thin">
        <color rgb="FFD9D9D9"/>
      </right>
      <top style="thin">
        <color rgb="FFD9D9D9"/>
      </top>
      <bottom style="medium">
        <color rgb="FF001F43"/>
      </bottom>
      <diagonal/>
    </border>
    <border>
      <left/>
      <right/>
      <top/>
      <bottom style="thin">
        <color rgb="FFD9D9D9"/>
      </bottom>
      <diagonal/>
    </border>
    <border>
      <left style="thin">
        <color rgb="FFD9D9D9"/>
      </left>
      <right/>
      <top/>
      <bottom style="thin">
        <color rgb="FFD9D9D9"/>
      </bottom>
      <diagonal/>
    </border>
    <border>
      <left/>
      <right style="thin">
        <color rgb="FFD9D9D9"/>
      </right>
      <top/>
      <bottom style="thin">
        <color rgb="FFD9D9D9"/>
      </bottom>
      <diagonal/>
    </border>
    <border>
      <left/>
      <right style="thin">
        <color rgb="FFD9D9D9"/>
      </right>
      <top style="thin">
        <color rgb="FFD9D9D9"/>
      </top>
      <bottom style="thin">
        <color rgb="FFD9D9D9"/>
      </bottom>
      <diagonal/>
    </border>
    <border>
      <left style="medium">
        <color rgb="FF2B8C8C"/>
      </left>
      <right/>
      <top style="thin">
        <color rgb="FFD9D9D9"/>
      </top>
      <bottom style="medium">
        <color rgb="FF001F43"/>
      </bottom>
      <diagonal/>
    </border>
    <border>
      <left style="medium">
        <color rgb="FF2B8C8C"/>
      </left>
      <right/>
      <top/>
      <bottom/>
      <diagonal/>
    </border>
    <border>
      <left style="medium">
        <color rgb="FF2B8C8C"/>
      </left>
      <right/>
      <top style="medium">
        <color rgb="FF001F43"/>
      </top>
      <bottom style="medium">
        <color rgb="FF001F43"/>
      </bottom>
      <diagonal/>
    </border>
    <border>
      <left style="medium">
        <color rgb="FF2B8C8C"/>
      </left>
      <right/>
      <top style="medium">
        <color rgb="FF001F43"/>
      </top>
      <bottom/>
      <diagonal/>
    </border>
    <border>
      <left style="medium">
        <color rgb="FF2B8C8C"/>
      </left>
      <right/>
      <top style="medium">
        <color rgb="FF001F43"/>
      </top>
      <bottom style="thin">
        <color rgb="FFD9D9D9"/>
      </bottom>
      <diagonal/>
    </border>
    <border>
      <left style="medium">
        <color rgb="FF2B8C8C"/>
      </left>
      <right/>
      <top/>
      <bottom style="thin">
        <color rgb="FFD9D9D9"/>
      </bottom>
      <diagonal/>
    </border>
    <border>
      <left/>
      <right/>
      <top style="thick">
        <color rgb="FF17324D"/>
      </top>
      <bottom style="medium">
        <color rgb="FF001F43"/>
      </bottom>
      <diagonal/>
    </border>
    <border>
      <left style="thin">
        <color rgb="FFD9D9D9"/>
      </left>
      <right/>
      <top style="thick">
        <color rgb="FF17324D"/>
      </top>
      <bottom style="thin">
        <color rgb="FFD9D9D9"/>
      </bottom>
      <diagonal/>
    </border>
    <border>
      <left/>
      <right/>
      <top style="thick">
        <color rgb="FF17324D"/>
      </top>
      <bottom style="thin">
        <color rgb="FFD9D9D9"/>
      </bottom>
      <diagonal/>
    </border>
    <border>
      <left style="medium">
        <color rgb="FF2B8C8C"/>
      </left>
      <right/>
      <top style="thick">
        <color rgb="FF17324D"/>
      </top>
      <bottom style="thin">
        <color rgb="FFD9D9D9"/>
      </bottom>
      <diagonal/>
    </border>
    <border>
      <left/>
      <right style="thin">
        <color rgb="FFD9D9D9"/>
      </right>
      <top style="thick">
        <color rgb="FF17324D"/>
      </top>
      <bottom style="thin">
        <color rgb="FFD9D9D9"/>
      </bottom>
      <diagonal/>
    </border>
  </borders>
  <cellStyleXfs count="3">
    <xf numFmtId="0" fontId="0" fillId="0" borderId="0"/>
    <xf numFmtId="44" fontId="3" fillId="0" borderId="0" applyFont="0" applyFill="0" applyBorder="0" applyAlignment="0" applyProtection="0">
      <alignment vertical="center"/>
    </xf>
    <xf numFmtId="9" fontId="3" fillId="0" borderId="0" applyFont="0" applyFill="0" applyBorder="0" applyAlignment="0" applyProtection="0">
      <alignment vertical="center"/>
    </xf>
  </cellStyleXfs>
  <cellXfs count="259">
    <xf numFmtId="0" fontId="0" fillId="0" borderId="0" xfId="0"/>
    <xf numFmtId="3" fontId="1" fillId="0" borderId="0" xfId="0" applyNumberFormat="1" applyFont="1"/>
    <xf numFmtId="164" fontId="1" fillId="0" borderId="0" xfId="0" applyNumberFormat="1" applyFont="1"/>
    <xf numFmtId="165" fontId="1" fillId="0" borderId="0" xfId="0" applyNumberFormat="1" applyFont="1"/>
    <xf numFmtId="0" fontId="0" fillId="2" borderId="0" xfId="0" applyFill="1"/>
    <xf numFmtId="3" fontId="4" fillId="2" borderId="0" xfId="0" applyNumberFormat="1" applyFont="1" applyFill="1"/>
    <xf numFmtId="4" fontId="4" fillId="2" borderId="0" xfId="0" applyNumberFormat="1" applyFont="1" applyFill="1"/>
    <xf numFmtId="165" fontId="4" fillId="2" borderId="0" xfId="0" applyNumberFormat="1" applyFont="1" applyFill="1"/>
    <xf numFmtId="0" fontId="9" fillId="2" borderId="0" xfId="0" applyFont="1" applyFill="1" applyBorder="1"/>
    <xf numFmtId="0" fontId="9" fillId="2" borderId="0" xfId="0" applyFont="1" applyFill="1" applyBorder="1"/>
    <xf numFmtId="0" fontId="5" fillId="3" borderId="0" xfId="0" applyFont="1" applyFill="1" applyBorder="1"/>
    <xf numFmtId="0" fontId="10" fillId="3" borderId="0" xfId="0" applyFont="1" applyFill="1" applyBorder="1"/>
    <xf numFmtId="0" fontId="11" fillId="3" borderId="0" xfId="0" applyFont="1" applyFill="1" applyBorder="1"/>
    <xf numFmtId="0" fontId="13" fillId="4" borderId="0" xfId="0" applyFont="1" applyFill="1" applyBorder="1"/>
    <xf numFmtId="0" fontId="12" fillId="5" borderId="8" xfId="0" applyFont="1" applyFill="1" applyBorder="1"/>
    <xf numFmtId="0" fontId="12" fillId="5" borderId="4" xfId="0" applyFont="1" applyFill="1" applyBorder="1"/>
    <xf numFmtId="0" fontId="12" fillId="5" borderId="9" xfId="0" applyFont="1" applyFill="1" applyBorder="1"/>
    <xf numFmtId="0" fontId="12" fillId="5" borderId="0" xfId="0" applyFont="1" applyFill="1" applyBorder="1"/>
    <xf numFmtId="0" fontId="12" fillId="5" borderId="21" xfId="0" applyFont="1" applyFill="1" applyBorder="1"/>
    <xf numFmtId="0" fontId="12" fillId="5" borderId="20" xfId="0" applyFont="1" applyFill="1" applyBorder="1"/>
    <xf numFmtId="0" fontId="14" fillId="5" borderId="4" xfId="0" applyFont="1" applyFill="1" applyBorder="1"/>
    <xf numFmtId="0" fontId="14" fillId="5" borderId="13" xfId="0" applyFont="1" applyFill="1" applyBorder="1"/>
    <xf numFmtId="0" fontId="14" fillId="5" borderId="0" xfId="0" applyFont="1" applyFill="1" applyBorder="1"/>
    <xf numFmtId="0" fontId="14" fillId="5" borderId="14" xfId="0" applyFont="1" applyFill="1" applyBorder="1"/>
    <xf numFmtId="0" fontId="14" fillId="5" borderId="20" xfId="0" applyFont="1" applyFill="1" applyBorder="1"/>
    <xf numFmtId="0" fontId="14" fillId="5" borderId="22" xfId="0" applyFont="1" applyFill="1" applyBorder="1"/>
    <xf numFmtId="0" fontId="15" fillId="5" borderId="8" xfId="0" applyFont="1" applyFill="1" applyBorder="1" applyAlignment="1">
      <alignment vertical="top" wrapText="1"/>
    </xf>
    <xf numFmtId="0" fontId="15" fillId="5" borderId="4" xfId="0" applyFont="1" applyFill="1" applyBorder="1" applyAlignment="1">
      <alignment vertical="top" wrapText="1"/>
    </xf>
    <xf numFmtId="0" fontId="15" fillId="5" borderId="13" xfId="0" applyFont="1" applyFill="1" applyBorder="1" applyAlignment="1">
      <alignment vertical="top" wrapText="1"/>
    </xf>
    <xf numFmtId="0" fontId="15" fillId="5" borderId="9" xfId="0" applyFont="1" applyFill="1" applyBorder="1" applyAlignment="1">
      <alignment vertical="top" wrapText="1"/>
    </xf>
    <xf numFmtId="0" fontId="15" fillId="5" borderId="0" xfId="0" applyFont="1" applyFill="1" applyBorder="1" applyAlignment="1">
      <alignment vertical="top" wrapText="1"/>
    </xf>
    <xf numFmtId="0" fontId="15" fillId="5" borderId="14" xfId="0" applyFont="1" applyFill="1" applyBorder="1" applyAlignment="1">
      <alignment vertical="top" wrapText="1"/>
    </xf>
    <xf numFmtId="0" fontId="15" fillId="5" borderId="21" xfId="0" applyFont="1" applyFill="1" applyBorder="1" applyAlignment="1">
      <alignment vertical="top" wrapText="1"/>
    </xf>
    <xf numFmtId="0" fontId="15" fillId="5" borderId="20" xfId="0" applyFont="1" applyFill="1" applyBorder="1" applyAlignment="1">
      <alignment vertical="top" wrapText="1"/>
    </xf>
    <xf numFmtId="0" fontId="15" fillId="5" borderId="22" xfId="0" applyFont="1" applyFill="1" applyBorder="1" applyAlignment="1">
      <alignment vertical="top" wrapText="1"/>
    </xf>
    <xf numFmtId="0" fontId="12" fillId="5" borderId="13" xfId="0" applyFont="1" applyFill="1" applyBorder="1"/>
    <xf numFmtId="0" fontId="12" fillId="5" borderId="8" xfId="0" applyFont="1" applyFill="1" applyBorder="1" applyAlignment="1">
      <alignment vertical="top" wrapText="1"/>
    </xf>
    <xf numFmtId="0" fontId="12" fillId="5" borderId="4" xfId="0" applyFont="1" applyFill="1" applyBorder="1" applyAlignment="1">
      <alignment vertical="top" wrapText="1"/>
    </xf>
    <xf numFmtId="0" fontId="12" fillId="5" borderId="13" xfId="0" applyFont="1" applyFill="1" applyBorder="1" applyAlignment="1">
      <alignment vertical="top" wrapText="1"/>
    </xf>
    <xf numFmtId="0" fontId="11" fillId="3" borderId="0" xfId="0" applyFont="1" applyFill="1" applyBorder="1" applyAlignment="1">
      <alignment horizontal="center"/>
    </xf>
    <xf numFmtId="0" fontId="14" fillId="2" borderId="0" xfId="0" applyFont="1" applyFill="1" applyBorder="1"/>
    <xf numFmtId="0" fontId="18" fillId="2" borderId="0" xfId="0" applyFont="1" applyFill="1" applyBorder="1"/>
    <xf numFmtId="0" fontId="18" fillId="2" borderId="0" xfId="0" applyFont="1" applyFill="1" applyBorder="1" applyAlignment="1">
      <alignment horizontal="center"/>
    </xf>
    <xf numFmtId="0" fontId="14" fillId="2" borderId="0" xfId="0" applyFont="1" applyFill="1" applyBorder="1"/>
    <xf numFmtId="0" fontId="9" fillId="2" borderId="0" xfId="0" applyFont="1" applyFill="1" applyBorder="1" applyAlignment="1">
      <alignment wrapText="1"/>
    </xf>
    <xf numFmtId="0" fontId="20" fillId="2" borderId="0" xfId="0" applyFont="1" applyFill="1" applyBorder="1"/>
    <xf numFmtId="3" fontId="9" fillId="2" borderId="0" xfId="0" applyNumberFormat="1" applyFont="1" applyFill="1" applyBorder="1"/>
    <xf numFmtId="165" fontId="9" fillId="2" borderId="0" xfId="0" applyNumberFormat="1" applyFont="1" applyFill="1" applyBorder="1"/>
    <xf numFmtId="1" fontId="9" fillId="2" borderId="0" xfId="0" applyNumberFormat="1" applyFont="1" applyFill="1" applyBorder="1"/>
    <xf numFmtId="0" fontId="6" fillId="3" borderId="0" xfId="0" applyFont="1" applyFill="1" applyBorder="1"/>
    <xf numFmtId="3" fontId="19" fillId="5" borderId="9" xfId="0" applyNumberFormat="1" applyFont="1" applyFill="1" applyBorder="1" applyAlignment="1">
      <alignment horizontal="center" vertical="center"/>
    </xf>
    <xf numFmtId="0" fontId="13" fillId="5" borderId="8" xfId="0" applyFont="1" applyFill="1" applyBorder="1"/>
    <xf numFmtId="0" fontId="12" fillId="5" borderId="4" xfId="0" applyFont="1" applyFill="1" applyBorder="1"/>
    <xf numFmtId="0" fontId="12" fillId="5" borderId="13" xfId="0" applyFont="1" applyFill="1" applyBorder="1"/>
    <xf numFmtId="0" fontId="14" fillId="5" borderId="9" xfId="0" applyFont="1" applyFill="1" applyBorder="1"/>
    <xf numFmtId="0" fontId="21" fillId="5" borderId="21" xfId="0" applyFont="1" applyFill="1" applyBorder="1"/>
    <xf numFmtId="0" fontId="21" fillId="5" borderId="20" xfId="0" applyFont="1" applyFill="1" applyBorder="1"/>
    <xf numFmtId="0" fontId="21" fillId="5" borderId="22" xfId="0" applyFont="1" applyFill="1" applyBorder="1"/>
    <xf numFmtId="165" fontId="19" fillId="5" borderId="9" xfId="0" applyNumberFormat="1" applyFont="1" applyFill="1" applyBorder="1" applyAlignment="1">
      <alignment horizontal="center" vertical="center"/>
    </xf>
    <xf numFmtId="175" fontId="19" fillId="5" borderId="0" xfId="0" applyNumberFormat="1" applyFont="1" applyFill="1" applyBorder="1" applyAlignment="1">
      <alignment horizontal="center" vertical="center"/>
    </xf>
    <xf numFmtId="175" fontId="19" fillId="5" borderId="9" xfId="0" applyNumberFormat="1" applyFont="1" applyFill="1" applyBorder="1" applyAlignment="1">
      <alignment horizontal="center" vertical="center"/>
    </xf>
    <xf numFmtId="175" fontId="19" fillId="5" borderId="14" xfId="0" applyNumberFormat="1" applyFont="1" applyFill="1" applyBorder="1" applyAlignment="1">
      <alignment horizontal="center" vertical="center"/>
    </xf>
    <xf numFmtId="0" fontId="13" fillId="7" borderId="0" xfId="0" applyFont="1" applyFill="1" applyBorder="1"/>
    <xf numFmtId="0" fontId="22" fillId="5" borderId="7" xfId="0" applyFont="1" applyFill="1" applyBorder="1"/>
    <xf numFmtId="0" fontId="15" fillId="5" borderId="5" xfId="0" applyFont="1" applyFill="1" applyBorder="1"/>
    <xf numFmtId="0" fontId="15" fillId="5" borderId="23" xfId="0" applyFont="1" applyFill="1" applyBorder="1"/>
    <xf numFmtId="0" fontId="9" fillId="2" borderId="9" xfId="0" applyFont="1" applyFill="1" applyBorder="1"/>
    <xf numFmtId="0" fontId="9" fillId="2" borderId="21" xfId="0" applyFont="1" applyFill="1" applyBorder="1"/>
    <xf numFmtId="1" fontId="9" fillId="2" borderId="14" xfId="0" applyNumberFormat="1" applyFont="1" applyFill="1" applyBorder="1"/>
    <xf numFmtId="0" fontId="13" fillId="5" borderId="18" xfId="0" applyFont="1" applyFill="1" applyBorder="1"/>
    <xf numFmtId="0" fontId="13" fillId="5" borderId="3" xfId="0" applyFont="1" applyFill="1" applyBorder="1"/>
    <xf numFmtId="0" fontId="13" fillId="5" borderId="19" xfId="0" applyFont="1" applyFill="1" applyBorder="1"/>
    <xf numFmtId="0" fontId="9" fillId="6" borderId="9" xfId="0" applyFont="1" applyFill="1" applyBorder="1"/>
    <xf numFmtId="3" fontId="9" fillId="6" borderId="0" xfId="0" applyNumberFormat="1" applyFont="1" applyFill="1" applyBorder="1"/>
    <xf numFmtId="165" fontId="9" fillId="6" borderId="0" xfId="0" applyNumberFormat="1" applyFont="1" applyFill="1" applyBorder="1"/>
    <xf numFmtId="1" fontId="9" fillId="6" borderId="0" xfId="0" applyNumberFormat="1" applyFont="1" applyFill="1" applyBorder="1"/>
    <xf numFmtId="1" fontId="9" fillId="6" borderId="14" xfId="0" applyNumberFormat="1" applyFont="1" applyFill="1" applyBorder="1"/>
    <xf numFmtId="0" fontId="9" fillId="6" borderId="21" xfId="0" applyFont="1" applyFill="1" applyBorder="1"/>
    <xf numFmtId="3" fontId="9" fillId="6" borderId="20" xfId="0" applyNumberFormat="1" applyFont="1" applyFill="1" applyBorder="1"/>
    <xf numFmtId="165" fontId="9" fillId="6" borderId="20" xfId="0" applyNumberFormat="1" applyFont="1" applyFill="1" applyBorder="1"/>
    <xf numFmtId="1" fontId="9" fillId="6" borderId="20" xfId="0" applyNumberFormat="1" applyFont="1" applyFill="1" applyBorder="1"/>
    <xf numFmtId="1" fontId="9" fillId="6" borderId="22" xfId="0" applyNumberFormat="1" applyFont="1" applyFill="1" applyBorder="1"/>
    <xf numFmtId="3" fontId="9" fillId="2" borderId="14" xfId="0" applyNumberFormat="1" applyFont="1" applyFill="1" applyBorder="1"/>
    <xf numFmtId="3" fontId="9" fillId="6" borderId="22" xfId="0" applyNumberFormat="1" applyFont="1" applyFill="1" applyBorder="1"/>
    <xf numFmtId="0" fontId="9" fillId="2" borderId="0" xfId="0" applyFont="1" applyFill="1" applyBorder="1" applyAlignment="1">
      <alignment horizontal="left"/>
    </xf>
    <xf numFmtId="0" fontId="7" fillId="3" borderId="0" xfId="0" applyFont="1" applyFill="1" applyBorder="1"/>
    <xf numFmtId="0" fontId="13" fillId="4" borderId="0" xfId="0" applyFont="1" applyFill="1" applyBorder="1"/>
    <xf numFmtId="0" fontId="14" fillId="2" borderId="2" xfId="0" applyFont="1" applyFill="1" applyBorder="1"/>
    <xf numFmtId="0" fontId="14" fillId="2" borderId="10" xfId="0" applyFont="1" applyFill="1" applyBorder="1"/>
    <xf numFmtId="0" fontId="9" fillId="2" borderId="9" xfId="0" applyFont="1" applyFill="1" applyBorder="1" applyAlignment="1">
      <alignment horizontal="left"/>
    </xf>
    <xf numFmtId="0" fontId="14" fillId="2" borderId="12" xfId="0" applyFont="1" applyFill="1" applyBorder="1"/>
    <xf numFmtId="166" fontId="13" fillId="5" borderId="3" xfId="0" applyNumberFormat="1" applyFont="1" applyFill="1" applyBorder="1"/>
    <xf numFmtId="0" fontId="14" fillId="2" borderId="9" xfId="0" applyFont="1" applyFill="1" applyBorder="1"/>
    <xf numFmtId="0" fontId="14" fillId="6" borderId="9" xfId="0" applyFont="1" applyFill="1" applyBorder="1"/>
    <xf numFmtId="0" fontId="14" fillId="6" borderId="11" xfId="0" applyFont="1" applyFill="1" applyBorder="1"/>
    <xf numFmtId="0" fontId="9" fillId="6" borderId="9" xfId="0" applyFont="1" applyFill="1" applyBorder="1" applyAlignment="1">
      <alignment horizontal="left"/>
    </xf>
    <xf numFmtId="0" fontId="14" fillId="6" borderId="12" xfId="0" applyFont="1" applyFill="1" applyBorder="1"/>
    <xf numFmtId="0" fontId="9" fillId="2" borderId="14" xfId="0" applyFont="1" applyFill="1" applyBorder="1"/>
    <xf numFmtId="0" fontId="9" fillId="6" borderId="0" xfId="0" applyFont="1" applyFill="1" applyBorder="1"/>
    <xf numFmtId="0" fontId="9" fillId="6" borderId="14" xfId="0" applyFont="1" applyFill="1" applyBorder="1"/>
    <xf numFmtId="3" fontId="14" fillId="2" borderId="0" xfId="0" applyNumberFormat="1" applyFont="1" applyFill="1" applyBorder="1"/>
    <xf numFmtId="3" fontId="9" fillId="6" borderId="14" xfId="0" applyNumberFormat="1" applyFont="1" applyFill="1" applyBorder="1"/>
    <xf numFmtId="0" fontId="14" fillId="2" borderId="14" xfId="0" applyFont="1" applyFill="1" applyBorder="1"/>
    <xf numFmtId="0" fontId="14" fillId="6" borderId="10" xfId="0" applyFont="1" applyFill="1" applyBorder="1"/>
    <xf numFmtId="4" fontId="9" fillId="2" borderId="0" xfId="0" applyNumberFormat="1" applyFont="1" applyFill="1" applyBorder="1"/>
    <xf numFmtId="0" fontId="13" fillId="4" borderId="0" xfId="0" applyFont="1" applyFill="1" applyBorder="1" applyAlignment="1">
      <alignment horizontal="center"/>
    </xf>
    <xf numFmtId="0" fontId="13" fillId="4" borderId="0" xfId="0" applyFont="1" applyFill="1" applyBorder="1" applyAlignment="1"/>
    <xf numFmtId="0" fontId="13" fillId="4" borderId="0" xfId="0" applyFont="1" applyFill="1" applyBorder="1" applyAlignment="1">
      <alignment horizontal="center" vertical="center" textRotation="90"/>
    </xf>
    <xf numFmtId="0" fontId="22" fillId="5" borderId="7" xfId="0" applyFont="1" applyFill="1" applyBorder="1" applyAlignment="1">
      <alignment horizontal="center"/>
    </xf>
    <xf numFmtId="0" fontId="22" fillId="5" borderId="5" xfId="0" applyFont="1" applyFill="1" applyBorder="1" applyAlignment="1">
      <alignment horizontal="center"/>
    </xf>
    <xf numFmtId="0" fontId="22" fillId="5" borderId="23" xfId="0" applyFont="1" applyFill="1" applyBorder="1" applyAlignment="1">
      <alignment horizontal="center"/>
    </xf>
    <xf numFmtId="0" fontId="14" fillId="6" borderId="21" xfId="0" applyFont="1" applyFill="1" applyBorder="1"/>
    <xf numFmtId="0" fontId="14" fillId="6" borderId="20" xfId="0" applyFont="1" applyFill="1" applyBorder="1"/>
    <xf numFmtId="3" fontId="14" fillId="6" borderId="20" xfId="0" applyNumberFormat="1" applyFont="1" applyFill="1" applyBorder="1"/>
    <xf numFmtId="3" fontId="17" fillId="2" borderId="0" xfId="0" applyNumberFormat="1" applyFont="1" applyFill="1" applyBorder="1"/>
    <xf numFmtId="0" fontId="7" fillId="3" borderId="0" xfId="0" applyFont="1" applyFill="1" applyBorder="1" applyAlignment="1">
      <alignment horizontal="center"/>
    </xf>
    <xf numFmtId="0" fontId="7" fillId="3" borderId="0" xfId="0" applyFont="1" applyFill="1" applyBorder="1" applyAlignment="1"/>
    <xf numFmtId="0" fontId="12" fillId="5" borderId="8" xfId="0" applyFont="1" applyFill="1" applyBorder="1"/>
    <xf numFmtId="0" fontId="12" fillId="5" borderId="9" xfId="0" applyFont="1" applyFill="1" applyBorder="1"/>
    <xf numFmtId="0" fontId="13" fillId="5" borderId="21" xfId="0" applyFont="1" applyFill="1" applyBorder="1"/>
    <xf numFmtId="0" fontId="14" fillId="5" borderId="14" xfId="0" applyFont="1" applyFill="1" applyBorder="1"/>
    <xf numFmtId="0" fontId="23" fillId="4" borderId="0" xfId="0" applyFont="1" applyFill="1" applyBorder="1"/>
    <xf numFmtId="0" fontId="15" fillId="5" borderId="8" xfId="0" applyFont="1" applyFill="1" applyBorder="1" applyAlignment="1">
      <alignment horizontal="center"/>
    </xf>
    <xf numFmtId="0" fontId="15" fillId="5" borderId="4" xfId="0" applyFont="1" applyFill="1" applyBorder="1" applyAlignment="1">
      <alignment horizontal="center"/>
    </xf>
    <xf numFmtId="0" fontId="15" fillId="5" borderId="13" xfId="0" applyFont="1" applyFill="1" applyBorder="1" applyAlignment="1">
      <alignment horizontal="center"/>
    </xf>
    <xf numFmtId="0" fontId="15" fillId="5" borderId="21" xfId="0" applyFont="1" applyFill="1" applyBorder="1" applyAlignment="1">
      <alignment horizontal="center"/>
    </xf>
    <xf numFmtId="0" fontId="15" fillId="5" borderId="20" xfId="0" applyFont="1" applyFill="1" applyBorder="1" applyAlignment="1">
      <alignment horizontal="center"/>
    </xf>
    <xf numFmtId="0" fontId="15" fillId="5" borderId="22" xfId="0" applyFont="1" applyFill="1" applyBorder="1" applyAlignment="1">
      <alignment horizontal="center"/>
    </xf>
    <xf numFmtId="3" fontId="13" fillId="4" borderId="0" xfId="0" applyNumberFormat="1" applyFont="1" applyFill="1" applyBorder="1"/>
    <xf numFmtId="0" fontId="13" fillId="5" borderId="3" xfId="0" applyFont="1" applyFill="1" applyBorder="1" applyAlignment="1">
      <alignment horizontal="center"/>
    </xf>
    <xf numFmtId="0" fontId="13" fillId="5" borderId="19" xfId="0" applyFont="1" applyFill="1" applyBorder="1" applyAlignment="1">
      <alignment horizontal="center"/>
    </xf>
    <xf numFmtId="3" fontId="14" fillId="2" borderId="14" xfId="0" applyNumberFormat="1" applyFont="1" applyFill="1" applyBorder="1"/>
    <xf numFmtId="0" fontId="9" fillId="2" borderId="0" xfId="0" applyFont="1" applyFill="1" applyBorder="1" applyAlignment="1">
      <alignment wrapText="1"/>
    </xf>
    <xf numFmtId="0" fontId="9" fillId="2" borderId="9" xfId="0" applyFont="1" applyFill="1" applyBorder="1" applyAlignment="1">
      <alignment wrapText="1"/>
    </xf>
    <xf numFmtId="0" fontId="27" fillId="5" borderId="18" xfId="0" applyFont="1" applyFill="1" applyBorder="1"/>
    <xf numFmtId="165" fontId="26" fillId="2" borderId="0" xfId="0" applyNumberFormat="1" applyFont="1" applyFill="1" applyBorder="1"/>
    <xf numFmtId="165" fontId="26" fillId="2" borderId="14" xfId="0" applyNumberFormat="1" applyFont="1" applyFill="1" applyBorder="1"/>
    <xf numFmtId="165" fontId="26" fillId="6" borderId="0" xfId="0" applyNumberFormat="1" applyFont="1" applyFill="1" applyBorder="1"/>
    <xf numFmtId="165" fontId="26" fillId="2" borderId="20" xfId="0" applyNumberFormat="1" applyFont="1" applyFill="1" applyBorder="1"/>
    <xf numFmtId="3" fontId="25" fillId="2" borderId="0" xfId="0" applyNumberFormat="1" applyFont="1" applyFill="1" applyBorder="1"/>
    <xf numFmtId="3" fontId="25" fillId="6" borderId="0" xfId="0" applyNumberFormat="1" applyFont="1" applyFill="1" applyBorder="1"/>
    <xf numFmtId="3" fontId="28" fillId="6" borderId="6" xfId="0" applyNumberFormat="1" applyFont="1" applyFill="1" applyBorder="1"/>
    <xf numFmtId="3" fontId="26" fillId="2" borderId="0" xfId="0" applyNumberFormat="1" applyFont="1" applyFill="1" applyBorder="1"/>
    <xf numFmtId="3" fontId="26" fillId="2" borderId="14" xfId="0" applyNumberFormat="1" applyFont="1" applyFill="1" applyBorder="1"/>
    <xf numFmtId="3" fontId="26" fillId="6" borderId="0" xfId="0" applyNumberFormat="1" applyFont="1" applyFill="1" applyBorder="1"/>
    <xf numFmtId="3" fontId="26" fillId="6" borderId="14" xfId="0" applyNumberFormat="1" applyFont="1" applyFill="1" applyBorder="1"/>
    <xf numFmtId="3" fontId="27" fillId="6" borderId="6" xfId="0" applyNumberFormat="1" applyFont="1" applyFill="1" applyBorder="1"/>
    <xf numFmtId="3" fontId="27" fillId="6" borderId="17" xfId="0" applyNumberFormat="1" applyFont="1" applyFill="1" applyBorder="1"/>
    <xf numFmtId="165" fontId="26" fillId="6" borderId="20" xfId="0" applyNumberFormat="1" applyFont="1" applyFill="1" applyBorder="1"/>
    <xf numFmtId="3" fontId="17" fillId="6" borderId="0" xfId="0" applyNumberFormat="1" applyFont="1" applyFill="1" applyBorder="1"/>
    <xf numFmtId="3" fontId="25" fillId="2" borderId="14" xfId="0" applyNumberFormat="1" applyFont="1" applyFill="1" applyBorder="1"/>
    <xf numFmtId="3" fontId="25" fillId="6" borderId="14" xfId="0" applyNumberFormat="1" applyFont="1" applyFill="1" applyBorder="1"/>
    <xf numFmtId="3" fontId="27" fillId="6" borderId="2" xfId="0" applyNumberFormat="1" applyFont="1" applyFill="1" applyBorder="1"/>
    <xf numFmtId="3" fontId="27" fillId="6" borderId="15" xfId="0" applyNumberFormat="1" applyFont="1" applyFill="1" applyBorder="1"/>
    <xf numFmtId="3" fontId="27" fillId="2" borderId="6" xfId="0" applyNumberFormat="1" applyFont="1" applyFill="1" applyBorder="1"/>
    <xf numFmtId="3" fontId="27" fillId="2" borderId="17" xfId="0" applyNumberFormat="1" applyFont="1" applyFill="1" applyBorder="1"/>
    <xf numFmtId="168" fontId="26" fillId="6" borderId="0" xfId="0" applyNumberFormat="1" applyFont="1" applyFill="1" applyBorder="1"/>
    <xf numFmtId="168" fontId="26" fillId="2" borderId="0" xfId="0" applyNumberFormat="1" applyFont="1" applyFill="1" applyBorder="1"/>
    <xf numFmtId="4" fontId="17" fillId="2" borderId="0" xfId="0" applyNumberFormat="1" applyFont="1" applyFill="1" applyBorder="1"/>
    <xf numFmtId="165" fontId="25" fillId="2" borderId="0" xfId="0" applyNumberFormat="1" applyFont="1" applyFill="1" applyBorder="1"/>
    <xf numFmtId="3" fontId="27" fillId="6" borderId="20" xfId="0" applyNumberFormat="1" applyFont="1" applyFill="1" applyBorder="1"/>
    <xf numFmtId="3" fontId="27" fillId="6" borderId="22" xfId="0" applyNumberFormat="1" applyFont="1" applyFill="1" applyBorder="1"/>
    <xf numFmtId="4" fontId="27" fillId="5" borderId="18" xfId="0" applyNumberFormat="1" applyFont="1" applyFill="1" applyBorder="1"/>
    <xf numFmtId="3" fontId="27" fillId="2" borderId="2" xfId="0" applyNumberFormat="1" applyFont="1" applyFill="1" applyBorder="1"/>
    <xf numFmtId="10" fontId="26" fillId="2" borderId="9" xfId="0" applyNumberFormat="1" applyFont="1" applyFill="1" applyBorder="1"/>
    <xf numFmtId="3" fontId="24" fillId="5" borderId="13" xfId="0" applyNumberFormat="1" applyFont="1" applyFill="1" applyBorder="1"/>
    <xf numFmtId="3" fontId="28" fillId="5" borderId="14" xfId="0" applyNumberFormat="1" applyFont="1" applyFill="1" applyBorder="1"/>
    <xf numFmtId="165" fontId="27" fillId="5" borderId="14" xfId="0" applyNumberFormat="1" applyFont="1" applyFill="1" applyBorder="1"/>
    <xf numFmtId="165" fontId="27" fillId="5" borderId="22" xfId="0" applyNumberFormat="1" applyFont="1" applyFill="1" applyBorder="1"/>
    <xf numFmtId="3" fontId="17" fillId="6" borderId="14" xfId="0" applyNumberFormat="1" applyFont="1" applyFill="1" applyBorder="1"/>
    <xf numFmtId="3" fontId="17" fillId="2" borderId="14" xfId="0" applyNumberFormat="1" applyFont="1" applyFill="1" applyBorder="1"/>
    <xf numFmtId="3" fontId="24" fillId="6" borderId="2" xfId="0" applyNumberFormat="1" applyFont="1" applyFill="1" applyBorder="1"/>
    <xf numFmtId="3" fontId="24" fillId="6" borderId="15" xfId="0" applyNumberFormat="1" applyFont="1" applyFill="1" applyBorder="1"/>
    <xf numFmtId="3" fontId="17" fillId="2" borderId="20" xfId="0" applyNumberFormat="1" applyFont="1" applyFill="1" applyBorder="1"/>
    <xf numFmtId="3" fontId="17" fillId="2" borderId="22" xfId="0" applyNumberFormat="1" applyFont="1" applyFill="1" applyBorder="1"/>
    <xf numFmtId="173" fontId="26" fillId="2" borderId="0" xfId="0" applyNumberFormat="1" applyFont="1" applyFill="1" applyBorder="1"/>
    <xf numFmtId="3" fontId="24" fillId="2" borderId="2" xfId="0" applyNumberFormat="1" applyFont="1" applyFill="1" applyBorder="1"/>
    <xf numFmtId="166" fontId="8" fillId="8" borderId="3" xfId="0" applyNumberFormat="1" applyFont="1" applyFill="1" applyBorder="1"/>
    <xf numFmtId="167" fontId="8" fillId="9" borderId="3" xfId="0" applyNumberFormat="1" applyFont="1" applyFill="1" applyBorder="1"/>
    <xf numFmtId="167" fontId="8" fillId="9" borderId="19" xfId="0" applyNumberFormat="1" applyFont="1" applyFill="1" applyBorder="1"/>
    <xf numFmtId="167" fontId="8" fillId="9" borderId="24" xfId="0" applyNumberFormat="1" applyFont="1" applyFill="1" applyBorder="1"/>
    <xf numFmtId="0" fontId="9" fillId="2" borderId="25" xfId="0" applyFont="1" applyFill="1" applyBorder="1"/>
    <xf numFmtId="0" fontId="13" fillId="4" borderId="25" xfId="0" applyFont="1" applyFill="1" applyBorder="1"/>
    <xf numFmtId="0" fontId="9" fillId="6" borderId="25" xfId="0" applyFont="1" applyFill="1" applyBorder="1"/>
    <xf numFmtId="165" fontId="26" fillId="2" borderId="25" xfId="0" applyNumberFormat="1" applyFont="1" applyFill="1" applyBorder="1"/>
    <xf numFmtId="3" fontId="26" fillId="2" borderId="25" xfId="0" applyNumberFormat="1" applyFont="1" applyFill="1" applyBorder="1"/>
    <xf numFmtId="3" fontId="26" fillId="6" borderId="25" xfId="0" applyNumberFormat="1" applyFont="1" applyFill="1" applyBorder="1"/>
    <xf numFmtId="3" fontId="27" fillId="6" borderId="28" xfId="0" applyNumberFormat="1" applyFont="1" applyFill="1" applyBorder="1"/>
    <xf numFmtId="3" fontId="27" fillId="6" borderId="26" xfId="0" applyNumberFormat="1" applyFont="1" applyFill="1" applyBorder="1"/>
    <xf numFmtId="3" fontId="27" fillId="2" borderId="28" xfId="0" applyNumberFormat="1" applyFont="1" applyFill="1" applyBorder="1"/>
    <xf numFmtId="3" fontId="25" fillId="2" borderId="25" xfId="0" applyNumberFormat="1" applyFont="1" applyFill="1" applyBorder="1"/>
    <xf numFmtId="3" fontId="25" fillId="6" borderId="25" xfId="0" applyNumberFormat="1" applyFont="1" applyFill="1" applyBorder="1"/>
    <xf numFmtId="3" fontId="27" fillId="6" borderId="29" xfId="0" applyNumberFormat="1" applyFont="1" applyFill="1" applyBorder="1"/>
    <xf numFmtId="165" fontId="17" fillId="10" borderId="25" xfId="0" applyNumberFormat="1" applyFont="1" applyFill="1" applyBorder="1"/>
    <xf numFmtId="165" fontId="17" fillId="10" borderId="0" xfId="0" applyNumberFormat="1" applyFont="1" applyFill="1" applyBorder="1"/>
    <xf numFmtId="165" fontId="17" fillId="10" borderId="14" xfId="0" applyNumberFormat="1" applyFont="1" applyFill="1" applyBorder="1"/>
    <xf numFmtId="165" fontId="17" fillId="10" borderId="29" xfId="0" applyNumberFormat="1" applyFont="1" applyFill="1" applyBorder="1"/>
    <xf numFmtId="165" fontId="17" fillId="10" borderId="20" xfId="0" applyNumberFormat="1" applyFont="1" applyFill="1" applyBorder="1"/>
    <xf numFmtId="165" fontId="17" fillId="10" borderId="22" xfId="0" applyNumberFormat="1" applyFont="1" applyFill="1" applyBorder="1"/>
    <xf numFmtId="168" fontId="17" fillId="10" borderId="25" xfId="0" applyNumberFormat="1" applyFont="1" applyFill="1" applyBorder="1"/>
    <xf numFmtId="168" fontId="17" fillId="10" borderId="0" xfId="0" applyNumberFormat="1" applyFont="1" applyFill="1" applyBorder="1"/>
    <xf numFmtId="168" fontId="17" fillId="10" borderId="14" xfId="0" applyNumberFormat="1" applyFont="1" applyFill="1" applyBorder="1"/>
    <xf numFmtId="10" fontId="24" fillId="10" borderId="3" xfId="0" applyNumberFormat="1" applyFont="1" applyFill="1" applyBorder="1"/>
    <xf numFmtId="10" fontId="24" fillId="10" borderId="19" xfId="0" applyNumberFormat="1" applyFont="1" applyFill="1" applyBorder="1"/>
    <xf numFmtId="10" fontId="17" fillId="10" borderId="9" xfId="0" applyNumberFormat="1" applyFont="1" applyFill="1" applyBorder="1"/>
    <xf numFmtId="10" fontId="17" fillId="10" borderId="21" xfId="0" applyNumberFormat="1" applyFont="1" applyFill="1" applyBorder="1"/>
    <xf numFmtId="165" fontId="28" fillId="10" borderId="14" xfId="0" applyNumberFormat="1" applyFont="1" applyFill="1" applyBorder="1"/>
    <xf numFmtId="165" fontId="24" fillId="10" borderId="14" xfId="0" applyNumberFormat="1" applyFont="1" applyFill="1" applyBorder="1"/>
    <xf numFmtId="165" fontId="24" fillId="10" borderId="13" xfId="0" applyNumberFormat="1" applyFont="1" applyFill="1" applyBorder="1"/>
    <xf numFmtId="3" fontId="27" fillId="2" borderId="26" xfId="0" applyNumberFormat="1" applyFont="1" applyFill="1" applyBorder="1"/>
    <xf numFmtId="3" fontId="27" fillId="2" borderId="15" xfId="0" applyNumberFormat="1" applyFont="1" applyFill="1" applyBorder="1"/>
    <xf numFmtId="3" fontId="14" fillId="6" borderId="0" xfId="0" applyNumberFormat="1" applyFont="1" applyFill="1" applyBorder="1"/>
    <xf numFmtId="3" fontId="14" fillId="6" borderId="25" xfId="0" applyNumberFormat="1" applyFont="1" applyFill="1" applyBorder="1"/>
    <xf numFmtId="3" fontId="14" fillId="6" borderId="14" xfId="0" applyNumberFormat="1" applyFont="1" applyFill="1" applyBorder="1"/>
    <xf numFmtId="3" fontId="27" fillId="6" borderId="1" xfId="0" applyNumberFormat="1" applyFont="1" applyFill="1" applyBorder="1"/>
    <xf numFmtId="3" fontId="27" fillId="6" borderId="27" xfId="0" applyNumberFormat="1" applyFont="1" applyFill="1" applyBorder="1"/>
    <xf numFmtId="3" fontId="27" fillId="6" borderId="16" xfId="0" applyNumberFormat="1" applyFont="1" applyFill="1" applyBorder="1"/>
    <xf numFmtId="3" fontId="9" fillId="6" borderId="25" xfId="0" applyNumberFormat="1" applyFont="1" applyFill="1" applyBorder="1"/>
    <xf numFmtId="3" fontId="26" fillId="2" borderId="0" xfId="1" applyNumberFormat="1" applyFont="1" applyFill="1" applyBorder="1" applyAlignment="1"/>
    <xf numFmtId="3" fontId="26" fillId="2" borderId="25" xfId="1" applyNumberFormat="1" applyFont="1" applyFill="1" applyBorder="1" applyAlignment="1"/>
    <xf numFmtId="3" fontId="26" fillId="2" borderId="14" xfId="1" applyNumberFormat="1" applyFont="1" applyFill="1" applyBorder="1" applyAlignment="1"/>
    <xf numFmtId="3" fontId="25" fillId="6" borderId="0" xfId="1" applyNumberFormat="1" applyFont="1" applyFill="1" applyBorder="1" applyAlignment="1"/>
    <xf numFmtId="3" fontId="26" fillId="6" borderId="25" xfId="1" applyNumberFormat="1" applyFont="1" applyFill="1" applyBorder="1" applyAlignment="1"/>
    <xf numFmtId="3" fontId="26" fillId="6" borderId="0" xfId="1" applyNumberFormat="1" applyFont="1" applyFill="1" applyBorder="1" applyAlignment="1"/>
    <xf numFmtId="3" fontId="26" fillId="6" borderId="14" xfId="1" applyNumberFormat="1" applyFont="1" applyFill="1" applyBorder="1" applyAlignment="1"/>
    <xf numFmtId="3" fontId="25" fillId="2" borderId="0" xfId="1" applyNumberFormat="1" applyFont="1" applyFill="1" applyBorder="1" applyAlignment="1"/>
    <xf numFmtId="3" fontId="14" fillId="2" borderId="25" xfId="0" applyNumberFormat="1" applyFont="1" applyFill="1" applyBorder="1"/>
    <xf numFmtId="3" fontId="9" fillId="2" borderId="25" xfId="0" applyNumberFormat="1" applyFont="1" applyFill="1" applyBorder="1"/>
    <xf numFmtId="3" fontId="13" fillId="4" borderId="25" xfId="0" applyNumberFormat="1" applyFont="1" applyFill="1" applyBorder="1"/>
    <xf numFmtId="3" fontId="8" fillId="8" borderId="3" xfId="0" applyNumberFormat="1" applyFont="1" applyFill="1" applyBorder="1"/>
    <xf numFmtId="3" fontId="8" fillId="9" borderId="24" xfId="0" applyNumberFormat="1" applyFont="1" applyFill="1" applyBorder="1"/>
    <xf numFmtId="3" fontId="8" fillId="9" borderId="3" xfId="0" applyNumberFormat="1" applyFont="1" applyFill="1" applyBorder="1"/>
    <xf numFmtId="3" fontId="8" fillId="9" borderId="19" xfId="0" applyNumberFormat="1" applyFont="1" applyFill="1" applyBorder="1"/>
    <xf numFmtId="3" fontId="17" fillId="2" borderId="25" xfId="0" applyNumberFormat="1" applyFont="1" applyFill="1" applyBorder="1"/>
    <xf numFmtId="165" fontId="27" fillId="5" borderId="22" xfId="2" applyNumberFormat="1" applyFont="1" applyFill="1" applyBorder="1" applyAlignment="1"/>
    <xf numFmtId="165" fontId="23" fillId="4" borderId="0" xfId="0" applyNumberFormat="1" applyFont="1" applyFill="1" applyBorder="1"/>
    <xf numFmtId="176" fontId="24" fillId="10" borderId="14" xfId="0" applyNumberFormat="1" applyFont="1" applyFill="1" applyBorder="1"/>
    <xf numFmtId="3" fontId="24" fillId="2" borderId="15" xfId="0" applyNumberFormat="1" applyFont="1" applyFill="1" applyBorder="1"/>
    <xf numFmtId="0" fontId="14" fillId="2" borderId="30" xfId="0" applyFont="1" applyFill="1" applyBorder="1"/>
    <xf numFmtId="0" fontId="14" fillId="6" borderId="31" xfId="0" applyFont="1" applyFill="1" applyBorder="1"/>
    <xf numFmtId="3" fontId="27" fillId="6" borderId="32" xfId="0" applyNumberFormat="1" applyFont="1" applyFill="1" applyBorder="1"/>
    <xf numFmtId="3" fontId="27" fillId="6" borderId="33" xfId="0" applyNumberFormat="1" applyFont="1" applyFill="1" applyBorder="1"/>
    <xf numFmtId="3" fontId="27" fillId="6" borderId="34" xfId="0" applyNumberFormat="1" applyFont="1" applyFill="1" applyBorder="1"/>
    <xf numFmtId="165" fontId="30" fillId="9" borderId="30" xfId="0" applyNumberFormat="1" applyFont="1" applyFill="1" applyBorder="1"/>
    <xf numFmtId="165" fontId="26" fillId="2" borderId="22" xfId="0" applyNumberFormat="1" applyFont="1" applyFill="1" applyBorder="1"/>
    <xf numFmtId="168" fontId="26" fillId="2" borderId="25" xfId="0" applyNumberFormat="1" applyFont="1" applyFill="1" applyBorder="1"/>
    <xf numFmtId="168" fontId="26" fillId="2" borderId="14" xfId="0" applyNumberFormat="1" applyFont="1" applyFill="1" applyBorder="1"/>
    <xf numFmtId="165" fontId="26" fillId="2" borderId="29" xfId="0" applyNumberFormat="1" applyFont="1" applyFill="1" applyBorder="1"/>
    <xf numFmtId="10" fontId="27" fillId="2" borderId="3" xfId="0" applyNumberFormat="1" applyFont="1" applyFill="1" applyBorder="1"/>
    <xf numFmtId="175" fontId="29" fillId="9" borderId="30" xfId="0" applyNumberFormat="1" applyFont="1" applyFill="1" applyBorder="1"/>
    <xf numFmtId="175" fontId="17" fillId="2" borderId="0" xfId="0" applyNumberFormat="1" applyFont="1" applyFill="1" applyBorder="1"/>
    <xf numFmtId="175" fontId="17" fillId="2" borderId="14" xfId="0" applyNumberFormat="1" applyFont="1" applyFill="1" applyBorder="1"/>
    <xf numFmtId="175" fontId="17" fillId="6" borderId="0" xfId="0" applyNumberFormat="1" applyFont="1" applyFill="1" applyBorder="1"/>
    <xf numFmtId="175" fontId="17" fillId="6" borderId="14" xfId="0" applyNumberFormat="1" applyFont="1" applyFill="1" applyBorder="1"/>
    <xf numFmtId="175" fontId="17" fillId="2" borderId="20" xfId="0" applyNumberFormat="1" applyFont="1" applyFill="1" applyBorder="1"/>
    <xf numFmtId="175" fontId="17" fillId="2" borderId="22" xfId="0" applyNumberFormat="1" applyFont="1" applyFill="1" applyBorder="1"/>
    <xf numFmtId="0" fontId="0" fillId="8" borderId="0" xfId="0" applyFill="1" applyAlignment="1">
      <alignment horizontal="center" vertical="center"/>
    </xf>
    <xf numFmtId="0" fontId="31" fillId="8" borderId="0" xfId="0" applyFont="1" applyFill="1" applyAlignment="1">
      <alignment horizontal="center" vertical="center"/>
    </xf>
    <xf numFmtId="0" fontId="16" fillId="3" borderId="0" xfId="0" applyFont="1" applyFill="1" applyBorder="1" applyAlignment="1">
      <alignment horizontal="center" vertical="top" wrapText="1"/>
    </xf>
  </cellXfs>
  <cellStyles count="3">
    <cellStyle name="Monétaire" xfId="1" builtinId="4"/>
    <cellStyle name="Normal" xfId="0" builtinId="0"/>
    <cellStyle name="Pourcentage" xfId="2" builtinId="5"/>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262626"/>
                </a:solidFill>
                <a:latin typeface="+mn-lt"/>
                <a:ea typeface="+mn-ea"/>
                <a:cs typeface="+mn-cs"/>
              </a:defRPr>
            </a:pPr>
            <a:r>
              <a:rPr lang="en-US"/>
              <a:t>Revenue and EBITDA — 2019 = 100</a:t>
            </a:r>
          </a:p>
        </c:rich>
      </c:tx>
      <c:overlay val="0"/>
      <c:spPr>
        <a:solidFill>
          <a:srgbClr val="FFFFFF"/>
        </a:solidFill>
        <a:ln>
          <a:noFill/>
        </a:ln>
        <a:effectLst/>
      </c:spPr>
      <c:txPr>
        <a:bodyPr rot="0" spcFirstLastPara="1" vertOverflow="ellipsis" vert="horz" wrap="square" anchor="ctr" anchorCtr="1"/>
        <a:lstStyle/>
        <a:p>
          <a:pPr>
            <a:defRPr sz="1200" b="1" i="0" u="none" strike="noStrike" kern="1200" spc="0" baseline="0">
              <a:solidFill>
                <a:srgbClr val="262626"/>
              </a:solidFill>
              <a:latin typeface="+mn-lt"/>
              <a:ea typeface="+mn-ea"/>
              <a:cs typeface="+mn-cs"/>
            </a:defRPr>
          </a:pPr>
          <a:endParaRPr lang="fr-FR"/>
        </a:p>
      </c:txPr>
    </c:title>
    <c:autoTitleDeleted val="0"/>
    <c:plotArea>
      <c:layout/>
      <c:lineChart>
        <c:grouping val="standard"/>
        <c:varyColors val="0"/>
        <c:ser>
          <c:idx val="0"/>
          <c:order val="0"/>
          <c:tx>
            <c:v>Revenue Index</c:v>
          </c:tx>
          <c:spPr>
            <a:ln w="28575" cap="rnd">
              <a:solidFill>
                <a:srgbClr val="2E5299"/>
              </a:solidFill>
              <a:prstDash val="solid"/>
              <a:round/>
            </a:ln>
            <a:effectLst/>
          </c:spPr>
          <c:marker>
            <c:symbol val="circle"/>
            <c:size val="5"/>
            <c:spPr>
              <a:solidFill>
                <a:srgbClr val="2E5299"/>
              </a:solidFill>
              <a:ln w="9525">
                <a:solidFill>
                  <a:srgbClr val="2E5299"/>
                </a:solidFill>
                <a:prstDash val="solid"/>
              </a:ln>
              <a:effectLst/>
            </c:spPr>
          </c:marker>
          <c:cat>
            <c:strRef>
              <c:f>'Analysis &amp; Insights'!$A$51:$A$58</c:f>
              <c:strCache>
                <c:ptCount val="8"/>
                <c:pt idx="0">
                  <c:v>2019A</c:v>
                </c:pt>
                <c:pt idx="1">
                  <c:v>2020A</c:v>
                </c:pt>
                <c:pt idx="2">
                  <c:v>2021A</c:v>
                </c:pt>
                <c:pt idx="3">
                  <c:v>2022E</c:v>
                </c:pt>
                <c:pt idx="4">
                  <c:v>2023E</c:v>
                </c:pt>
                <c:pt idx="5">
                  <c:v>2024E</c:v>
                </c:pt>
                <c:pt idx="6">
                  <c:v>2025E</c:v>
                </c:pt>
                <c:pt idx="7">
                  <c:v>2026E</c:v>
                </c:pt>
              </c:strCache>
            </c:strRef>
          </c:cat>
          <c:val>
            <c:numRef>
              <c:f>'Analysis &amp; Insights'!$J$51:$J$58</c:f>
              <c:numCache>
                <c:formatCode>0</c:formatCode>
                <c:ptCount val="8"/>
                <c:pt idx="0">
                  <c:v>100</c:v>
                </c:pt>
                <c:pt idx="1">
                  <c:v>109.20610597041316</c:v>
                </c:pt>
                <c:pt idx="2">
                  <c:v>128.3072369239635</c:v>
                </c:pt>
                <c:pt idx="3">
                  <c:v>141.13796061635989</c:v>
                </c:pt>
                <c:pt idx="4">
                  <c:v>155.2517566779959</c:v>
                </c:pt>
                <c:pt idx="5">
                  <c:v>169.22441477901552</c:v>
                </c:pt>
                <c:pt idx="6">
                  <c:v>181.07012381354664</c:v>
                </c:pt>
                <c:pt idx="7">
                  <c:v>190.123630004224</c:v>
                </c:pt>
              </c:numCache>
            </c:numRef>
          </c:val>
          <c:smooth val="0"/>
          <c:extLst>
            <c:ext xmlns:c16="http://schemas.microsoft.com/office/drawing/2014/chart" uri="{C3380CC4-5D6E-409C-BE32-E72D297353CC}">
              <c16:uniqueId val="{00000000-E6D6-4407-A735-C6F99518E7E8}"/>
            </c:ext>
          </c:extLst>
        </c:ser>
        <c:ser>
          <c:idx val="1"/>
          <c:order val="1"/>
          <c:tx>
            <c:v>EBITDA Index</c:v>
          </c:tx>
          <c:spPr>
            <a:ln w="28575" cap="rnd">
              <a:solidFill>
                <a:srgbClr val="BF8A1B"/>
              </a:solidFill>
              <a:prstDash val="solid"/>
              <a:round/>
            </a:ln>
            <a:effectLst/>
          </c:spPr>
          <c:marker>
            <c:symbol val="circle"/>
            <c:size val="5"/>
            <c:spPr>
              <a:solidFill>
                <a:srgbClr val="BF8A1B"/>
              </a:solidFill>
              <a:ln w="9525">
                <a:solidFill>
                  <a:srgbClr val="BF8A1B"/>
                </a:solidFill>
                <a:prstDash val="solid"/>
              </a:ln>
              <a:effectLst/>
            </c:spPr>
          </c:marker>
          <c:cat>
            <c:strRef>
              <c:f>'Analysis &amp; Insights'!$A$51:$A$58</c:f>
              <c:strCache>
                <c:ptCount val="8"/>
                <c:pt idx="0">
                  <c:v>2019A</c:v>
                </c:pt>
                <c:pt idx="1">
                  <c:v>2020A</c:v>
                </c:pt>
                <c:pt idx="2">
                  <c:v>2021A</c:v>
                </c:pt>
                <c:pt idx="3">
                  <c:v>2022E</c:v>
                </c:pt>
                <c:pt idx="4">
                  <c:v>2023E</c:v>
                </c:pt>
                <c:pt idx="5">
                  <c:v>2024E</c:v>
                </c:pt>
                <c:pt idx="6">
                  <c:v>2025E</c:v>
                </c:pt>
                <c:pt idx="7">
                  <c:v>2026E</c:v>
                </c:pt>
              </c:strCache>
            </c:strRef>
          </c:cat>
          <c:val>
            <c:numRef>
              <c:f>'Analysis &amp; Insights'!$K$51:$K$58</c:f>
              <c:numCache>
                <c:formatCode>0</c:formatCode>
                <c:ptCount val="8"/>
                <c:pt idx="0">
                  <c:v>100</c:v>
                </c:pt>
                <c:pt idx="1">
                  <c:v>113.66190399743137</c:v>
                </c:pt>
                <c:pt idx="2">
                  <c:v>136.28190720821962</c:v>
                </c:pt>
                <c:pt idx="3">
                  <c:v>145.98156403122661</c:v>
                </c:pt>
                <c:pt idx="4">
                  <c:v>160.57972043434907</c:v>
                </c:pt>
                <c:pt idx="5">
                  <c:v>175.03189527344063</c:v>
                </c:pt>
                <c:pt idx="6">
                  <c:v>187.28412794258153</c:v>
                </c:pt>
                <c:pt idx="7">
                  <c:v>196.64833433971046</c:v>
                </c:pt>
              </c:numCache>
            </c:numRef>
          </c:val>
          <c:smooth val="0"/>
          <c:extLst>
            <c:ext xmlns:c16="http://schemas.microsoft.com/office/drawing/2014/chart" uri="{C3380CC4-5D6E-409C-BE32-E72D297353CC}">
              <c16:uniqueId val="{00000001-E6D6-4407-A735-C6F99518E7E8}"/>
            </c:ext>
          </c:extLst>
        </c:ser>
        <c:dLbls>
          <c:showLegendKey val="0"/>
          <c:showVal val="0"/>
          <c:showCatName val="0"/>
          <c:showSerName val="0"/>
          <c:showPercent val="0"/>
          <c:showBubbleSize val="0"/>
        </c:dLbls>
        <c:marker val="1"/>
        <c:smooth val="0"/>
        <c:axId val="477768832"/>
        <c:axId val="1743227472"/>
      </c:lineChart>
      <c:catAx>
        <c:axId val="477768832"/>
        <c:scaling>
          <c:orientation val="minMax"/>
        </c:scaling>
        <c:delete val="0"/>
        <c:axPos val="b"/>
        <c:numFmt formatCode="General" sourceLinked="1"/>
        <c:majorTickMark val="none"/>
        <c:minorTickMark val="none"/>
        <c:tickLblPos val="nextTo"/>
        <c:spPr>
          <a:noFill/>
          <a:ln w="9525" cap="flat" cmpd="sng" algn="ctr">
            <a:solidFill>
              <a:srgbClr val="D9D9D9"/>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fr-FR"/>
          </a:p>
        </c:txPr>
        <c:crossAx val="1743227472"/>
        <c:crosses val="autoZero"/>
        <c:auto val="1"/>
        <c:lblAlgn val="ctr"/>
        <c:lblOffset val="100"/>
        <c:noMultiLvlLbl val="0"/>
      </c:catAx>
      <c:valAx>
        <c:axId val="1743227472"/>
        <c:scaling>
          <c:orientation val="minMax"/>
          <c:max val="200"/>
          <c:min val="100"/>
        </c:scaling>
        <c:delete val="0"/>
        <c:axPos val="l"/>
        <c:majorGridlines>
          <c:spPr>
            <a:ln w="9525" cap="flat" cmpd="sng" algn="ctr">
              <a:solidFill>
                <a:srgbClr val="D9D9D9"/>
              </a:solidFill>
              <a:prstDash val="solid"/>
              <a:round/>
            </a:ln>
            <a:effectLst/>
          </c:spPr>
        </c:majorGridlines>
        <c:numFmt formatCode="0" sourceLinked="0"/>
        <c:majorTickMark val="none"/>
        <c:minorTickMark val="none"/>
        <c:tickLblPos val="nextTo"/>
        <c:spPr>
          <a:noFill/>
          <a:ln>
            <a:solidFill>
              <a:srgbClr val="D9D9D9"/>
            </a:solidFill>
            <a:prstDash val="solid"/>
          </a:ln>
          <a:effectLst/>
        </c:spPr>
        <c:txPr>
          <a:bodyPr rot="-6000000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fr-FR"/>
          </a:p>
        </c:txPr>
        <c:crossAx val="477768832"/>
        <c:crosses val="autoZero"/>
        <c:crossBetween val="between"/>
      </c:valAx>
      <c:spPr>
        <a:solidFill>
          <a:srgbClr val="FFFFFF"/>
        </a:solidFill>
        <a:ln>
          <a:noFill/>
        </a:ln>
        <a:effectLst/>
      </c:spPr>
    </c:plotArea>
    <c:legend>
      <c:legendPos val="b"/>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262626"/>
                </a:solidFill>
                <a:latin typeface="+mn-lt"/>
                <a:ea typeface="+mn-ea"/>
                <a:cs typeface="+mn-cs"/>
              </a:defRPr>
            </a:pPr>
            <a:r>
              <a:rPr lang="en-US"/>
              <a:t>Reported UFCF vs NWC Diagnostic</a:t>
            </a:r>
          </a:p>
        </c:rich>
      </c:tx>
      <c:overlay val="0"/>
      <c:spPr>
        <a:solidFill>
          <a:srgbClr val="FFFFFF"/>
        </a:solidFill>
        <a:ln>
          <a:noFill/>
        </a:ln>
        <a:effectLst/>
      </c:spPr>
      <c:txPr>
        <a:bodyPr rot="0" spcFirstLastPara="1" vertOverflow="ellipsis" vert="horz" wrap="square" anchor="ctr" anchorCtr="1"/>
        <a:lstStyle/>
        <a:p>
          <a:pPr>
            <a:defRPr sz="1200" b="1" i="0" u="none" strike="noStrike" kern="1200" spc="0" baseline="0">
              <a:solidFill>
                <a:srgbClr val="262626"/>
              </a:solidFill>
              <a:latin typeface="+mn-lt"/>
              <a:ea typeface="+mn-ea"/>
              <a:cs typeface="+mn-cs"/>
            </a:defRPr>
          </a:pPr>
          <a:endParaRPr lang="fr-FR"/>
        </a:p>
      </c:txPr>
    </c:title>
    <c:autoTitleDeleted val="0"/>
    <c:plotArea>
      <c:layout/>
      <c:lineChart>
        <c:grouping val="standard"/>
        <c:varyColors val="0"/>
        <c:ser>
          <c:idx val="0"/>
          <c:order val="0"/>
          <c:tx>
            <c:v>Reported UFCF</c:v>
          </c:tx>
          <c:spPr>
            <a:ln w="28575" cap="rnd">
              <a:solidFill>
                <a:srgbClr val="2E5299"/>
              </a:solidFill>
              <a:prstDash val="solid"/>
              <a:round/>
            </a:ln>
            <a:effectLst/>
          </c:spPr>
          <c:marker>
            <c:symbol val="circle"/>
            <c:size val="5"/>
            <c:spPr>
              <a:solidFill>
                <a:srgbClr val="2E5299"/>
              </a:solidFill>
              <a:ln w="9525">
                <a:solidFill>
                  <a:srgbClr val="2E5299"/>
                </a:solidFill>
                <a:prstDash val="solid"/>
              </a:ln>
              <a:effectLst/>
            </c:spPr>
          </c:marker>
          <c:cat>
            <c:strRef>
              <c:f>'Analysis &amp; Insights'!$A$51:$A$58</c:f>
              <c:strCache>
                <c:ptCount val="8"/>
                <c:pt idx="0">
                  <c:v>2019A</c:v>
                </c:pt>
                <c:pt idx="1">
                  <c:v>2020A</c:v>
                </c:pt>
                <c:pt idx="2">
                  <c:v>2021A</c:v>
                </c:pt>
                <c:pt idx="3">
                  <c:v>2022E</c:v>
                </c:pt>
                <c:pt idx="4">
                  <c:v>2023E</c:v>
                </c:pt>
                <c:pt idx="5">
                  <c:v>2024E</c:v>
                </c:pt>
                <c:pt idx="6">
                  <c:v>2025E</c:v>
                </c:pt>
                <c:pt idx="7">
                  <c:v>2026E</c:v>
                </c:pt>
              </c:strCache>
            </c:strRef>
          </c:cat>
          <c:val>
            <c:numRef>
              <c:f>'Analysis &amp; Insights'!$E$51:$E$58</c:f>
              <c:numCache>
                <c:formatCode>#,##0</c:formatCode>
                <c:ptCount val="8"/>
                <c:pt idx="0">
                  <c:v>3158</c:v>
                </c:pt>
                <c:pt idx="1">
                  <c:v>2859</c:v>
                </c:pt>
                <c:pt idx="2">
                  <c:v>4698</c:v>
                </c:pt>
                <c:pt idx="3">
                  <c:v>3645.472376813867</c:v>
                </c:pt>
                <c:pt idx="4">
                  <c:v>4100.7944355881609</c:v>
                </c:pt>
                <c:pt idx="5">
                  <c:v>4529.3774265298853</c:v>
                </c:pt>
                <c:pt idx="6">
                  <c:v>4828.6939670634065</c:v>
                </c:pt>
                <c:pt idx="7">
                  <c:v>4963.3221445910267</c:v>
                </c:pt>
              </c:numCache>
            </c:numRef>
          </c:val>
          <c:smooth val="0"/>
          <c:extLst>
            <c:ext xmlns:c16="http://schemas.microsoft.com/office/drawing/2014/chart" uri="{C3380CC4-5D6E-409C-BE32-E72D297353CC}">
              <c16:uniqueId val="{00000000-312E-427B-B85E-9400321037A2}"/>
            </c:ext>
          </c:extLst>
        </c:ser>
        <c:ser>
          <c:idx val="1"/>
          <c:order val="1"/>
          <c:tx>
            <c:v>UFCF incl. NWC Change</c:v>
          </c:tx>
          <c:spPr>
            <a:ln w="28575" cap="rnd">
              <a:solidFill>
                <a:srgbClr val="BF8A1B"/>
              </a:solidFill>
              <a:prstDash val="solid"/>
              <a:round/>
            </a:ln>
            <a:effectLst/>
          </c:spPr>
          <c:marker>
            <c:symbol val="circle"/>
            <c:size val="5"/>
            <c:spPr>
              <a:solidFill>
                <a:srgbClr val="BF8A1B"/>
              </a:solidFill>
              <a:ln w="9525">
                <a:solidFill>
                  <a:srgbClr val="BF8A1B"/>
                </a:solidFill>
                <a:prstDash val="solid"/>
              </a:ln>
              <a:effectLst/>
            </c:spPr>
          </c:marker>
          <c:val>
            <c:numRef>
              <c:f>'Analysis &amp; Insights'!$I$51:$I$58</c:f>
              <c:numCache>
                <c:formatCode>#,##0</c:formatCode>
                <c:ptCount val="8"/>
                <c:pt idx="0">
                  <c:v>3158</c:v>
                </c:pt>
                <c:pt idx="1">
                  <c:v>2859</c:v>
                </c:pt>
                <c:pt idx="2">
                  <c:v>4698</c:v>
                </c:pt>
                <c:pt idx="3">
                  <c:v>3872.367689942474</c:v>
                </c:pt>
                <c:pt idx="4">
                  <c:v>5194.2934260849925</c:v>
                </c:pt>
                <c:pt idx="5">
                  <c:v>5666.2929138561776</c:v>
                </c:pt>
                <c:pt idx="6">
                  <c:v>5792.5456524300362</c:v>
                </c:pt>
                <c:pt idx="7">
                  <c:v>5699.980218406944</c:v>
                </c:pt>
              </c:numCache>
            </c:numRef>
          </c:val>
          <c:smooth val="0"/>
          <c:extLst>
            <c:ext xmlns:c16="http://schemas.microsoft.com/office/drawing/2014/chart" uri="{C3380CC4-5D6E-409C-BE32-E72D297353CC}">
              <c16:uniqueId val="{00000001-312E-427B-B85E-9400321037A2}"/>
            </c:ext>
          </c:extLst>
        </c:ser>
        <c:dLbls>
          <c:showLegendKey val="0"/>
          <c:showVal val="0"/>
          <c:showCatName val="0"/>
          <c:showSerName val="0"/>
          <c:showPercent val="0"/>
          <c:showBubbleSize val="0"/>
        </c:dLbls>
        <c:marker val="1"/>
        <c:smooth val="0"/>
        <c:axId val="477795744"/>
        <c:axId val="460865872"/>
      </c:lineChart>
      <c:catAx>
        <c:axId val="477795744"/>
        <c:scaling>
          <c:orientation val="minMax"/>
        </c:scaling>
        <c:delete val="0"/>
        <c:axPos val="b"/>
        <c:numFmt formatCode="General" sourceLinked="1"/>
        <c:majorTickMark val="none"/>
        <c:minorTickMark val="none"/>
        <c:tickLblPos val="nextTo"/>
        <c:spPr>
          <a:noFill/>
          <a:ln w="9525" cap="flat" cmpd="sng" algn="ctr">
            <a:solidFill>
              <a:srgbClr val="D9D9D9"/>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fr-FR"/>
          </a:p>
        </c:txPr>
        <c:crossAx val="460865872"/>
        <c:crosses val="autoZero"/>
        <c:auto val="1"/>
        <c:lblAlgn val="ctr"/>
        <c:lblOffset val="100"/>
        <c:noMultiLvlLbl val="0"/>
      </c:catAx>
      <c:valAx>
        <c:axId val="460865872"/>
        <c:scaling>
          <c:orientation val="minMax"/>
        </c:scaling>
        <c:delete val="0"/>
        <c:axPos val="l"/>
        <c:majorGridlines>
          <c:spPr>
            <a:ln w="9525" cap="flat" cmpd="sng" algn="ctr">
              <a:solidFill>
                <a:srgbClr val="D9D9D9"/>
              </a:solidFill>
              <a:prstDash val="solid"/>
              <a:round/>
            </a:ln>
            <a:effectLst/>
          </c:spPr>
        </c:majorGridlines>
        <c:numFmt formatCode="#.##0" sourceLinked="0"/>
        <c:majorTickMark val="none"/>
        <c:minorTickMark val="none"/>
        <c:tickLblPos val="nextTo"/>
        <c:spPr>
          <a:noFill/>
          <a:ln>
            <a:solidFill>
              <a:srgbClr val="D9D9D9"/>
            </a:solidFill>
            <a:prstDash val="solid"/>
          </a:ln>
          <a:effectLst/>
        </c:spPr>
        <c:txPr>
          <a:bodyPr rot="-6000000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fr-FR"/>
          </a:p>
        </c:txPr>
        <c:crossAx val="477795744"/>
        <c:crosses val="autoZero"/>
        <c:crossBetween val="between"/>
      </c:valAx>
      <c:spPr>
        <a:solidFill>
          <a:srgbClr val="FFFFFF"/>
        </a:solidFill>
        <a:ln>
          <a:noFill/>
        </a:ln>
        <a:effectLst/>
      </c:spPr>
    </c:plotArea>
    <c:legend>
      <c:legendPos val="b"/>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262626"/>
                </a:solidFill>
                <a:latin typeface="+mn-lt"/>
                <a:ea typeface="+mn-ea"/>
                <a:cs typeface="+mn-cs"/>
              </a:defRPr>
            </a:pPr>
            <a:r>
              <a:rPr lang="en-US"/>
              <a:t>Revenue Growth and EBITDA Margin</a:t>
            </a:r>
          </a:p>
        </c:rich>
      </c:tx>
      <c:overlay val="0"/>
      <c:spPr>
        <a:solidFill>
          <a:srgbClr val="FFFFFF"/>
        </a:solidFill>
        <a:ln>
          <a:noFill/>
        </a:ln>
        <a:effectLst/>
      </c:spPr>
      <c:txPr>
        <a:bodyPr rot="0" spcFirstLastPara="1" vertOverflow="ellipsis" vert="horz" wrap="square" anchor="ctr" anchorCtr="1"/>
        <a:lstStyle/>
        <a:p>
          <a:pPr>
            <a:defRPr sz="1200" b="1" i="0" u="none" strike="noStrike" kern="1200" spc="0" baseline="0">
              <a:solidFill>
                <a:srgbClr val="262626"/>
              </a:solidFill>
              <a:latin typeface="+mn-lt"/>
              <a:ea typeface="+mn-ea"/>
              <a:cs typeface="+mn-cs"/>
            </a:defRPr>
          </a:pPr>
          <a:endParaRPr lang="fr-FR"/>
        </a:p>
      </c:txPr>
    </c:title>
    <c:autoTitleDeleted val="0"/>
    <c:plotArea>
      <c:layout/>
      <c:lineChart>
        <c:grouping val="standard"/>
        <c:varyColors val="0"/>
        <c:ser>
          <c:idx val="0"/>
          <c:order val="0"/>
          <c:tx>
            <c:v>EBITDA Margin</c:v>
          </c:tx>
          <c:spPr>
            <a:ln w="28575" cap="rnd">
              <a:solidFill>
                <a:srgbClr val="2E5299"/>
              </a:solidFill>
              <a:prstDash val="solid"/>
              <a:round/>
            </a:ln>
            <a:effectLst/>
          </c:spPr>
          <c:marker>
            <c:symbol val="circle"/>
            <c:size val="5"/>
            <c:spPr>
              <a:solidFill>
                <a:srgbClr val="2E5299"/>
              </a:solidFill>
              <a:ln w="9525">
                <a:solidFill>
                  <a:srgbClr val="2E5299"/>
                </a:solidFill>
                <a:prstDash val="solid"/>
              </a:ln>
              <a:effectLst/>
            </c:spPr>
          </c:marker>
          <c:cat>
            <c:strRef>
              <c:f>'Analysis &amp; Insights'!$A$51:$A$58</c:f>
              <c:strCache>
                <c:ptCount val="8"/>
                <c:pt idx="0">
                  <c:v>2019A</c:v>
                </c:pt>
                <c:pt idx="1">
                  <c:v>2020A</c:v>
                </c:pt>
                <c:pt idx="2">
                  <c:v>2021A</c:v>
                </c:pt>
                <c:pt idx="3">
                  <c:v>2022E</c:v>
                </c:pt>
                <c:pt idx="4">
                  <c:v>2023E</c:v>
                </c:pt>
                <c:pt idx="5">
                  <c:v>2024E</c:v>
                </c:pt>
                <c:pt idx="6">
                  <c:v>2025E</c:v>
                </c:pt>
                <c:pt idx="7">
                  <c:v>2026E</c:v>
                </c:pt>
              </c:strCache>
            </c:strRef>
          </c:cat>
          <c:val>
            <c:numRef>
              <c:f>'Analysis &amp; Insights'!$D$51:$D$58</c:f>
              <c:numCache>
                <c:formatCode>0.0%</c:formatCode>
                <c:ptCount val="8"/>
                <c:pt idx="0">
                  <c:v>4.0791601998650978E-2</c:v>
                </c:pt>
                <c:pt idx="1">
                  <c:v>4.2455969921024697E-2</c:v>
                </c:pt>
                <c:pt idx="2">
                  <c:v>4.3326919445309267E-2</c:v>
                </c:pt>
                <c:pt idx="3">
                  <c:v>4.2191497121661911E-2</c:v>
                </c:pt>
                <c:pt idx="4">
                  <c:v>4.2191497121661849E-2</c:v>
                </c:pt>
                <c:pt idx="5">
                  <c:v>4.2191497121661883E-2</c:v>
                </c:pt>
                <c:pt idx="6">
                  <c:v>4.2191497121661883E-2</c:v>
                </c:pt>
                <c:pt idx="7">
                  <c:v>4.2191497121661856E-2</c:v>
                </c:pt>
              </c:numCache>
            </c:numRef>
          </c:val>
          <c:smooth val="0"/>
          <c:extLst>
            <c:ext xmlns:c16="http://schemas.microsoft.com/office/drawing/2014/chart" uri="{C3380CC4-5D6E-409C-BE32-E72D297353CC}">
              <c16:uniqueId val="{00000000-8304-4CB7-ADD5-E1DEB79D6E59}"/>
            </c:ext>
          </c:extLst>
        </c:ser>
        <c:ser>
          <c:idx val="1"/>
          <c:order val="1"/>
          <c:tx>
            <c:v>Revenue Growth</c:v>
          </c:tx>
          <c:spPr>
            <a:ln w="28575" cap="rnd">
              <a:solidFill>
                <a:srgbClr val="BF8A1B"/>
              </a:solidFill>
              <a:prstDash val="solid"/>
              <a:round/>
            </a:ln>
            <a:effectLst/>
          </c:spPr>
          <c:marker>
            <c:symbol val="circle"/>
            <c:size val="5"/>
            <c:spPr>
              <a:solidFill>
                <a:srgbClr val="BF8A1B"/>
              </a:solidFill>
              <a:ln w="9525">
                <a:solidFill>
                  <a:srgbClr val="BF8A1B"/>
                </a:solidFill>
                <a:prstDash val="solid"/>
              </a:ln>
              <a:effectLst/>
            </c:spPr>
          </c:marker>
          <c:val>
            <c:numRef>
              <c:f>'Analysis &amp; Insights'!$F$51:$F$58</c:f>
              <c:numCache>
                <c:formatCode>0.0%</c:formatCode>
                <c:ptCount val="8"/>
                <c:pt idx="1">
                  <c:v>9.2061059704131601E-2</c:v>
                </c:pt>
                <c:pt idx="2">
                  <c:v>0.17490900150514799</c:v>
                </c:pt>
                <c:pt idx="3">
                  <c:v>0.1</c:v>
                </c:pt>
                <c:pt idx="4">
                  <c:v>0.1</c:v>
                </c:pt>
                <c:pt idx="5">
                  <c:v>0.09</c:v>
                </c:pt>
                <c:pt idx="6">
                  <c:v>7.0000000000000007E-2</c:v>
                </c:pt>
                <c:pt idx="7">
                  <c:v>0.05</c:v>
                </c:pt>
              </c:numCache>
            </c:numRef>
          </c:val>
          <c:smooth val="0"/>
          <c:extLst>
            <c:ext xmlns:c16="http://schemas.microsoft.com/office/drawing/2014/chart" uri="{C3380CC4-5D6E-409C-BE32-E72D297353CC}">
              <c16:uniqueId val="{00000001-8304-4CB7-ADD5-E1DEB79D6E59}"/>
            </c:ext>
          </c:extLst>
        </c:ser>
        <c:dLbls>
          <c:showLegendKey val="0"/>
          <c:showVal val="0"/>
          <c:showCatName val="0"/>
          <c:showSerName val="0"/>
          <c:showPercent val="0"/>
          <c:showBubbleSize val="0"/>
        </c:dLbls>
        <c:marker val="1"/>
        <c:smooth val="0"/>
        <c:axId val="477845392"/>
        <c:axId val="460877392"/>
      </c:lineChart>
      <c:catAx>
        <c:axId val="477845392"/>
        <c:scaling>
          <c:orientation val="minMax"/>
        </c:scaling>
        <c:delete val="0"/>
        <c:axPos val="b"/>
        <c:numFmt formatCode="General" sourceLinked="1"/>
        <c:majorTickMark val="none"/>
        <c:minorTickMark val="none"/>
        <c:tickLblPos val="nextTo"/>
        <c:spPr>
          <a:noFill/>
          <a:ln w="9525" cap="flat" cmpd="sng" algn="ctr">
            <a:solidFill>
              <a:srgbClr val="D9D9D9"/>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fr-FR"/>
          </a:p>
        </c:txPr>
        <c:crossAx val="460877392"/>
        <c:crosses val="autoZero"/>
        <c:auto val="1"/>
        <c:lblAlgn val="ctr"/>
        <c:lblOffset val="100"/>
        <c:noMultiLvlLbl val="0"/>
      </c:catAx>
      <c:valAx>
        <c:axId val="460877392"/>
        <c:scaling>
          <c:orientation val="minMax"/>
        </c:scaling>
        <c:delete val="0"/>
        <c:axPos val="l"/>
        <c:majorGridlines>
          <c:spPr>
            <a:ln w="9525" cap="flat" cmpd="sng" algn="ctr">
              <a:solidFill>
                <a:srgbClr val="D9D9D9"/>
              </a:solidFill>
              <a:prstDash val="solid"/>
              <a:round/>
            </a:ln>
            <a:effectLst/>
          </c:spPr>
        </c:majorGridlines>
        <c:numFmt formatCode="0\.0%" sourceLinked="0"/>
        <c:majorTickMark val="none"/>
        <c:minorTickMark val="none"/>
        <c:tickLblPos val="nextTo"/>
        <c:spPr>
          <a:noFill/>
          <a:ln>
            <a:solidFill>
              <a:srgbClr val="D9D9D9"/>
            </a:solidFill>
            <a:prstDash val="solid"/>
          </a:ln>
          <a:effectLst/>
        </c:spPr>
        <c:txPr>
          <a:bodyPr rot="-6000000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fr-FR"/>
          </a:p>
        </c:txPr>
        <c:crossAx val="477845392"/>
        <c:crosses val="autoZero"/>
        <c:crossBetween val="between"/>
      </c:valAx>
      <c:spPr>
        <a:solidFill>
          <a:srgbClr val="FFFFFF"/>
        </a:solidFill>
        <a:ln>
          <a:noFill/>
        </a:ln>
        <a:effectLst/>
      </c:spPr>
    </c:plotArea>
    <c:legend>
      <c:legendPos val="b"/>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262626"/>
                </a:solidFill>
                <a:latin typeface="+mn-lt"/>
                <a:ea typeface="+mn-ea"/>
                <a:cs typeface="+mn-cs"/>
              </a:defRPr>
            </a:pPr>
            <a:r>
              <a:rPr lang="en-US"/>
              <a:t>Enterprise Value Composition</a:t>
            </a:r>
          </a:p>
        </c:rich>
      </c:tx>
      <c:overlay val="0"/>
      <c:spPr>
        <a:solidFill>
          <a:srgbClr val="FFFFFF"/>
        </a:solidFill>
        <a:ln>
          <a:noFill/>
        </a:ln>
        <a:effectLst/>
      </c:spPr>
      <c:txPr>
        <a:bodyPr rot="0" spcFirstLastPara="1" vertOverflow="ellipsis" vert="horz" wrap="square" anchor="ctr" anchorCtr="1"/>
        <a:lstStyle/>
        <a:p>
          <a:pPr>
            <a:defRPr sz="1200" b="1" i="0" u="none" strike="noStrike" kern="1200" spc="0" baseline="0">
              <a:solidFill>
                <a:srgbClr val="262626"/>
              </a:solidFill>
              <a:latin typeface="+mn-lt"/>
              <a:ea typeface="+mn-ea"/>
              <a:cs typeface="+mn-cs"/>
            </a:defRPr>
          </a:pPr>
          <a:endParaRPr lang="fr-FR"/>
        </a:p>
      </c:txPr>
    </c:title>
    <c:autoTitleDeleted val="0"/>
    <c:plotArea>
      <c:layout/>
      <c:doughnutChart>
        <c:varyColors val="1"/>
        <c:ser>
          <c:idx val="0"/>
          <c:order val="0"/>
          <c:tx>
            <c:v>Enterprise Value</c:v>
          </c:tx>
          <c:dPt>
            <c:idx val="0"/>
            <c:bubble3D val="0"/>
            <c:spPr>
              <a:solidFill>
                <a:srgbClr val="2E5299"/>
              </a:solidFill>
              <a:ln w="19050">
                <a:solidFill>
                  <a:schemeClr val="lt1"/>
                </a:solidFill>
              </a:ln>
              <a:effectLst/>
            </c:spPr>
            <c:extLst>
              <c:ext xmlns:c16="http://schemas.microsoft.com/office/drawing/2014/chart" uri="{C3380CC4-5D6E-409C-BE32-E72D297353CC}">
                <c16:uniqueId val="{00000001-1B31-4CE9-A008-C417CF4F69F3}"/>
              </c:ext>
            </c:extLst>
          </c:dPt>
          <c:dPt>
            <c:idx val="1"/>
            <c:bubble3D val="0"/>
            <c:spPr>
              <a:solidFill>
                <a:srgbClr val="BF8A1B"/>
              </a:solidFill>
              <a:ln w="19050">
                <a:solidFill>
                  <a:schemeClr val="lt1"/>
                </a:solidFill>
              </a:ln>
              <a:effectLst/>
            </c:spPr>
            <c:extLst>
              <c:ext xmlns:c16="http://schemas.microsoft.com/office/drawing/2014/chart" uri="{C3380CC4-5D6E-409C-BE32-E72D297353CC}">
                <c16:uniqueId val="{00000002-1B31-4CE9-A008-C417CF4F69F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&amp; Insights'!$M$51:$M$52</c:f>
              <c:strCache>
                <c:ptCount val="2"/>
                <c:pt idx="0">
                  <c:v>PV of Explicit FCF</c:v>
                </c:pt>
                <c:pt idx="1">
                  <c:v>PV of Terminal Value</c:v>
                </c:pt>
              </c:strCache>
            </c:strRef>
          </c:cat>
          <c:val>
            <c:numRef>
              <c:f>'Analysis &amp; Insights'!$N$51:$N$52</c:f>
              <c:numCache>
                <c:formatCode>#,##0</c:formatCode>
                <c:ptCount val="2"/>
                <c:pt idx="0">
                  <c:v>18301.801700833923</c:v>
                </c:pt>
                <c:pt idx="1">
                  <c:v>86300.303476507994</c:v>
                </c:pt>
              </c:numCache>
            </c:numRef>
          </c:val>
          <c:extLst>
            <c:ext xmlns:c16="http://schemas.microsoft.com/office/drawing/2014/chart" uri="{C3380CC4-5D6E-409C-BE32-E72D297353CC}">
              <c16:uniqueId val="{00000000-1B31-4CE9-A008-C417CF4F69F3}"/>
            </c:ext>
          </c:extLst>
        </c:ser>
        <c:dLbls>
          <c:showLegendKey val="0"/>
          <c:showVal val="0"/>
          <c:showCatName val="0"/>
          <c:showSerName val="0"/>
          <c:showPercent val="0"/>
          <c:showBubbleSize val="0"/>
          <c:showLeaderLines val="1"/>
        </c:dLbls>
        <c:firstSliceAng val="0"/>
        <c:holeSize val="75"/>
      </c:doughnutChart>
      <c:spPr>
        <a:solidFill>
          <a:srgbClr val="FFFFFF"/>
        </a:solidFill>
        <a:ln>
          <a:noFill/>
        </a:ln>
        <a:effectLst/>
      </c:spPr>
    </c:plotArea>
    <c:legend>
      <c:legendPos val="b"/>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617220</xdr:colOff>
      <xdr:row>0</xdr:row>
      <xdr:rowOff>15240</xdr:rowOff>
    </xdr:from>
    <xdr:to>
      <xdr:col>10</xdr:col>
      <xdr:colOff>1694180</xdr:colOff>
      <xdr:row>2</xdr:row>
      <xdr:rowOff>274320</xdr:rowOff>
    </xdr:to>
    <xdr:pic>
      <xdr:nvPicPr>
        <xdr:cNvPr id="2" name="Image 1">
          <a:extLst>
            <a:ext uri="{FF2B5EF4-FFF2-40B4-BE49-F238E27FC236}">
              <a16:creationId xmlns:a16="http://schemas.microsoft.com/office/drawing/2014/main" id="{4B2A6240-710B-714A-EAEE-3C4A4EA152FC}"/>
            </a:ext>
          </a:extLst>
        </xdr:cNvPr>
        <xdr:cNvPicPr>
          <a:picLocks noChangeAspect="1"/>
        </xdr:cNvPicPr>
      </xdr:nvPicPr>
      <xdr:blipFill>
        <a:blip xmlns:r="http://schemas.openxmlformats.org/officeDocument/2006/relationships" r:embed="rId1"/>
        <a:stretch>
          <a:fillRect/>
        </a:stretch>
      </xdr:blipFill>
      <xdr:spPr>
        <a:xfrm>
          <a:off x="8618220" y="15240"/>
          <a:ext cx="1076960" cy="102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0</xdr:colOff>
      <xdr:row>31</xdr:row>
      <xdr:rowOff>0</xdr:rowOff>
    </xdr:to>
    <xdr:graphicFrame macro="">
      <xdr:nvGraphicFramePr>
        <xdr:cNvPr id="7" name="Indexed Performance">
          <a:extLst>
            <a:ext uri="{FF2B5EF4-FFF2-40B4-BE49-F238E27FC236}">
              <a16:creationId xmlns:a16="http://schemas.microsoft.com/office/drawing/2014/main" id="{A2330BFC-0D96-D0BC-C2A8-D687C1F9D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16</xdr:row>
      <xdr:rowOff>0</xdr:rowOff>
    </xdr:from>
    <xdr:to>
      <xdr:col>14</xdr:col>
      <xdr:colOff>0</xdr:colOff>
      <xdr:row>31</xdr:row>
      <xdr:rowOff>0</xdr:rowOff>
    </xdr:to>
    <xdr:graphicFrame macro="">
      <xdr:nvGraphicFramePr>
        <xdr:cNvPr id="8" name="UFCF and NWC Diagnostic">
          <a:extLst>
            <a:ext uri="{FF2B5EF4-FFF2-40B4-BE49-F238E27FC236}">
              <a16:creationId xmlns:a16="http://schemas.microsoft.com/office/drawing/2014/main" id="{FE672F67-3FC6-3E8B-E627-F55A486FF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0</xdr:rowOff>
    </xdr:from>
    <xdr:to>
      <xdr:col>7</xdr:col>
      <xdr:colOff>0</xdr:colOff>
      <xdr:row>47</xdr:row>
      <xdr:rowOff>0</xdr:rowOff>
    </xdr:to>
    <xdr:graphicFrame macro="">
      <xdr:nvGraphicFramePr>
        <xdr:cNvPr id="9" name="Growth and Margin">
          <a:extLst>
            <a:ext uri="{FF2B5EF4-FFF2-40B4-BE49-F238E27FC236}">
              <a16:creationId xmlns:a16="http://schemas.microsoft.com/office/drawing/2014/main" id="{0F683D1C-52BB-4444-D75C-70413EA71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32</xdr:row>
      <xdr:rowOff>0</xdr:rowOff>
    </xdr:from>
    <xdr:to>
      <xdr:col>14</xdr:col>
      <xdr:colOff>0</xdr:colOff>
      <xdr:row>47</xdr:row>
      <xdr:rowOff>0</xdr:rowOff>
    </xdr:to>
    <xdr:graphicFrame macro="">
      <xdr:nvGraphicFramePr>
        <xdr:cNvPr id="10" name="Enterprise Value Composition">
          <a:extLst>
            <a:ext uri="{FF2B5EF4-FFF2-40B4-BE49-F238E27FC236}">
              <a16:creationId xmlns:a16="http://schemas.microsoft.com/office/drawing/2014/main" id="{2FE8E944-0A18-E7F4-4288-81CC4C604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D6298-8EE4-4D8A-81CB-70BFBD3139B6}">
  <sheetPr>
    <tabColor rgb="FF17324D"/>
  </sheetPr>
  <dimension ref="A1:M32"/>
  <sheetViews>
    <sheetView showGridLines="0" topLeftCell="A12" zoomScale="79" workbookViewId="0">
      <selection activeCell="F6" sqref="F6:K8"/>
    </sheetView>
  </sheetViews>
  <sheetFormatPr baseColWidth="10" defaultRowHeight="14.4"/>
  <cols>
    <col min="1" max="1" width="17.88671875" customWidth="1"/>
    <col min="2" max="2" width="13.88671875" customWidth="1"/>
    <col min="3" max="3" width="11.44140625" customWidth="1"/>
    <col min="4" max="4" width="28.5546875" customWidth="1"/>
    <col min="5" max="5" width="2.44140625" customWidth="1"/>
    <col min="6" max="8" width="11.44140625" customWidth="1"/>
    <col min="9" max="9" width="18.5546875" customWidth="1"/>
    <col min="10" max="10" width="8.21875" customWidth="1"/>
    <col min="11" max="11" width="30" customWidth="1"/>
  </cols>
  <sheetData>
    <row r="1" spans="1:13" ht="30" customHeight="1">
      <c r="A1" s="11" t="s">
        <v>183</v>
      </c>
      <c r="B1" s="11"/>
      <c r="C1" s="11"/>
      <c r="D1" s="11"/>
      <c r="E1" s="11"/>
      <c r="F1" s="11"/>
      <c r="G1" s="11"/>
      <c r="H1" s="11"/>
      <c r="I1" s="11"/>
      <c r="J1" s="11"/>
      <c r="K1" s="11"/>
      <c r="L1" s="41"/>
      <c r="M1" s="4"/>
    </row>
    <row r="2" spans="1:13" ht="30" customHeight="1">
      <c r="A2" s="11"/>
      <c r="B2" s="11"/>
      <c r="C2" s="11"/>
      <c r="D2" s="11"/>
      <c r="E2" s="11"/>
      <c r="F2" s="11"/>
      <c r="G2" s="11"/>
      <c r="H2" s="11"/>
      <c r="I2" s="11"/>
      <c r="J2" s="11"/>
      <c r="K2" s="11"/>
      <c r="L2" s="41"/>
      <c r="M2" s="4"/>
    </row>
    <row r="3" spans="1:13" ht="24" customHeight="1">
      <c r="A3" s="39" t="s">
        <v>184</v>
      </c>
      <c r="B3" s="39"/>
      <c r="C3" s="39"/>
      <c r="D3" s="39"/>
      <c r="E3" s="39"/>
      <c r="F3" s="39"/>
      <c r="G3" s="39"/>
      <c r="H3" s="39"/>
      <c r="I3" s="39"/>
      <c r="J3" s="42"/>
      <c r="K3" s="42"/>
      <c r="L3" s="41"/>
      <c r="M3" s="4"/>
    </row>
    <row r="4" spans="1:13">
      <c r="A4" s="9"/>
      <c r="B4" s="9"/>
      <c r="C4" s="9"/>
      <c r="D4" s="9"/>
      <c r="E4" s="9"/>
      <c r="F4" s="9"/>
      <c r="G4" s="9"/>
      <c r="H4" s="9"/>
      <c r="I4" s="9"/>
      <c r="J4" s="9"/>
      <c r="K4" s="9"/>
      <c r="L4" s="41"/>
      <c r="M4" s="4"/>
    </row>
    <row r="5" spans="1:13" ht="22.05" customHeight="1">
      <c r="A5" s="13" t="s">
        <v>185</v>
      </c>
      <c r="B5" s="13"/>
      <c r="C5" s="13"/>
      <c r="D5" s="13"/>
      <c r="E5" s="9"/>
      <c r="F5" s="13" t="s">
        <v>191</v>
      </c>
      <c r="G5" s="13"/>
      <c r="H5" s="13"/>
      <c r="I5" s="13"/>
      <c r="J5" s="13"/>
      <c r="K5" s="13"/>
      <c r="L5" s="41"/>
      <c r="M5" s="4"/>
    </row>
    <row r="6" spans="1:13" ht="22.95" customHeight="1">
      <c r="A6" s="14" t="s">
        <v>186</v>
      </c>
      <c r="B6" s="15"/>
      <c r="C6" s="20" t="s">
        <v>187</v>
      </c>
      <c r="D6" s="21"/>
      <c r="E6" s="9"/>
      <c r="F6" s="26" t="s">
        <v>192</v>
      </c>
      <c r="G6" s="27"/>
      <c r="H6" s="27"/>
      <c r="I6" s="27"/>
      <c r="J6" s="27"/>
      <c r="K6" s="28"/>
      <c r="L6" s="41"/>
      <c r="M6" s="4"/>
    </row>
    <row r="7" spans="1:13" ht="22.95" customHeight="1">
      <c r="A7" s="16" t="s">
        <v>188</v>
      </c>
      <c r="B7" s="17"/>
      <c r="C7" s="22" t="s">
        <v>182</v>
      </c>
      <c r="D7" s="23"/>
      <c r="E7" s="9"/>
      <c r="F7" s="29"/>
      <c r="G7" s="30"/>
      <c r="H7" s="30"/>
      <c r="I7" s="30"/>
      <c r="J7" s="30"/>
      <c r="K7" s="31"/>
      <c r="L7" s="41"/>
      <c r="M7" s="4"/>
    </row>
    <row r="8" spans="1:13" ht="22.95" customHeight="1">
      <c r="A8" s="18" t="s">
        <v>189</v>
      </c>
      <c r="B8" s="19"/>
      <c r="C8" s="24" t="s">
        <v>190</v>
      </c>
      <c r="D8" s="25"/>
      <c r="E8" s="9"/>
      <c r="F8" s="32"/>
      <c r="G8" s="33"/>
      <c r="H8" s="33"/>
      <c r="I8" s="33"/>
      <c r="J8" s="33"/>
      <c r="K8" s="34"/>
      <c r="L8" s="41"/>
      <c r="M8" s="4"/>
    </row>
    <row r="9" spans="1:13">
      <c r="A9" s="9"/>
      <c r="B9" s="9"/>
      <c r="C9" s="9"/>
      <c r="D9" s="9"/>
      <c r="E9" s="9"/>
      <c r="F9" s="9"/>
      <c r="G9" s="9"/>
      <c r="H9" s="9"/>
      <c r="I9" s="9"/>
      <c r="J9" s="9"/>
      <c r="K9" s="9"/>
      <c r="L9" s="41"/>
      <c r="M9" s="4"/>
    </row>
    <row r="10" spans="1:13" ht="22.05" customHeight="1">
      <c r="A10" s="13" t="s">
        <v>193</v>
      </c>
      <c r="B10" s="13"/>
      <c r="C10" s="13"/>
      <c r="D10" s="13"/>
      <c r="E10" s="13"/>
      <c r="F10" s="13"/>
      <c r="G10" s="13"/>
      <c r="H10" s="13"/>
      <c r="I10" s="13"/>
      <c r="J10" s="13"/>
      <c r="K10" s="13"/>
      <c r="L10" s="41"/>
      <c r="M10" s="4"/>
    </row>
    <row r="11" spans="1:13" ht="22.05" customHeight="1">
      <c r="A11" s="14" t="s">
        <v>194</v>
      </c>
      <c r="B11" s="15"/>
      <c r="C11" s="15"/>
      <c r="D11" s="14" t="s">
        <v>195</v>
      </c>
      <c r="E11" s="15"/>
      <c r="F11" s="15"/>
      <c r="G11" s="14" t="s">
        <v>196</v>
      </c>
      <c r="H11" s="15"/>
      <c r="I11" s="15"/>
      <c r="J11" s="14" t="s">
        <v>197</v>
      </c>
      <c r="K11" s="35"/>
      <c r="L11" s="41"/>
      <c r="M11" s="4"/>
    </row>
    <row r="12" spans="1:13" ht="24" customHeight="1">
      <c r="A12" s="29" t="s">
        <v>198</v>
      </c>
      <c r="B12" s="30"/>
      <c r="C12" s="30"/>
      <c r="D12" s="29" t="s">
        <v>199</v>
      </c>
      <c r="E12" s="30"/>
      <c r="F12" s="30"/>
      <c r="G12" s="29" t="s">
        <v>200</v>
      </c>
      <c r="H12" s="30"/>
      <c r="I12" s="30"/>
      <c r="J12" s="29" t="s">
        <v>201</v>
      </c>
      <c r="K12" s="31"/>
      <c r="L12" s="41"/>
      <c r="M12" s="4"/>
    </row>
    <row r="13" spans="1:13" ht="24" customHeight="1">
      <c r="A13" s="29"/>
      <c r="B13" s="30"/>
      <c r="C13" s="30"/>
      <c r="D13" s="29"/>
      <c r="E13" s="30"/>
      <c r="F13" s="30"/>
      <c r="G13" s="29"/>
      <c r="H13" s="30"/>
      <c r="I13" s="30"/>
      <c r="J13" s="29"/>
      <c r="K13" s="31"/>
      <c r="L13" s="41"/>
      <c r="M13" s="4"/>
    </row>
    <row r="14" spans="1:13" ht="24" customHeight="1">
      <c r="A14" s="32"/>
      <c r="B14" s="33"/>
      <c r="C14" s="33"/>
      <c r="D14" s="32"/>
      <c r="E14" s="33"/>
      <c r="F14" s="33"/>
      <c r="G14" s="32"/>
      <c r="H14" s="33"/>
      <c r="I14" s="33"/>
      <c r="J14" s="32"/>
      <c r="K14" s="34"/>
      <c r="L14" s="41"/>
      <c r="M14" s="4"/>
    </row>
    <row r="15" spans="1:13">
      <c r="A15" s="9"/>
      <c r="B15" s="9"/>
      <c r="C15" s="9"/>
      <c r="D15" s="9"/>
      <c r="E15" s="9"/>
      <c r="F15" s="9"/>
      <c r="G15" s="9"/>
      <c r="H15" s="9"/>
      <c r="I15" s="9"/>
      <c r="J15" s="9"/>
      <c r="K15" s="9"/>
      <c r="L15" s="41"/>
      <c r="M15" s="4"/>
    </row>
    <row r="16" spans="1:13" ht="22.05" customHeight="1">
      <c r="A16" s="13" t="s">
        <v>202</v>
      </c>
      <c r="B16" s="13"/>
      <c r="C16" s="13"/>
      <c r="D16" s="13"/>
      <c r="E16" s="13"/>
      <c r="F16" s="13"/>
      <c r="G16" s="13"/>
      <c r="H16" s="13"/>
      <c r="I16" s="13"/>
      <c r="J16" s="13"/>
      <c r="K16" s="13"/>
      <c r="L16" s="41"/>
      <c r="M16" s="4"/>
    </row>
    <row r="17" spans="1:13" ht="22.05" customHeight="1">
      <c r="A17" s="14" t="s">
        <v>203</v>
      </c>
      <c r="B17" s="15"/>
      <c r="C17" s="15"/>
      <c r="D17" s="14" t="s">
        <v>204</v>
      </c>
      <c r="E17" s="15"/>
      <c r="F17" s="15"/>
      <c r="G17" s="14" t="s">
        <v>205</v>
      </c>
      <c r="H17" s="15"/>
      <c r="I17" s="15"/>
      <c r="J17" s="14" t="s">
        <v>206</v>
      </c>
      <c r="K17" s="35"/>
      <c r="L17" s="41"/>
      <c r="M17" s="4"/>
    </row>
    <row r="18" spans="1:13" ht="24" customHeight="1">
      <c r="A18" s="29" t="s">
        <v>207</v>
      </c>
      <c r="B18" s="30"/>
      <c r="C18" s="30"/>
      <c r="D18" s="29" t="s">
        <v>208</v>
      </c>
      <c r="E18" s="30"/>
      <c r="F18" s="30"/>
      <c r="G18" s="29" t="s">
        <v>209</v>
      </c>
      <c r="H18" s="30"/>
      <c r="I18" s="30"/>
      <c r="J18" s="29" t="s">
        <v>210</v>
      </c>
      <c r="K18" s="31"/>
      <c r="L18" s="41"/>
      <c r="M18" s="4"/>
    </row>
    <row r="19" spans="1:13" ht="24" customHeight="1">
      <c r="A19" s="29"/>
      <c r="B19" s="30"/>
      <c r="C19" s="30"/>
      <c r="D19" s="29"/>
      <c r="E19" s="30"/>
      <c r="F19" s="30"/>
      <c r="G19" s="29"/>
      <c r="H19" s="30"/>
      <c r="I19" s="30"/>
      <c r="J19" s="29"/>
      <c r="K19" s="31"/>
      <c r="L19" s="41"/>
      <c r="M19" s="4"/>
    </row>
    <row r="20" spans="1:13" ht="24" customHeight="1">
      <c r="A20" s="32"/>
      <c r="B20" s="33"/>
      <c r="C20" s="33"/>
      <c r="D20" s="32"/>
      <c r="E20" s="33"/>
      <c r="F20" s="33"/>
      <c r="G20" s="32"/>
      <c r="H20" s="33"/>
      <c r="I20" s="33"/>
      <c r="J20" s="32"/>
      <c r="K20" s="34"/>
      <c r="L20" s="41"/>
      <c r="M20" s="4"/>
    </row>
    <row r="21" spans="1:13">
      <c r="A21" s="9"/>
      <c r="B21" s="9"/>
      <c r="C21" s="9"/>
      <c r="D21" s="9"/>
      <c r="E21" s="9"/>
      <c r="F21" s="9"/>
      <c r="G21" s="9"/>
      <c r="H21" s="9"/>
      <c r="I21" s="9"/>
      <c r="J21" s="9"/>
      <c r="K21" s="9"/>
      <c r="L21" s="41"/>
      <c r="M21" s="4"/>
    </row>
    <row r="22" spans="1:13" ht="22.05" customHeight="1">
      <c r="A22" s="13" t="s">
        <v>211</v>
      </c>
      <c r="B22" s="13"/>
      <c r="C22" s="13"/>
      <c r="D22" s="13"/>
      <c r="E22" s="13"/>
      <c r="F22" s="13"/>
      <c r="G22" s="13"/>
      <c r="H22" s="13"/>
      <c r="I22" s="13"/>
      <c r="J22" s="13"/>
      <c r="K22" s="13"/>
      <c r="L22" s="41"/>
      <c r="M22" s="4"/>
    </row>
    <row r="23" spans="1:13" ht="24" customHeight="1">
      <c r="A23" s="26" t="s">
        <v>212</v>
      </c>
      <c r="B23" s="27"/>
      <c r="C23" s="27"/>
      <c r="D23" s="27"/>
      <c r="E23" s="28"/>
      <c r="F23" s="9"/>
      <c r="G23" s="36" t="s">
        <v>213</v>
      </c>
      <c r="H23" s="37"/>
      <c r="I23" s="37"/>
      <c r="J23" s="37"/>
      <c r="K23" s="38"/>
      <c r="L23" s="41"/>
      <c r="M23" s="4"/>
    </row>
    <row r="24" spans="1:13" ht="24" customHeight="1">
      <c r="A24" s="29"/>
      <c r="B24" s="30"/>
      <c r="C24" s="30"/>
      <c r="D24" s="30"/>
      <c r="E24" s="31"/>
      <c r="F24" s="9"/>
      <c r="G24" s="29"/>
      <c r="H24" s="30"/>
      <c r="I24" s="30"/>
      <c r="J24" s="30"/>
      <c r="K24" s="31"/>
      <c r="L24" s="41"/>
      <c r="M24" s="4"/>
    </row>
    <row r="25" spans="1:13" ht="24" customHeight="1">
      <c r="A25" s="29"/>
      <c r="B25" s="30"/>
      <c r="C25" s="30"/>
      <c r="D25" s="30"/>
      <c r="E25" s="31"/>
      <c r="F25" s="9"/>
      <c r="G25" s="29"/>
      <c r="H25" s="30"/>
      <c r="I25" s="30"/>
      <c r="J25" s="30"/>
      <c r="K25" s="31"/>
      <c r="L25" s="41"/>
      <c r="M25" s="4"/>
    </row>
    <row r="26" spans="1:13" ht="24" customHeight="1">
      <c r="A26" s="29"/>
      <c r="B26" s="30"/>
      <c r="C26" s="30"/>
      <c r="D26" s="30"/>
      <c r="E26" s="31"/>
      <c r="F26" s="9"/>
      <c r="G26" s="29"/>
      <c r="H26" s="30"/>
      <c r="I26" s="30"/>
      <c r="J26" s="30"/>
      <c r="K26" s="31"/>
      <c r="L26" s="41"/>
      <c r="M26" s="4"/>
    </row>
    <row r="27" spans="1:13" ht="24" customHeight="1">
      <c r="A27" s="32"/>
      <c r="B27" s="33"/>
      <c r="C27" s="33"/>
      <c r="D27" s="33"/>
      <c r="E27" s="34"/>
      <c r="F27" s="9"/>
      <c r="G27" s="32"/>
      <c r="H27" s="33"/>
      <c r="I27" s="33"/>
      <c r="J27" s="33"/>
      <c r="K27" s="34"/>
      <c r="L27" s="41"/>
      <c r="M27" s="4"/>
    </row>
    <row r="28" spans="1:13">
      <c r="A28" s="258" t="s">
        <v>214</v>
      </c>
      <c r="B28" s="258"/>
      <c r="C28" s="258"/>
      <c r="D28" s="258"/>
      <c r="E28" s="258"/>
      <c r="F28" s="258"/>
      <c r="G28" s="258"/>
      <c r="H28" s="258"/>
      <c r="I28" s="258"/>
      <c r="J28" s="258"/>
      <c r="K28" s="258"/>
      <c r="L28" s="41"/>
      <c r="M28" s="4"/>
    </row>
    <row r="29" spans="1:13" ht="22.05" customHeight="1">
      <c r="A29" s="258"/>
      <c r="B29" s="258"/>
      <c r="C29" s="258"/>
      <c r="D29" s="258"/>
      <c r="E29" s="258"/>
      <c r="F29" s="258"/>
      <c r="G29" s="258"/>
      <c r="H29" s="258"/>
      <c r="I29" s="258"/>
      <c r="J29" s="258"/>
      <c r="K29" s="258"/>
      <c r="L29" s="41"/>
      <c r="M29" s="4"/>
    </row>
    <row r="30" spans="1:13" ht="15" customHeight="1">
      <c r="A30" s="258"/>
      <c r="B30" s="258"/>
      <c r="C30" s="258"/>
      <c r="D30" s="258"/>
      <c r="E30" s="258"/>
      <c r="F30" s="258"/>
      <c r="G30" s="258"/>
      <c r="H30" s="258"/>
      <c r="I30" s="258"/>
      <c r="J30" s="258"/>
      <c r="K30" s="258"/>
      <c r="L30" s="41"/>
      <c r="M30" s="4"/>
    </row>
    <row r="31" spans="1:13" ht="21.6" customHeight="1">
      <c r="A31" s="257" t="s">
        <v>247</v>
      </c>
      <c r="B31" s="256"/>
      <c r="C31" s="256"/>
      <c r="D31" s="256"/>
      <c r="E31" s="256"/>
      <c r="F31" s="256"/>
      <c r="G31" s="256"/>
      <c r="H31" s="256"/>
      <c r="I31" s="256"/>
      <c r="J31" s="256"/>
      <c r="K31" s="256"/>
      <c r="L31" s="41"/>
      <c r="M31" s="4"/>
    </row>
    <row r="32" spans="1:13">
      <c r="A32" s="4"/>
      <c r="B32" s="4"/>
      <c r="C32" s="4"/>
      <c r="D32" s="4"/>
      <c r="E32" s="4"/>
      <c r="F32" s="4"/>
      <c r="G32" s="4"/>
      <c r="H32" s="4"/>
      <c r="I32" s="4"/>
      <c r="J32" s="4"/>
      <c r="K32" s="4"/>
      <c r="L32" s="4"/>
      <c r="M32" s="4"/>
    </row>
  </sheetData>
  <mergeCells count="34">
    <mergeCell ref="A31:K31"/>
    <mergeCell ref="A28:K30"/>
    <mergeCell ref="A22:K22"/>
    <mergeCell ref="A23:E27"/>
    <mergeCell ref="G23:K27"/>
    <mergeCell ref="A3:K3"/>
    <mergeCell ref="A16:K16"/>
    <mergeCell ref="A17:C17"/>
    <mergeCell ref="D17:F17"/>
    <mergeCell ref="G17:I17"/>
    <mergeCell ref="J17:K17"/>
    <mergeCell ref="A18:C20"/>
    <mergeCell ref="D18:F20"/>
    <mergeCell ref="G18:I20"/>
    <mergeCell ref="J18:K20"/>
    <mergeCell ref="A11:C11"/>
    <mergeCell ref="D11:F11"/>
    <mergeCell ref="G11:I11"/>
    <mergeCell ref="J11:K11"/>
    <mergeCell ref="A12:C14"/>
    <mergeCell ref="D12:F14"/>
    <mergeCell ref="G12:I14"/>
    <mergeCell ref="J12:K14"/>
    <mergeCell ref="A7:B7"/>
    <mergeCell ref="C7:D7"/>
    <mergeCell ref="A8:B8"/>
    <mergeCell ref="C8:D8"/>
    <mergeCell ref="F6:K8"/>
    <mergeCell ref="A10:K10"/>
    <mergeCell ref="A1:K2"/>
    <mergeCell ref="A5:D5"/>
    <mergeCell ref="F5:K5"/>
    <mergeCell ref="A6:B6"/>
    <mergeCell ref="C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DA723-C551-4D67-855C-A36F93899573}">
  <sheetPr>
    <tabColor rgb="FF2B8C8C"/>
  </sheetPr>
  <dimension ref="A1:O59"/>
  <sheetViews>
    <sheetView showGridLines="0" topLeftCell="A2" zoomScale="62" workbookViewId="0">
      <selection activeCell="O5" sqref="O5"/>
    </sheetView>
  </sheetViews>
  <sheetFormatPr baseColWidth="10" defaultRowHeight="14.4"/>
  <cols>
    <col min="1" max="1" width="8.5546875" customWidth="1"/>
    <col min="2" max="6" width="12.5546875" customWidth="1"/>
    <col min="7" max="7" width="17.21875" customWidth="1"/>
    <col min="8" max="13" width="12.5546875" customWidth="1"/>
    <col min="14" max="14" width="30.33203125" customWidth="1"/>
  </cols>
  <sheetData>
    <row r="1" spans="1:15" ht="34.049999999999997" customHeight="1">
      <c r="A1" s="49" t="s">
        <v>215</v>
      </c>
      <c r="B1" s="49"/>
      <c r="C1" s="49"/>
      <c r="D1" s="49"/>
      <c r="E1" s="49"/>
      <c r="F1" s="49"/>
      <c r="G1" s="49"/>
      <c r="H1" s="49"/>
      <c r="I1" s="49"/>
      <c r="J1" s="49"/>
      <c r="K1" s="49"/>
      <c r="L1" s="49"/>
      <c r="M1" s="49"/>
      <c r="N1" s="49"/>
      <c r="O1" s="4"/>
    </row>
    <row r="2" spans="1:15" ht="22.05" customHeight="1">
      <c r="A2" s="12" t="s">
        <v>216</v>
      </c>
      <c r="B2" s="10"/>
      <c r="C2" s="10"/>
      <c r="D2" s="10"/>
      <c r="E2" s="10"/>
      <c r="F2" s="10"/>
      <c r="G2" s="10"/>
      <c r="H2" s="10"/>
      <c r="I2" s="10"/>
      <c r="J2" s="10"/>
      <c r="K2" s="10"/>
      <c r="L2" s="10"/>
      <c r="M2" s="10"/>
      <c r="N2" s="10"/>
      <c r="O2" s="4"/>
    </row>
    <row r="3" spans="1:15">
      <c r="A3" s="9"/>
      <c r="B3" s="9"/>
      <c r="C3" s="9"/>
      <c r="D3" s="9"/>
      <c r="E3" s="9"/>
      <c r="F3" s="9"/>
      <c r="G3" s="9"/>
      <c r="H3" s="9"/>
      <c r="I3" s="9"/>
      <c r="J3" s="9"/>
      <c r="K3" s="9"/>
      <c r="L3" s="9"/>
      <c r="M3" s="9"/>
      <c r="N3" s="9"/>
      <c r="O3" s="4"/>
    </row>
    <row r="4" spans="1:15" ht="22.05" customHeight="1">
      <c r="A4" s="51" t="s">
        <v>217</v>
      </c>
      <c r="B4" s="52"/>
      <c r="C4" s="52"/>
      <c r="D4" s="51" t="s">
        <v>218</v>
      </c>
      <c r="E4" s="52"/>
      <c r="F4" s="52"/>
      <c r="G4" s="51" t="s">
        <v>219</v>
      </c>
      <c r="H4" s="52"/>
      <c r="I4" s="52"/>
      <c r="J4" s="51" t="s">
        <v>220</v>
      </c>
      <c r="K4" s="52"/>
      <c r="L4" s="53"/>
      <c r="M4" s="9"/>
      <c r="N4" s="9"/>
      <c r="O4" s="4"/>
    </row>
    <row r="5" spans="1:15" ht="25.95" customHeight="1">
      <c r="A5" s="50">
        <f>'Free Cash Flow'!J4</f>
        <v>290324.48672535014</v>
      </c>
      <c r="B5" s="22"/>
      <c r="C5" s="22"/>
      <c r="D5" s="58">
        <f>('Free Cash Flow'!J4/'Free Cash Flow'!E4)^(1/5)-1</f>
        <v>8.182493928617518E-2</v>
      </c>
      <c r="E5" s="22"/>
      <c r="F5" s="22"/>
      <c r="G5" s="50">
        <f>'Free Cash Flow'!J21</f>
        <v>4963.3221445910267</v>
      </c>
      <c r="H5" s="22"/>
      <c r="I5" s="22"/>
      <c r="J5" s="60">
        <f>DCF!C21</f>
        <v>242.72775084583165</v>
      </c>
      <c r="K5" s="59"/>
      <c r="L5" s="61"/>
      <c r="M5" s="9"/>
      <c r="N5" s="9"/>
      <c r="O5" s="4"/>
    </row>
    <row r="6" spans="1:15" ht="25.95" customHeight="1">
      <c r="A6" s="54"/>
      <c r="B6" s="22"/>
      <c r="C6" s="22"/>
      <c r="D6" s="54"/>
      <c r="E6" s="22"/>
      <c r="F6" s="22"/>
      <c r="G6" s="54"/>
      <c r="H6" s="22"/>
      <c r="I6" s="22"/>
      <c r="J6" s="60"/>
      <c r="K6" s="59"/>
      <c r="L6" s="61"/>
      <c r="M6" s="9"/>
      <c r="N6" s="9"/>
      <c r="O6" s="4"/>
    </row>
    <row r="7" spans="1:15" ht="22.05" customHeight="1">
      <c r="A7" s="55" t="s">
        <v>221</v>
      </c>
      <c r="B7" s="56"/>
      <c r="C7" s="56"/>
      <c r="D7" s="55" t="s">
        <v>222</v>
      </c>
      <c r="E7" s="56"/>
      <c r="F7" s="56"/>
      <c r="G7" s="55" t="s">
        <v>223</v>
      </c>
      <c r="H7" s="56"/>
      <c r="I7" s="56"/>
      <c r="J7" s="55" t="s">
        <v>224</v>
      </c>
      <c r="K7" s="56"/>
      <c r="L7" s="57"/>
      <c r="M7" s="9"/>
      <c r="N7" s="9"/>
      <c r="O7" s="4"/>
    </row>
    <row r="8" spans="1:15">
      <c r="A8" s="9"/>
      <c r="B8" s="9"/>
      <c r="C8" s="9"/>
      <c r="D8" s="9"/>
      <c r="E8" s="9"/>
      <c r="F8" s="9"/>
      <c r="G8" s="9"/>
      <c r="H8" s="9"/>
      <c r="I8" s="9"/>
      <c r="J8" s="9"/>
      <c r="K8" s="9"/>
      <c r="L8" s="9"/>
      <c r="M8" s="9"/>
      <c r="N8" s="9"/>
      <c r="O8" s="4"/>
    </row>
    <row r="9" spans="1:15">
      <c r="A9" s="13" t="s">
        <v>225</v>
      </c>
      <c r="B9" s="13"/>
      <c r="C9" s="13"/>
      <c r="D9" s="13"/>
      <c r="E9" s="13"/>
      <c r="F9" s="13"/>
      <c r="G9" s="13"/>
      <c r="H9" s="13"/>
      <c r="I9" s="62" t="s">
        <v>226</v>
      </c>
      <c r="J9" s="62"/>
      <c r="K9" s="62"/>
      <c r="L9" s="62"/>
      <c r="M9" s="62"/>
      <c r="N9" s="62"/>
      <c r="O9" s="4"/>
    </row>
    <row r="10" spans="1:15" ht="34.049999999999997" customHeight="1">
      <c r="A10" s="43">
        <v>1</v>
      </c>
      <c r="B10" s="44" t="s">
        <v>227</v>
      </c>
      <c r="C10" s="8"/>
      <c r="D10" s="8"/>
      <c r="E10" s="8"/>
      <c r="F10" s="8"/>
      <c r="G10" s="8"/>
      <c r="H10" s="8"/>
      <c r="I10" s="40" t="s">
        <v>231</v>
      </c>
      <c r="J10" s="8"/>
      <c r="K10" s="8"/>
      <c r="L10" s="8"/>
      <c r="M10" s="8"/>
      <c r="N10" s="8"/>
      <c r="O10" s="4"/>
    </row>
    <row r="11" spans="1:15" ht="34.049999999999997" customHeight="1">
      <c r="A11" s="43">
        <v>2</v>
      </c>
      <c r="B11" s="44" t="s">
        <v>228</v>
      </c>
      <c r="C11" s="8"/>
      <c r="D11" s="8"/>
      <c r="E11" s="8"/>
      <c r="F11" s="8"/>
      <c r="G11" s="8"/>
      <c r="H11" s="8"/>
      <c r="I11" s="44" t="s">
        <v>232</v>
      </c>
      <c r="J11" s="8"/>
      <c r="K11" s="8"/>
      <c r="L11" s="8"/>
      <c r="M11" s="8"/>
      <c r="N11" s="8"/>
      <c r="O11" s="4"/>
    </row>
    <row r="12" spans="1:15" ht="34.049999999999997" customHeight="1">
      <c r="A12" s="43">
        <v>3</v>
      </c>
      <c r="B12" s="44" t="s">
        <v>229</v>
      </c>
      <c r="C12" s="8"/>
      <c r="D12" s="8"/>
      <c r="E12" s="8"/>
      <c r="F12" s="8"/>
      <c r="G12" s="8"/>
      <c r="H12" s="8"/>
      <c r="I12" s="8"/>
      <c r="J12" s="8"/>
      <c r="K12" s="8"/>
      <c r="L12" s="8"/>
      <c r="M12" s="8"/>
      <c r="N12" s="8"/>
      <c r="O12" s="4"/>
    </row>
    <row r="13" spans="1:15" ht="34.049999999999997" customHeight="1">
      <c r="A13" s="43">
        <v>4</v>
      </c>
      <c r="B13" s="44" t="s">
        <v>230</v>
      </c>
      <c r="C13" s="8"/>
      <c r="D13" s="8"/>
      <c r="E13" s="8"/>
      <c r="F13" s="8"/>
      <c r="G13" s="8"/>
      <c r="H13" s="8"/>
      <c r="I13" s="8"/>
      <c r="J13" s="8"/>
      <c r="K13" s="8"/>
      <c r="L13" s="8"/>
      <c r="M13" s="8"/>
      <c r="N13" s="8"/>
      <c r="O13" s="4"/>
    </row>
    <row r="14" spans="1:15">
      <c r="A14" s="9"/>
      <c r="B14" s="9"/>
      <c r="C14" s="9"/>
      <c r="D14" s="9"/>
      <c r="E14" s="9"/>
      <c r="F14" s="9"/>
      <c r="G14" s="9"/>
      <c r="H14" s="9"/>
      <c r="I14" s="9"/>
      <c r="J14" s="9"/>
      <c r="K14" s="9"/>
      <c r="L14" s="9"/>
      <c r="M14" s="9"/>
      <c r="N14" s="9"/>
      <c r="O14" s="4"/>
    </row>
    <row r="15" spans="1:15" ht="24" customHeight="1">
      <c r="A15" s="63" t="str">
        <f>"Working-capital diagnostic: 2026E UFCF would increase from "&amp;ROUND(E58,0)&amp;" to "&amp;ROUND(I58,0)&amp;" if the detailed NWC change were included (illustrative analysis)."</f>
        <v>Working-capital diagnostic: 2026E UFCF would increase from 4963 to 5700 if the detailed NWC change were included (illustrative analysis).</v>
      </c>
      <c r="B15" s="64"/>
      <c r="C15" s="64"/>
      <c r="D15" s="64"/>
      <c r="E15" s="64"/>
      <c r="F15" s="64"/>
      <c r="G15" s="64"/>
      <c r="H15" s="64"/>
      <c r="I15" s="64"/>
      <c r="J15" s="64"/>
      <c r="K15" s="64"/>
      <c r="L15" s="64"/>
      <c r="M15" s="64"/>
      <c r="N15" s="65"/>
      <c r="O15" s="4"/>
    </row>
    <row r="16" spans="1:15">
      <c r="A16" s="9"/>
      <c r="B16" s="9"/>
      <c r="C16" s="9"/>
      <c r="D16" s="9"/>
      <c r="E16" s="9"/>
      <c r="F16" s="9"/>
      <c r="G16" s="9"/>
      <c r="H16" s="9"/>
      <c r="I16" s="9"/>
      <c r="J16" s="9"/>
      <c r="K16" s="9"/>
      <c r="L16" s="9"/>
      <c r="M16" s="9"/>
      <c r="N16" s="9"/>
      <c r="O16" s="4"/>
    </row>
    <row r="17" spans="1:15" ht="19.05" customHeight="1">
      <c r="A17" s="9"/>
      <c r="B17" s="9"/>
      <c r="C17" s="9"/>
      <c r="D17" s="9"/>
      <c r="E17" s="9"/>
      <c r="F17" s="9"/>
      <c r="G17" s="9"/>
      <c r="H17" s="9"/>
      <c r="I17" s="9"/>
      <c r="J17" s="9"/>
      <c r="K17" s="9"/>
      <c r="L17" s="9"/>
      <c r="M17" s="9"/>
      <c r="N17" s="9"/>
      <c r="O17" s="4"/>
    </row>
    <row r="18" spans="1:15" ht="19.05" customHeight="1">
      <c r="A18" s="9"/>
      <c r="B18" s="9"/>
      <c r="C18" s="9"/>
      <c r="D18" s="9"/>
      <c r="E18" s="9"/>
      <c r="F18" s="9"/>
      <c r="G18" s="9"/>
      <c r="H18" s="9"/>
      <c r="I18" s="9"/>
      <c r="J18" s="9"/>
      <c r="K18" s="9"/>
      <c r="L18" s="9"/>
      <c r="M18" s="9"/>
      <c r="N18" s="9"/>
      <c r="O18" s="4"/>
    </row>
    <row r="19" spans="1:15" ht="19.05" customHeight="1">
      <c r="A19" s="9"/>
      <c r="B19" s="9"/>
      <c r="C19" s="9"/>
      <c r="D19" s="9"/>
      <c r="E19" s="9"/>
      <c r="F19" s="9"/>
      <c r="G19" s="9"/>
      <c r="H19" s="9"/>
      <c r="I19" s="9"/>
      <c r="J19" s="9"/>
      <c r="K19" s="9"/>
      <c r="L19" s="9"/>
      <c r="M19" s="9"/>
      <c r="N19" s="9"/>
      <c r="O19" s="4"/>
    </row>
    <row r="20" spans="1:15" ht="19.05" customHeight="1">
      <c r="A20" s="9"/>
      <c r="B20" s="9"/>
      <c r="C20" s="9"/>
      <c r="D20" s="9"/>
      <c r="E20" s="9"/>
      <c r="F20" s="9"/>
      <c r="G20" s="9"/>
      <c r="H20" s="9"/>
      <c r="I20" s="9"/>
      <c r="J20" s="9"/>
      <c r="K20" s="9"/>
      <c r="L20" s="9"/>
      <c r="M20" s="9"/>
      <c r="N20" s="9"/>
      <c r="O20" s="4"/>
    </row>
    <row r="21" spans="1:15" ht="19.05" customHeight="1">
      <c r="A21" s="9"/>
      <c r="B21" s="9"/>
      <c r="C21" s="9"/>
      <c r="D21" s="9"/>
      <c r="E21" s="9"/>
      <c r="F21" s="9"/>
      <c r="G21" s="9"/>
      <c r="H21" s="9"/>
      <c r="I21" s="9"/>
      <c r="J21" s="9"/>
      <c r="K21" s="9"/>
      <c r="L21" s="9"/>
      <c r="M21" s="9"/>
      <c r="N21" s="9"/>
      <c r="O21" s="4"/>
    </row>
    <row r="22" spans="1:15" ht="19.05" customHeight="1">
      <c r="A22" s="9"/>
      <c r="B22" s="9"/>
      <c r="C22" s="9"/>
      <c r="D22" s="9"/>
      <c r="E22" s="9"/>
      <c r="F22" s="9"/>
      <c r="G22" s="9"/>
      <c r="H22" s="9"/>
      <c r="I22" s="9"/>
      <c r="J22" s="9"/>
      <c r="K22" s="9"/>
      <c r="L22" s="9"/>
      <c r="M22" s="9"/>
      <c r="N22" s="9"/>
      <c r="O22" s="4"/>
    </row>
    <row r="23" spans="1:15" ht="19.05" customHeight="1">
      <c r="A23" s="9"/>
      <c r="B23" s="9"/>
      <c r="C23" s="9"/>
      <c r="D23" s="9"/>
      <c r="E23" s="9"/>
      <c r="F23" s="9"/>
      <c r="G23" s="9"/>
      <c r="H23" s="9"/>
      <c r="I23" s="9"/>
      <c r="J23" s="9"/>
      <c r="K23" s="9"/>
      <c r="L23" s="9"/>
      <c r="M23" s="9"/>
      <c r="N23" s="9"/>
      <c r="O23" s="4"/>
    </row>
    <row r="24" spans="1:15" ht="19.05" customHeight="1">
      <c r="A24" s="9"/>
      <c r="B24" s="9"/>
      <c r="C24" s="9"/>
      <c r="D24" s="9"/>
      <c r="E24" s="9"/>
      <c r="F24" s="9"/>
      <c r="G24" s="9"/>
      <c r="H24" s="9"/>
      <c r="I24" s="9"/>
      <c r="J24" s="9"/>
      <c r="K24" s="9"/>
      <c r="L24" s="9"/>
      <c r="M24" s="9"/>
      <c r="N24" s="9"/>
      <c r="O24" s="4"/>
    </row>
    <row r="25" spans="1:15" ht="19.05" customHeight="1">
      <c r="A25" s="9"/>
      <c r="B25" s="9"/>
      <c r="C25" s="9"/>
      <c r="D25" s="9"/>
      <c r="E25" s="9"/>
      <c r="F25" s="9"/>
      <c r="G25" s="9"/>
      <c r="H25" s="9"/>
      <c r="I25" s="9"/>
      <c r="J25" s="9"/>
      <c r="K25" s="9"/>
      <c r="L25" s="9"/>
      <c r="M25" s="9"/>
      <c r="N25" s="9"/>
      <c r="O25" s="4"/>
    </row>
    <row r="26" spans="1:15" ht="19.05" customHeight="1">
      <c r="A26" s="9"/>
      <c r="B26" s="9"/>
      <c r="C26" s="9"/>
      <c r="D26" s="9"/>
      <c r="E26" s="9"/>
      <c r="F26" s="9"/>
      <c r="G26" s="9"/>
      <c r="H26" s="9"/>
      <c r="I26" s="9"/>
      <c r="J26" s="9"/>
      <c r="K26" s="9"/>
      <c r="L26" s="9"/>
      <c r="M26" s="9"/>
      <c r="N26" s="9"/>
      <c r="O26" s="4"/>
    </row>
    <row r="27" spans="1:15" ht="19.05" customHeight="1">
      <c r="A27" s="9"/>
      <c r="B27" s="9"/>
      <c r="C27" s="9"/>
      <c r="D27" s="9"/>
      <c r="E27" s="9"/>
      <c r="F27" s="9"/>
      <c r="G27" s="9"/>
      <c r="H27" s="9"/>
      <c r="I27" s="9"/>
      <c r="J27" s="9"/>
      <c r="K27" s="9"/>
      <c r="L27" s="9"/>
      <c r="M27" s="9"/>
      <c r="N27" s="9"/>
      <c r="O27" s="4"/>
    </row>
    <row r="28" spans="1:15" ht="19.05" customHeight="1">
      <c r="A28" s="9"/>
      <c r="B28" s="9"/>
      <c r="C28" s="9"/>
      <c r="D28" s="9"/>
      <c r="E28" s="9"/>
      <c r="F28" s="9"/>
      <c r="G28" s="9"/>
      <c r="H28" s="9"/>
      <c r="I28" s="9"/>
      <c r="J28" s="9"/>
      <c r="K28" s="9"/>
      <c r="L28" s="9"/>
      <c r="M28" s="9"/>
      <c r="N28" s="9"/>
      <c r="O28" s="4"/>
    </row>
    <row r="29" spans="1:15" ht="19.05" customHeight="1">
      <c r="A29" s="9"/>
      <c r="B29" s="9"/>
      <c r="C29" s="9"/>
      <c r="D29" s="9"/>
      <c r="E29" s="9"/>
      <c r="F29" s="9"/>
      <c r="G29" s="9"/>
      <c r="H29" s="9"/>
      <c r="I29" s="9"/>
      <c r="J29" s="9"/>
      <c r="K29" s="9"/>
      <c r="L29" s="9"/>
      <c r="M29" s="9"/>
      <c r="N29" s="9"/>
      <c r="O29" s="4"/>
    </row>
    <row r="30" spans="1:15" ht="19.05" customHeight="1">
      <c r="A30" s="9"/>
      <c r="B30" s="9"/>
      <c r="C30" s="9"/>
      <c r="D30" s="9"/>
      <c r="E30" s="9"/>
      <c r="F30" s="9"/>
      <c r="G30" s="9"/>
      <c r="H30" s="9"/>
      <c r="I30" s="9"/>
      <c r="J30" s="9"/>
      <c r="K30" s="9"/>
      <c r="L30" s="9"/>
      <c r="M30" s="9"/>
      <c r="N30" s="9"/>
      <c r="O30" s="4"/>
    </row>
    <row r="31" spans="1:15" ht="19.05" customHeight="1">
      <c r="A31" s="9"/>
      <c r="B31" s="9"/>
      <c r="C31" s="9"/>
      <c r="D31" s="9"/>
      <c r="E31" s="9"/>
      <c r="F31" s="9"/>
      <c r="G31" s="9"/>
      <c r="H31" s="9"/>
      <c r="I31" s="9"/>
      <c r="J31" s="9"/>
      <c r="K31" s="9"/>
      <c r="L31" s="9"/>
      <c r="M31" s="9"/>
      <c r="N31" s="9"/>
      <c r="O31" s="4"/>
    </row>
    <row r="32" spans="1:15" ht="19.05" customHeight="1">
      <c r="A32" s="9"/>
      <c r="B32" s="9"/>
      <c r="C32" s="9"/>
      <c r="D32" s="9"/>
      <c r="E32" s="9"/>
      <c r="F32" s="9"/>
      <c r="G32" s="9"/>
      <c r="H32" s="9"/>
      <c r="I32" s="9"/>
      <c r="J32" s="9"/>
      <c r="K32" s="9"/>
      <c r="L32" s="9"/>
      <c r="M32" s="9"/>
      <c r="N32" s="9"/>
      <c r="O32" s="4"/>
    </row>
    <row r="33" spans="1:15" ht="19.05" customHeight="1">
      <c r="A33" s="9"/>
      <c r="B33" s="9"/>
      <c r="C33" s="9"/>
      <c r="D33" s="9"/>
      <c r="E33" s="9"/>
      <c r="F33" s="9"/>
      <c r="G33" s="9"/>
      <c r="H33" s="9"/>
      <c r="I33" s="9"/>
      <c r="J33" s="9"/>
      <c r="K33" s="9"/>
      <c r="L33" s="9"/>
      <c r="M33" s="9"/>
      <c r="N33" s="9"/>
      <c r="O33" s="4"/>
    </row>
    <row r="34" spans="1:15" ht="19.05" customHeight="1">
      <c r="A34" s="9"/>
      <c r="B34" s="9"/>
      <c r="C34" s="9"/>
      <c r="D34" s="9"/>
      <c r="E34" s="9"/>
      <c r="F34" s="9"/>
      <c r="G34" s="9"/>
      <c r="H34" s="9"/>
      <c r="I34" s="9"/>
      <c r="J34" s="9"/>
      <c r="K34" s="9"/>
      <c r="L34" s="9"/>
      <c r="M34" s="9"/>
      <c r="N34" s="9"/>
      <c r="O34" s="4"/>
    </row>
    <row r="35" spans="1:15" ht="19.05" customHeight="1">
      <c r="A35" s="9"/>
      <c r="B35" s="9"/>
      <c r="C35" s="9"/>
      <c r="D35" s="9"/>
      <c r="E35" s="9"/>
      <c r="F35" s="9"/>
      <c r="G35" s="9"/>
      <c r="H35" s="9"/>
      <c r="I35" s="9"/>
      <c r="J35" s="9"/>
      <c r="K35" s="9"/>
      <c r="L35" s="9"/>
      <c r="M35" s="9"/>
      <c r="N35" s="9"/>
      <c r="O35" s="4"/>
    </row>
    <row r="36" spans="1:15" ht="19.05" customHeight="1">
      <c r="A36" s="9"/>
      <c r="B36" s="9"/>
      <c r="C36" s="9"/>
      <c r="D36" s="9"/>
      <c r="E36" s="9"/>
      <c r="F36" s="9"/>
      <c r="G36" s="9"/>
      <c r="H36" s="9"/>
      <c r="I36" s="9"/>
      <c r="J36" s="9"/>
      <c r="K36" s="9"/>
      <c r="L36" s="9"/>
      <c r="M36" s="9"/>
      <c r="N36" s="9"/>
      <c r="O36" s="4"/>
    </row>
    <row r="37" spans="1:15" ht="19.05" customHeight="1">
      <c r="A37" s="9"/>
      <c r="B37" s="9"/>
      <c r="C37" s="9"/>
      <c r="D37" s="9"/>
      <c r="E37" s="9"/>
      <c r="F37" s="9"/>
      <c r="G37" s="9"/>
      <c r="H37" s="9"/>
      <c r="I37" s="9"/>
      <c r="J37" s="9"/>
      <c r="K37" s="9"/>
      <c r="L37" s="9"/>
      <c r="M37" s="9"/>
      <c r="N37" s="9"/>
      <c r="O37" s="4"/>
    </row>
    <row r="38" spans="1:15" ht="19.05" customHeight="1">
      <c r="A38" s="9"/>
      <c r="B38" s="9"/>
      <c r="C38" s="9"/>
      <c r="D38" s="9"/>
      <c r="E38" s="9"/>
      <c r="F38" s="9"/>
      <c r="G38" s="9"/>
      <c r="H38" s="9"/>
      <c r="I38" s="9"/>
      <c r="J38" s="9"/>
      <c r="K38" s="9"/>
      <c r="L38" s="9"/>
      <c r="M38" s="9"/>
      <c r="N38" s="9"/>
      <c r="O38" s="4"/>
    </row>
    <row r="39" spans="1:15" ht="19.05" customHeight="1">
      <c r="A39" s="9"/>
      <c r="B39" s="9"/>
      <c r="C39" s="9"/>
      <c r="D39" s="9"/>
      <c r="E39" s="9"/>
      <c r="F39" s="9"/>
      <c r="G39" s="9"/>
      <c r="H39" s="9"/>
      <c r="I39" s="9"/>
      <c r="J39" s="9"/>
      <c r="K39" s="9"/>
      <c r="L39" s="9"/>
      <c r="M39" s="9"/>
      <c r="N39" s="9"/>
      <c r="O39" s="4"/>
    </row>
    <row r="40" spans="1:15" ht="19.05" customHeight="1">
      <c r="A40" s="9"/>
      <c r="B40" s="9"/>
      <c r="C40" s="9"/>
      <c r="D40" s="9"/>
      <c r="E40" s="9"/>
      <c r="F40" s="9"/>
      <c r="G40" s="9"/>
      <c r="H40" s="9"/>
      <c r="I40" s="9"/>
      <c r="J40" s="9"/>
      <c r="K40" s="9"/>
      <c r="L40" s="9"/>
      <c r="M40" s="9"/>
      <c r="N40" s="9"/>
      <c r="O40" s="4"/>
    </row>
    <row r="41" spans="1:15" ht="19.05" customHeight="1">
      <c r="A41" s="9"/>
      <c r="B41" s="9"/>
      <c r="C41" s="9"/>
      <c r="D41" s="9"/>
      <c r="E41" s="9"/>
      <c r="F41" s="9"/>
      <c r="G41" s="9"/>
      <c r="H41" s="9"/>
      <c r="I41" s="9"/>
      <c r="J41" s="9"/>
      <c r="K41" s="9"/>
      <c r="L41" s="9"/>
      <c r="M41" s="9"/>
      <c r="N41" s="9"/>
      <c r="O41" s="4"/>
    </row>
    <row r="42" spans="1:15" ht="19.05" customHeight="1">
      <c r="A42" s="9"/>
      <c r="B42" s="9"/>
      <c r="C42" s="9"/>
      <c r="D42" s="9"/>
      <c r="E42" s="9"/>
      <c r="F42" s="9"/>
      <c r="G42" s="9"/>
      <c r="H42" s="9"/>
      <c r="I42" s="9"/>
      <c r="J42" s="9"/>
      <c r="K42" s="9"/>
      <c r="L42" s="9"/>
      <c r="M42" s="9"/>
      <c r="N42" s="9"/>
      <c r="O42" s="4"/>
    </row>
    <row r="43" spans="1:15" ht="19.05" customHeight="1">
      <c r="A43" s="9"/>
      <c r="B43" s="9"/>
      <c r="C43" s="9"/>
      <c r="D43" s="9"/>
      <c r="E43" s="9"/>
      <c r="F43" s="9"/>
      <c r="G43" s="9"/>
      <c r="H43" s="9"/>
      <c r="I43" s="9"/>
      <c r="J43" s="9"/>
      <c r="K43" s="9"/>
      <c r="L43" s="9"/>
      <c r="M43" s="9"/>
      <c r="N43" s="9"/>
      <c r="O43" s="4"/>
    </row>
    <row r="44" spans="1:15" ht="19.05" customHeight="1">
      <c r="A44" s="9"/>
      <c r="B44" s="9"/>
      <c r="C44" s="9"/>
      <c r="D44" s="9"/>
      <c r="E44" s="9"/>
      <c r="F44" s="9"/>
      <c r="G44" s="9"/>
      <c r="H44" s="9"/>
      <c r="I44" s="9"/>
      <c r="J44" s="9"/>
      <c r="K44" s="9"/>
      <c r="L44" s="9"/>
      <c r="M44" s="9"/>
      <c r="N44" s="9"/>
      <c r="O44" s="4"/>
    </row>
    <row r="45" spans="1:15" ht="19.05" customHeight="1">
      <c r="A45" s="9"/>
      <c r="B45" s="9"/>
      <c r="C45" s="9"/>
      <c r="D45" s="9"/>
      <c r="E45" s="9"/>
      <c r="F45" s="9"/>
      <c r="G45" s="9"/>
      <c r="H45" s="9"/>
      <c r="I45" s="9"/>
      <c r="J45" s="9"/>
      <c r="K45" s="9"/>
      <c r="L45" s="9"/>
      <c r="M45" s="9"/>
      <c r="N45" s="9"/>
      <c r="O45" s="4"/>
    </row>
    <row r="46" spans="1:15" ht="19.05" customHeight="1">
      <c r="A46" s="9"/>
      <c r="B46" s="9"/>
      <c r="C46" s="9"/>
      <c r="D46" s="9"/>
      <c r="E46" s="9"/>
      <c r="F46" s="9"/>
      <c r="G46" s="9"/>
      <c r="H46" s="9"/>
      <c r="I46" s="9"/>
      <c r="J46" s="9"/>
      <c r="K46" s="9"/>
      <c r="L46" s="9"/>
      <c r="M46" s="9"/>
      <c r="N46" s="9"/>
      <c r="O46" s="4"/>
    </row>
    <row r="47" spans="1:15" ht="19.05" customHeight="1">
      <c r="A47" s="9"/>
      <c r="B47" s="9"/>
      <c r="C47" s="9"/>
      <c r="D47" s="9"/>
      <c r="E47" s="9"/>
      <c r="F47" s="9"/>
      <c r="G47" s="9"/>
      <c r="H47" s="9"/>
      <c r="I47" s="9"/>
      <c r="J47" s="9"/>
      <c r="K47" s="9"/>
      <c r="L47" s="9"/>
      <c r="M47" s="9"/>
      <c r="N47" s="9"/>
      <c r="O47" s="4"/>
    </row>
    <row r="48" spans="1:15">
      <c r="A48" s="9"/>
      <c r="B48" s="9"/>
      <c r="C48" s="9"/>
      <c r="D48" s="9"/>
      <c r="E48" s="9"/>
      <c r="F48" s="9"/>
      <c r="G48" s="9"/>
      <c r="H48" s="9"/>
      <c r="I48" s="9"/>
      <c r="J48" s="9"/>
      <c r="K48" s="9"/>
      <c r="L48" s="9"/>
      <c r="M48" s="9"/>
      <c r="N48" s="9"/>
      <c r="O48" s="4"/>
    </row>
    <row r="49" spans="1:15" ht="22.05" customHeight="1">
      <c r="A49" s="45" t="s">
        <v>233</v>
      </c>
      <c r="B49" s="45"/>
      <c r="C49" s="45"/>
      <c r="D49" s="45"/>
      <c r="E49" s="45"/>
      <c r="F49" s="45"/>
      <c r="G49" s="45"/>
      <c r="H49" s="45"/>
      <c r="I49" s="45"/>
      <c r="J49" s="45"/>
      <c r="K49" s="45"/>
      <c r="L49" s="45"/>
      <c r="M49" s="45"/>
      <c r="N49" s="45"/>
      <c r="O49" s="4"/>
    </row>
    <row r="50" spans="1:15" ht="15" thickBot="1">
      <c r="A50" s="69" t="s">
        <v>1</v>
      </c>
      <c r="B50" s="70" t="s">
        <v>2</v>
      </c>
      <c r="C50" s="70" t="s">
        <v>8</v>
      </c>
      <c r="D50" s="70" t="s">
        <v>234</v>
      </c>
      <c r="E50" s="70" t="s">
        <v>235</v>
      </c>
      <c r="F50" s="70" t="s">
        <v>20</v>
      </c>
      <c r="G50" s="70" t="s">
        <v>236</v>
      </c>
      <c r="H50" s="70" t="s">
        <v>237</v>
      </c>
      <c r="I50" s="70" t="s">
        <v>238</v>
      </c>
      <c r="J50" s="70" t="s">
        <v>239</v>
      </c>
      <c r="K50" s="71" t="s">
        <v>240</v>
      </c>
      <c r="L50" s="9"/>
      <c r="M50" s="69" t="s">
        <v>241</v>
      </c>
      <c r="N50" s="71" t="s">
        <v>242</v>
      </c>
      <c r="O50" s="4"/>
    </row>
    <row r="51" spans="1:15">
      <c r="A51" s="66" t="s">
        <v>174</v>
      </c>
      <c r="B51" s="46">
        <f>'Free Cash Flow'!C4</f>
        <v>152703</v>
      </c>
      <c r="C51" s="46">
        <f>'Free Cash Flow'!C10</f>
        <v>6229</v>
      </c>
      <c r="D51" s="47">
        <f>C51/B51</f>
        <v>4.0791601998650978E-2</v>
      </c>
      <c r="E51" s="46">
        <f>'Free Cash Flow'!C21</f>
        <v>3158</v>
      </c>
      <c r="F51" s="47"/>
      <c r="G51" s="46">
        <f>'Net Working Capital'!D7-'Net Working Capital'!D14</f>
        <v>-7497</v>
      </c>
      <c r="H51" s="46">
        <f>G51-('Net Working Capital'!C7-'Net Working Capital'!C14)</f>
        <v>-691</v>
      </c>
      <c r="I51" s="46">
        <f>E51</f>
        <v>3158</v>
      </c>
      <c r="J51" s="48">
        <f>B51/$B$51*100</f>
        <v>100</v>
      </c>
      <c r="K51" s="68">
        <f>C51/$C$51*100</f>
        <v>100</v>
      </c>
      <c r="L51" s="9"/>
      <c r="M51" s="66" t="s">
        <v>243</v>
      </c>
      <c r="N51" s="82">
        <f>DCF!C10</f>
        <v>18301.801700833923</v>
      </c>
      <c r="O51" s="4"/>
    </row>
    <row r="52" spans="1:15">
      <c r="A52" s="72" t="s">
        <v>175</v>
      </c>
      <c r="B52" s="73">
        <f>'Free Cash Flow'!D4</f>
        <v>166761</v>
      </c>
      <c r="C52" s="73">
        <f>'Free Cash Flow'!D10</f>
        <v>7080</v>
      </c>
      <c r="D52" s="74">
        <f>C52/B52</f>
        <v>4.2455969921024697E-2</v>
      </c>
      <c r="E52" s="73">
        <f>'Free Cash Flow'!D21</f>
        <v>2859</v>
      </c>
      <c r="F52" s="74">
        <f>'Free Cash Flow'!D25</f>
        <v>9.2061059704131601E-2</v>
      </c>
      <c r="G52" s="73">
        <f>'Net Working Capital'!E7-'Net Working Capital'!E14</f>
        <v>-9934</v>
      </c>
      <c r="H52" s="73">
        <f>G52-('Net Working Capital'!D7-'Net Working Capital'!D14)</f>
        <v>-2437</v>
      </c>
      <c r="I52" s="73">
        <f>E52</f>
        <v>2859</v>
      </c>
      <c r="J52" s="75">
        <f>B52/$B$51*100</f>
        <v>109.20610597041316</v>
      </c>
      <c r="K52" s="76">
        <f>C52/$C$51*100</f>
        <v>113.66190399743137</v>
      </c>
      <c r="L52" s="9"/>
      <c r="M52" s="77" t="s">
        <v>57</v>
      </c>
      <c r="N52" s="83">
        <f>DCF!C14</f>
        <v>86300.303476507994</v>
      </c>
      <c r="O52" s="4"/>
    </row>
    <row r="53" spans="1:15">
      <c r="A53" s="66" t="s">
        <v>176</v>
      </c>
      <c r="B53" s="46">
        <f>'Free Cash Flow'!E4</f>
        <v>195929</v>
      </c>
      <c r="C53" s="46">
        <f>'Free Cash Flow'!E10</f>
        <v>8489</v>
      </c>
      <c r="D53" s="47">
        <f>C53/B53</f>
        <v>4.3326919445309267E-2</v>
      </c>
      <c r="E53" s="46">
        <f>'Free Cash Flow'!E21</f>
        <v>4698</v>
      </c>
      <c r="F53" s="47">
        <f>'Free Cash Flow'!E25</f>
        <v>0.17490900150514799</v>
      </c>
      <c r="G53" s="46">
        <f>'Net Working Capital'!F7-'Net Working Capital'!F14</f>
        <v>-11312</v>
      </c>
      <c r="H53" s="46">
        <f>G53-('Net Working Capital'!E7-'Net Working Capital'!E14)</f>
        <v>-1378</v>
      </c>
      <c r="I53" s="46">
        <f>E53</f>
        <v>4698</v>
      </c>
      <c r="J53" s="48">
        <f>B53/$B$51*100</f>
        <v>128.3072369239635</v>
      </c>
      <c r="K53" s="68">
        <f>C53/$C$51*100</f>
        <v>136.28190720821962</v>
      </c>
      <c r="L53" s="9"/>
      <c r="M53" s="9"/>
      <c r="N53" s="9"/>
      <c r="O53" s="4"/>
    </row>
    <row r="54" spans="1:15">
      <c r="A54" s="72" t="s">
        <v>177</v>
      </c>
      <c r="B54" s="73">
        <f>'Free Cash Flow'!F4</f>
        <v>215521.90000000002</v>
      </c>
      <c r="C54" s="73">
        <f>'Free Cash Flow'!F10</f>
        <v>9093.1916235051067</v>
      </c>
      <c r="D54" s="74">
        <f>C54/B54</f>
        <v>4.2191497121661911E-2</v>
      </c>
      <c r="E54" s="73">
        <f>'Free Cash Flow'!F21</f>
        <v>3645.472376813867</v>
      </c>
      <c r="F54" s="74">
        <f>'Free Cash Flow'!F25</f>
        <v>0.1</v>
      </c>
      <c r="G54" s="73">
        <f>'Net Working Capital'!G7-'Net Working Capital'!G14</f>
        <v>-11538.895313128607</v>
      </c>
      <c r="H54" s="73">
        <f>G54-('Net Working Capital'!F7-'Net Working Capital'!F14)</f>
        <v>-226.89531312860709</v>
      </c>
      <c r="I54" s="73">
        <f>E54-H54</f>
        <v>3872.367689942474</v>
      </c>
      <c r="J54" s="75">
        <f>B54/$B$51*100</f>
        <v>141.13796061635989</v>
      </c>
      <c r="K54" s="76">
        <f>C54/$C$51*100</f>
        <v>145.98156403122661</v>
      </c>
      <c r="L54" s="9"/>
      <c r="M54" s="9"/>
      <c r="N54" s="9"/>
      <c r="O54" s="4"/>
    </row>
    <row r="55" spans="1:15">
      <c r="A55" s="66" t="s">
        <v>178</v>
      </c>
      <c r="B55" s="46">
        <f>'Free Cash Flow'!G4</f>
        <v>237074.09000000005</v>
      </c>
      <c r="C55" s="46">
        <f>'Free Cash Flow'!G10</f>
        <v>10002.510785855604</v>
      </c>
      <c r="D55" s="47">
        <f>C55/B55</f>
        <v>4.2191497121661849E-2</v>
      </c>
      <c r="E55" s="46">
        <f>'Free Cash Flow'!G21</f>
        <v>4100.7944355881609</v>
      </c>
      <c r="F55" s="47">
        <f>'Free Cash Flow'!G25</f>
        <v>0.1</v>
      </c>
      <c r="G55" s="46">
        <f>'Net Working Capital'!H7-'Net Working Capital'!H14</f>
        <v>-12632.394303625439</v>
      </c>
      <c r="H55" s="46">
        <f>G55-('Net Working Capital'!G7-'Net Working Capital'!G14)</f>
        <v>-1093.4989904968315</v>
      </c>
      <c r="I55" s="46">
        <f>E55-H55</f>
        <v>5194.2934260849925</v>
      </c>
      <c r="J55" s="48">
        <f>B55/$B$51*100</f>
        <v>155.2517566779959</v>
      </c>
      <c r="K55" s="68">
        <f>C55/$C$51*100</f>
        <v>160.57972043434907</v>
      </c>
      <c r="L55" s="9"/>
      <c r="M55" s="9"/>
      <c r="N55" s="9"/>
      <c r="O55" s="4"/>
    </row>
    <row r="56" spans="1:15">
      <c r="A56" s="72" t="s">
        <v>179</v>
      </c>
      <c r="B56" s="73">
        <f>'Free Cash Flow'!H4</f>
        <v>258410.75810000006</v>
      </c>
      <c r="C56" s="73">
        <f>'Free Cash Flow'!H10</f>
        <v>10902.736756582617</v>
      </c>
      <c r="D56" s="74">
        <f>C56/B56</f>
        <v>4.2191497121661883E-2</v>
      </c>
      <c r="E56" s="73">
        <f>'Free Cash Flow'!H21</f>
        <v>4529.3774265298853</v>
      </c>
      <c r="F56" s="74">
        <f>'Free Cash Flow'!H25</f>
        <v>0.09</v>
      </c>
      <c r="G56" s="73">
        <f>'Net Working Capital'!I7-'Net Working Capital'!I14</f>
        <v>-13769.309790951731</v>
      </c>
      <c r="H56" s="73">
        <f>G56-('Net Working Capital'!H7-'Net Working Capital'!H14)</f>
        <v>-1136.9154873262924</v>
      </c>
      <c r="I56" s="73">
        <f>E56-H56</f>
        <v>5666.2929138561776</v>
      </c>
      <c r="J56" s="75">
        <f>B56/$B$51*100</f>
        <v>169.22441477901552</v>
      </c>
      <c r="K56" s="76">
        <f>C56/$C$51*100</f>
        <v>175.03189527344063</v>
      </c>
      <c r="L56" s="9"/>
      <c r="M56" s="9"/>
      <c r="N56" s="9"/>
      <c r="O56" s="4"/>
    </row>
    <row r="57" spans="1:15">
      <c r="A57" s="66" t="s">
        <v>180</v>
      </c>
      <c r="B57" s="46">
        <f>'Free Cash Flow'!I4</f>
        <v>276499.51116700011</v>
      </c>
      <c r="C57" s="46">
        <f>'Free Cash Flow'!I10</f>
        <v>11665.928329543403</v>
      </c>
      <c r="D57" s="47">
        <f>C57/B57</f>
        <v>4.2191497121661883E-2</v>
      </c>
      <c r="E57" s="46">
        <f>'Free Cash Flow'!I21</f>
        <v>4828.6939670634065</v>
      </c>
      <c r="F57" s="47">
        <f>'Free Cash Flow'!I25</f>
        <v>7.0000000000000007E-2</v>
      </c>
      <c r="G57" s="46">
        <f>'Net Working Capital'!J7-'Net Working Capital'!J14</f>
        <v>-14733.161476318361</v>
      </c>
      <c r="H57" s="46">
        <f>G57-('Net Working Capital'!I7-'Net Working Capital'!I14)</f>
        <v>-963.85168536662968</v>
      </c>
      <c r="I57" s="46">
        <f>E57-H57</f>
        <v>5792.5456524300362</v>
      </c>
      <c r="J57" s="48">
        <f>B57/$B$51*100</f>
        <v>181.07012381354664</v>
      </c>
      <c r="K57" s="68">
        <f>C57/$C$51*100</f>
        <v>187.28412794258153</v>
      </c>
      <c r="L57" s="9"/>
      <c r="M57" s="9"/>
      <c r="N57" s="9"/>
      <c r="O57" s="4"/>
    </row>
    <row r="58" spans="1:15">
      <c r="A58" s="77" t="s">
        <v>181</v>
      </c>
      <c r="B58" s="78">
        <f>'Free Cash Flow'!J4</f>
        <v>290324.48672535014</v>
      </c>
      <c r="C58" s="78">
        <f>'Free Cash Flow'!J10</f>
        <v>12249.224746020565</v>
      </c>
      <c r="D58" s="79">
        <f>C58/B58</f>
        <v>4.2191497121661856E-2</v>
      </c>
      <c r="E58" s="78">
        <f>'Free Cash Flow'!J21</f>
        <v>4963.3221445910267</v>
      </c>
      <c r="F58" s="79">
        <f>'Free Cash Flow'!J25</f>
        <v>0.05</v>
      </c>
      <c r="G58" s="78">
        <f>'Net Working Capital'!K7-'Net Working Capital'!K14</f>
        <v>-15469.819550134278</v>
      </c>
      <c r="H58" s="78">
        <f>G58-('Net Working Capital'!J7-'Net Working Capital'!J14)</f>
        <v>-736.65807381591731</v>
      </c>
      <c r="I58" s="78">
        <f>E58-H58</f>
        <v>5699.980218406944</v>
      </c>
      <c r="J58" s="80">
        <f>B58/$B$51*100</f>
        <v>190.123630004224</v>
      </c>
      <c r="K58" s="81">
        <f>C58/$C$51*100</f>
        <v>196.64833433971046</v>
      </c>
      <c r="L58" s="9"/>
      <c r="M58" s="9"/>
      <c r="N58" s="9"/>
      <c r="O58" s="4"/>
    </row>
    <row r="59" spans="1:15">
      <c r="A59" s="4"/>
      <c r="B59" s="4"/>
      <c r="C59" s="4"/>
      <c r="D59" s="4"/>
      <c r="E59" s="4"/>
      <c r="F59" s="4"/>
      <c r="G59" s="4"/>
      <c r="H59" s="4"/>
      <c r="I59" s="4"/>
      <c r="J59" s="4"/>
      <c r="K59" s="4"/>
      <c r="L59" s="4"/>
      <c r="M59" s="4"/>
      <c r="N59" s="4"/>
      <c r="O59" s="4"/>
    </row>
  </sheetData>
  <mergeCells count="16">
    <mergeCell ref="A15:N15"/>
    <mergeCell ref="A49:N49"/>
    <mergeCell ref="A9:H9"/>
    <mergeCell ref="I9:N9"/>
    <mergeCell ref="B10:H10"/>
    <mergeCell ref="B11:H11"/>
    <mergeCell ref="B12:H12"/>
    <mergeCell ref="B13:H13"/>
    <mergeCell ref="I10:N10"/>
    <mergeCell ref="I11:N13"/>
    <mergeCell ref="A1:N1"/>
    <mergeCell ref="A2:N2"/>
    <mergeCell ref="A5:C6"/>
    <mergeCell ref="D5:F6"/>
    <mergeCell ref="G5:I6"/>
    <mergeCell ref="J5:L6"/>
  </mergeCells>
  <conditionalFormatting sqref="F52:F58">
    <cfRule type="colorScale" priority="2">
      <colorScale>
        <cfvo type="min"/>
        <cfvo type="max"/>
        <color rgb="FFFF7128"/>
        <color rgb="FFFFEF9C"/>
      </colorScale>
    </cfRule>
  </conditionalFormatting>
  <conditionalFormatting sqref="I54:I58">
    <cfRule type="dataBar" priority="3">
      <dataBar>
        <cfvo type="min"/>
        <cfvo type="max"/>
        <color rgb="FF638EC6"/>
      </dataBar>
      <extLst>
        <ext xmlns:x14="http://schemas.microsoft.com/office/spreadsheetml/2009/9/main" uri="{B025F937-C7B1-47D3-B67F-A62EFF666E3E}">
          <x14:id>{FCC9259E-4029-4890-8825-F53B4B2022FA}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CC9259E-4029-4890-8825-F53B4B2022FA}">
            <x14:dataBar minLength="0" maxLength="100" negativeBarColorSameAsPositive="1" axisPosition="none">
              <x14:cfvo type="min"/>
              <x14:cfvo type="max"/>
            </x14:dataBar>
          </x14:cfRule>
          <xm:sqref>I54:I58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sheetPr>
  <dimension ref="A1:K1000"/>
  <sheetViews>
    <sheetView showGridLines="0" zoomScale="60" workbookViewId="0">
      <selection activeCell="P27" sqref="P27"/>
    </sheetView>
  </sheetViews>
  <sheetFormatPr baseColWidth="10" defaultColWidth="14.44140625" defaultRowHeight="15" customHeight="1"/>
  <cols>
    <col min="1" max="1" width="8.88671875" customWidth="1"/>
    <col min="2" max="2" width="38" customWidth="1"/>
    <col min="3" max="10" width="13.33203125" customWidth="1"/>
    <col min="11" max="26" width="8.88671875" customWidth="1"/>
  </cols>
  <sheetData>
    <row r="1" spans="1:11" ht="14.25" customHeight="1">
      <c r="A1" s="4"/>
      <c r="B1" s="4"/>
      <c r="C1" s="4"/>
      <c r="D1" s="4"/>
      <c r="E1" s="4"/>
      <c r="F1" s="4"/>
      <c r="G1" s="4"/>
      <c r="H1" s="4"/>
      <c r="I1" s="4"/>
      <c r="J1" s="4"/>
      <c r="K1" s="4"/>
    </row>
    <row r="2" spans="1:11" ht="28.05" customHeight="1">
      <c r="A2" s="4"/>
      <c r="B2" s="85" t="s">
        <v>0</v>
      </c>
      <c r="C2" s="85"/>
      <c r="D2" s="85"/>
      <c r="E2" s="85"/>
      <c r="F2" s="85"/>
      <c r="G2" s="85"/>
      <c r="H2" s="85"/>
      <c r="I2" s="85"/>
      <c r="J2" s="85"/>
      <c r="K2" s="4"/>
    </row>
    <row r="3" spans="1:11" ht="22.05" customHeight="1" thickBot="1">
      <c r="A3" s="4"/>
      <c r="B3" s="69" t="s">
        <v>1</v>
      </c>
      <c r="C3" s="177">
        <v>43830</v>
      </c>
      <c r="D3" s="177">
        <v>44196</v>
      </c>
      <c r="E3" s="177">
        <v>44561</v>
      </c>
      <c r="F3" s="180">
        <v>44926</v>
      </c>
      <c r="G3" s="178">
        <v>45291</v>
      </c>
      <c r="H3" s="178">
        <v>45657</v>
      </c>
      <c r="I3" s="178">
        <v>46022</v>
      </c>
      <c r="J3" s="179">
        <v>46387</v>
      </c>
      <c r="K3" s="4"/>
    </row>
    <row r="4" spans="1:11" ht="14.25" customHeight="1">
      <c r="A4" s="4"/>
      <c r="B4" s="66" t="s">
        <v>2</v>
      </c>
      <c r="C4" s="139">
        <f>'Income Statement'!C5</f>
        <v>152703</v>
      </c>
      <c r="D4" s="139">
        <f>'Income Statement'!D5</f>
        <v>166761</v>
      </c>
      <c r="E4" s="139">
        <f>'Income Statement'!E5</f>
        <v>195929</v>
      </c>
      <c r="F4" s="185">
        <f>E4*(1+F25)</f>
        <v>215521.90000000002</v>
      </c>
      <c r="G4" s="142">
        <f t="shared" ref="G4:J4" si="0">F4*(1+G25)</f>
        <v>237074.09000000005</v>
      </c>
      <c r="H4" s="142">
        <f t="shared" si="0"/>
        <v>258410.75810000006</v>
      </c>
      <c r="I4" s="142">
        <f t="shared" si="0"/>
        <v>276499.51116700011</v>
      </c>
      <c r="J4" s="143">
        <f t="shared" si="0"/>
        <v>290324.48672535014</v>
      </c>
      <c r="K4" s="4"/>
    </row>
    <row r="5" spans="1:11" ht="14.25" customHeight="1" thickBot="1">
      <c r="A5" s="4"/>
      <c r="B5" s="72" t="s">
        <v>3</v>
      </c>
      <c r="C5" s="140">
        <f>'Income Statement'!C7</f>
        <v>132886</v>
      </c>
      <c r="D5" s="140">
        <f>'Income Statement'!D7</f>
        <v>144939</v>
      </c>
      <c r="E5" s="140">
        <f>'Income Statement'!E7</f>
        <v>170684</v>
      </c>
      <c r="F5" s="186">
        <f>F4*F27</f>
        <v>187541.37989690865</v>
      </c>
      <c r="G5" s="144">
        <f t="shared" ref="G5:J5" si="1">G4*G27</f>
        <v>206295.51788659955</v>
      </c>
      <c r="H5" s="144">
        <f t="shared" si="1"/>
        <v>224862.11449639351</v>
      </c>
      <c r="I5" s="144">
        <f t="shared" si="1"/>
        <v>240602.46251114109</v>
      </c>
      <c r="J5" s="145">
        <f t="shared" si="1"/>
        <v>252632.58563669818</v>
      </c>
      <c r="K5" s="4"/>
    </row>
    <row r="6" spans="1:11" ht="14.25" customHeight="1" thickBot="1">
      <c r="A6" s="4"/>
      <c r="B6" s="88" t="s">
        <v>4</v>
      </c>
      <c r="C6" s="163">
        <f t="shared" ref="C6:J6" si="2">C4-C5</f>
        <v>19817</v>
      </c>
      <c r="D6" s="163">
        <f t="shared" si="2"/>
        <v>21822</v>
      </c>
      <c r="E6" s="163">
        <f t="shared" si="2"/>
        <v>25245</v>
      </c>
      <c r="F6" s="209">
        <f t="shared" si="2"/>
        <v>27980.520103091374</v>
      </c>
      <c r="G6" s="163">
        <f t="shared" si="2"/>
        <v>30778.5721134005</v>
      </c>
      <c r="H6" s="163">
        <f t="shared" si="2"/>
        <v>33548.643603606557</v>
      </c>
      <c r="I6" s="163">
        <f t="shared" si="2"/>
        <v>35897.04865585902</v>
      </c>
      <c r="J6" s="210">
        <f t="shared" si="2"/>
        <v>37691.901088651968</v>
      </c>
      <c r="K6" s="4"/>
    </row>
    <row r="7" spans="1:11" ht="14.25" customHeight="1">
      <c r="A7" s="4"/>
      <c r="B7" s="93" t="s">
        <v>5</v>
      </c>
      <c r="C7" s="211"/>
      <c r="D7" s="211"/>
      <c r="E7" s="211"/>
      <c r="F7" s="212"/>
      <c r="G7" s="211"/>
      <c r="H7" s="211"/>
      <c r="I7" s="211"/>
      <c r="J7" s="213"/>
      <c r="K7" s="4"/>
    </row>
    <row r="8" spans="1:11" ht="14.25" customHeight="1" thickBot="1">
      <c r="A8" s="4"/>
      <c r="B8" s="66" t="s">
        <v>6</v>
      </c>
      <c r="C8" s="139">
        <f>SUM('Income Statement'!C8,'Income Statement'!C10)</f>
        <v>13588</v>
      </c>
      <c r="D8" s="139">
        <f>SUM('Income Statement'!D8,'Income Statement'!D10)</f>
        <v>14742</v>
      </c>
      <c r="E8" s="139">
        <f>SUM('Income Statement'!E8,'Income Statement'!E10)</f>
        <v>16756</v>
      </c>
      <c r="F8" s="185">
        <f>F9</f>
        <v>18887.328479586267</v>
      </c>
      <c r="G8" s="142">
        <f t="shared" ref="G8:J8" si="3">G9</f>
        <v>20776.061327544896</v>
      </c>
      <c r="H8" s="142">
        <f t="shared" si="3"/>
        <v>22645.90684702394</v>
      </c>
      <c r="I8" s="142">
        <f t="shared" si="3"/>
        <v>24231.120326315617</v>
      </c>
      <c r="J8" s="143">
        <f t="shared" si="3"/>
        <v>25442.676342631403</v>
      </c>
      <c r="K8" s="4"/>
    </row>
    <row r="9" spans="1:11" ht="14.25" customHeight="1" thickBot="1">
      <c r="A9" s="4"/>
      <c r="B9" s="94" t="s">
        <v>7</v>
      </c>
      <c r="C9" s="214">
        <f t="shared" ref="C9:E9" si="4">SUM(C8)</f>
        <v>13588</v>
      </c>
      <c r="D9" s="214">
        <f t="shared" si="4"/>
        <v>14742</v>
      </c>
      <c r="E9" s="214">
        <f t="shared" si="4"/>
        <v>16756</v>
      </c>
      <c r="F9" s="215">
        <f>F4*F28</f>
        <v>18887.328479586267</v>
      </c>
      <c r="G9" s="214">
        <f t="shared" ref="G9:J9" si="5">G4*G28</f>
        <v>20776.061327544896</v>
      </c>
      <c r="H9" s="214">
        <f t="shared" si="5"/>
        <v>22645.90684702394</v>
      </c>
      <c r="I9" s="214">
        <f t="shared" si="5"/>
        <v>24231.120326315617</v>
      </c>
      <c r="J9" s="216">
        <f t="shared" si="5"/>
        <v>25442.676342631403</v>
      </c>
      <c r="K9" s="4"/>
    </row>
    <row r="10" spans="1:11" ht="14.25" customHeight="1" thickBot="1">
      <c r="A10" s="4"/>
      <c r="B10" s="88" t="s">
        <v>8</v>
      </c>
      <c r="C10" s="163">
        <f t="shared" ref="C10:J10" si="6">C6-C9</f>
        <v>6229</v>
      </c>
      <c r="D10" s="163">
        <f t="shared" si="6"/>
        <v>7080</v>
      </c>
      <c r="E10" s="163">
        <f t="shared" si="6"/>
        <v>8489</v>
      </c>
      <c r="F10" s="209">
        <f t="shared" si="6"/>
        <v>9093.1916235051067</v>
      </c>
      <c r="G10" s="163">
        <f t="shared" si="6"/>
        <v>10002.510785855604</v>
      </c>
      <c r="H10" s="163">
        <f t="shared" si="6"/>
        <v>10902.736756582617</v>
      </c>
      <c r="I10" s="163">
        <f t="shared" si="6"/>
        <v>11665.928329543403</v>
      </c>
      <c r="J10" s="210">
        <f t="shared" si="6"/>
        <v>12249.224746020565</v>
      </c>
      <c r="K10" s="4"/>
    </row>
    <row r="11" spans="1:11" ht="14.25" customHeight="1" thickBot="1">
      <c r="A11" s="4"/>
      <c r="B11" s="72" t="s">
        <v>9</v>
      </c>
      <c r="C11" s="140">
        <f>'Income Statement'!C9</f>
        <v>1492</v>
      </c>
      <c r="D11" s="140">
        <f>'Income Statement'!D9</f>
        <v>1645</v>
      </c>
      <c r="E11" s="140">
        <f>'Income Statement'!E9</f>
        <v>1781</v>
      </c>
      <c r="F11" s="191">
        <f>'Fixed Assets'!F5</f>
        <v>1995.9571154515827</v>
      </c>
      <c r="G11" s="140">
        <f>'Fixed Assets'!G5</f>
        <v>2144.3445116404519</v>
      </c>
      <c r="H11" s="140">
        <f>'Fixed Assets'!H5</f>
        <v>2303.7636174673962</v>
      </c>
      <c r="I11" s="140">
        <f>'Fixed Assets'!I5</f>
        <v>2475.0345741348665</v>
      </c>
      <c r="J11" s="151">
        <f>'Fixed Assets'!J5</f>
        <v>2659.0384954065948</v>
      </c>
      <c r="K11" s="4"/>
    </row>
    <row r="12" spans="1:11" ht="14.25" customHeight="1" thickBot="1">
      <c r="A12" s="4"/>
      <c r="B12" s="88" t="s">
        <v>10</v>
      </c>
      <c r="C12" s="163">
        <f t="shared" ref="C12:J12" si="7">C10-C11</f>
        <v>4737</v>
      </c>
      <c r="D12" s="163">
        <f t="shared" si="7"/>
        <v>5435</v>
      </c>
      <c r="E12" s="163">
        <f t="shared" si="7"/>
        <v>6708</v>
      </c>
      <c r="F12" s="209">
        <f t="shared" si="7"/>
        <v>7097.2345080535242</v>
      </c>
      <c r="G12" s="163">
        <f t="shared" si="7"/>
        <v>7858.166274215152</v>
      </c>
      <c r="H12" s="163">
        <f t="shared" si="7"/>
        <v>8598.97313911522</v>
      </c>
      <c r="I12" s="163">
        <f t="shared" si="7"/>
        <v>9190.8937554085369</v>
      </c>
      <c r="J12" s="210">
        <f t="shared" si="7"/>
        <v>9590.1862506139696</v>
      </c>
      <c r="K12" s="4"/>
    </row>
    <row r="13" spans="1:11" ht="14.25" customHeight="1" thickBot="1">
      <c r="A13" s="4"/>
      <c r="B13" s="72" t="s">
        <v>11</v>
      </c>
      <c r="C13" s="140">
        <f>'Income Statement'!C16</f>
        <v>1061</v>
      </c>
      <c r="D13" s="140">
        <f>'Income Statement'!D16</f>
        <v>1308</v>
      </c>
      <c r="E13" s="140">
        <f>'Income Statement'!E16</f>
        <v>1601</v>
      </c>
      <c r="F13" s="186">
        <f>F12*F29</f>
        <v>1490.41924669124</v>
      </c>
      <c r="G13" s="144">
        <f t="shared" ref="G13:J13" si="8">G12*G29</f>
        <v>1650.2149175851819</v>
      </c>
      <c r="H13" s="144">
        <f t="shared" si="8"/>
        <v>1805.7843592141962</v>
      </c>
      <c r="I13" s="144">
        <f t="shared" si="8"/>
        <v>1930.0876886357926</v>
      </c>
      <c r="J13" s="145">
        <f t="shared" si="8"/>
        <v>2013.9391126289336</v>
      </c>
      <c r="K13" s="4"/>
    </row>
    <row r="14" spans="1:11" ht="14.25" customHeight="1" thickBot="1">
      <c r="A14" s="4"/>
      <c r="B14" s="88" t="s">
        <v>12</v>
      </c>
      <c r="C14" s="163">
        <f t="shared" ref="C14:J14" si="9">C12-C13</f>
        <v>3676</v>
      </c>
      <c r="D14" s="163">
        <f t="shared" si="9"/>
        <v>4127</v>
      </c>
      <c r="E14" s="163">
        <f t="shared" si="9"/>
        <v>5107</v>
      </c>
      <c r="F14" s="209">
        <f t="shared" si="9"/>
        <v>5606.8152613622842</v>
      </c>
      <c r="G14" s="163">
        <f t="shared" si="9"/>
        <v>6207.9513566299702</v>
      </c>
      <c r="H14" s="163">
        <f t="shared" si="9"/>
        <v>6793.1887799010237</v>
      </c>
      <c r="I14" s="163">
        <f t="shared" si="9"/>
        <v>7260.8060667727441</v>
      </c>
      <c r="J14" s="210">
        <f t="shared" si="9"/>
        <v>7576.2471379850358</v>
      </c>
      <c r="K14" s="4"/>
    </row>
    <row r="15" spans="1:11" ht="14.25" customHeight="1">
      <c r="A15" s="4"/>
      <c r="B15" s="72" t="s">
        <v>13</v>
      </c>
      <c r="C15" s="144">
        <f t="shared" ref="C15:E15" si="10">C11</f>
        <v>1492</v>
      </c>
      <c r="D15" s="144">
        <f t="shared" si="10"/>
        <v>1645</v>
      </c>
      <c r="E15" s="144">
        <f t="shared" si="10"/>
        <v>1781</v>
      </c>
      <c r="F15" s="186">
        <f>F11</f>
        <v>1995.9571154515827</v>
      </c>
      <c r="G15" s="144">
        <f t="shared" ref="G15:J15" si="11">G11</f>
        <v>2144.3445116404519</v>
      </c>
      <c r="H15" s="144">
        <f t="shared" si="11"/>
        <v>2303.7636174673962</v>
      </c>
      <c r="I15" s="144">
        <f t="shared" si="11"/>
        <v>2475.0345741348665</v>
      </c>
      <c r="J15" s="145">
        <f t="shared" si="11"/>
        <v>2659.0384954065948</v>
      </c>
      <c r="K15" s="4"/>
    </row>
    <row r="16" spans="1:11" ht="14.25" customHeight="1">
      <c r="A16" s="4"/>
      <c r="B16" s="66" t="s">
        <v>14</v>
      </c>
      <c r="C16" s="139">
        <f>'Fixed Assets'!C6</f>
        <v>2701</v>
      </c>
      <c r="D16" s="139">
        <f>'Fixed Assets'!D6</f>
        <v>5350</v>
      </c>
      <c r="E16" s="139">
        <f>'Fixed Assets'!E6</f>
        <v>3568</v>
      </c>
      <c r="F16" s="190">
        <f>'Fixed Assets'!F6</f>
        <v>3957.2999999999997</v>
      </c>
      <c r="G16" s="139">
        <f>'Fixed Assets'!G6</f>
        <v>4251.501432682262</v>
      </c>
      <c r="H16" s="139">
        <f>'Fixed Assets'!H6</f>
        <v>4567.5749708385338</v>
      </c>
      <c r="I16" s="139">
        <f>'Fixed Assets'!I6</f>
        <v>4907.1466738442041</v>
      </c>
      <c r="J16" s="150">
        <f>'Fixed Assets'!J6</f>
        <v>5271.9634888006049</v>
      </c>
      <c r="K16" s="4"/>
    </row>
    <row r="17" spans="1:11" ht="14.25" customHeight="1">
      <c r="A17" s="4"/>
      <c r="B17" s="72" t="s">
        <v>15</v>
      </c>
      <c r="C17" s="140">
        <f>C18-('Net Working Capital'!C7-'Net Working Capital'!C14)</f>
        <v>-691</v>
      </c>
      <c r="D17" s="144">
        <f t="shared" ref="D17:E17" si="12">D18-C18</f>
        <v>-2437</v>
      </c>
      <c r="E17" s="144">
        <f t="shared" si="12"/>
        <v>-1378</v>
      </c>
      <c r="F17" s="217"/>
      <c r="G17" s="73"/>
      <c r="H17" s="73"/>
      <c r="I17" s="73"/>
      <c r="J17" s="101"/>
      <c r="K17" s="4"/>
    </row>
    <row r="18" spans="1:11" ht="14.25" customHeight="1">
      <c r="A18" s="4"/>
      <c r="B18" s="89" t="s">
        <v>16</v>
      </c>
      <c r="C18" s="218">
        <f t="shared" ref="C18:J18" si="13">C19-C20</f>
        <v>-7497</v>
      </c>
      <c r="D18" s="218">
        <f t="shared" si="13"/>
        <v>-9934</v>
      </c>
      <c r="E18" s="218">
        <f t="shared" si="13"/>
        <v>-11312</v>
      </c>
      <c r="F18" s="219">
        <f t="shared" ca="1" si="13"/>
        <v>-11312</v>
      </c>
      <c r="G18" s="218">
        <f t="shared" ca="1" si="13"/>
        <v>-11312</v>
      </c>
      <c r="H18" s="218">
        <f t="shared" ca="1" si="13"/>
        <v>-11312</v>
      </c>
      <c r="I18" s="218">
        <f t="shared" ca="1" si="13"/>
        <v>-11312</v>
      </c>
      <c r="J18" s="220">
        <f t="shared" ca="1" si="13"/>
        <v>-11312</v>
      </c>
      <c r="K18" s="4"/>
    </row>
    <row r="19" spans="1:11" ht="14.25" customHeight="1">
      <c r="A19" s="4"/>
      <c r="B19" s="95" t="s">
        <v>17</v>
      </c>
      <c r="C19" s="221">
        <f>'Net Working Capital'!D7</f>
        <v>14041</v>
      </c>
      <c r="D19" s="221">
        <f>'Net Working Capital'!E7</f>
        <v>14815</v>
      </c>
      <c r="E19" s="221">
        <f>'Net Working Capital'!F7</f>
        <v>17330</v>
      </c>
      <c r="F19" s="222">
        <f ca="1">SUM(F16:F18)</f>
        <v>3957.2999999999997</v>
      </c>
      <c r="G19" s="223">
        <f t="shared" ref="G19:J19" ca="1" si="14">SUM(G16:G18)</f>
        <v>4251.501432682262</v>
      </c>
      <c r="H19" s="223">
        <f t="shared" ca="1" si="14"/>
        <v>4567.5749708385338</v>
      </c>
      <c r="I19" s="223">
        <f t="shared" ca="1" si="14"/>
        <v>4907.1466738442041</v>
      </c>
      <c r="J19" s="224">
        <f t="shared" ca="1" si="14"/>
        <v>5271.9634888006049</v>
      </c>
      <c r="K19" s="4"/>
    </row>
    <row r="20" spans="1:11" ht="14.25" customHeight="1" thickBot="1">
      <c r="A20" s="4"/>
      <c r="B20" s="89" t="s">
        <v>40</v>
      </c>
      <c r="C20" s="225">
        <f>'Net Working Capital'!D14</f>
        <v>21538</v>
      </c>
      <c r="D20" s="225">
        <f>'Net Working Capital'!E14</f>
        <v>24749</v>
      </c>
      <c r="E20" s="225">
        <f>'Net Working Capital'!F14</f>
        <v>28642</v>
      </c>
      <c r="F20" s="219">
        <f ca="1">SUM(F15:F19)</f>
        <v>9910.5571154515819</v>
      </c>
      <c r="G20" s="218">
        <f t="shared" ref="G20:J20" ca="1" si="15">SUM(G15:G19)</f>
        <v>10647.347377004975</v>
      </c>
      <c r="H20" s="218">
        <f t="shared" ca="1" si="15"/>
        <v>11438.913559144465</v>
      </c>
      <c r="I20" s="218">
        <f t="shared" ca="1" si="15"/>
        <v>12289.327921823275</v>
      </c>
      <c r="J20" s="220">
        <f t="shared" ca="1" si="15"/>
        <v>13202.965473007804</v>
      </c>
      <c r="K20" s="4"/>
    </row>
    <row r="21" spans="1:11" ht="14.25" customHeight="1" thickTop="1">
      <c r="A21" s="4"/>
      <c r="B21" s="239" t="s">
        <v>18</v>
      </c>
      <c r="C21" s="240">
        <f t="shared" ref="C21:J21" si="16">C14+C15-C16-C17</f>
        <v>3158</v>
      </c>
      <c r="D21" s="240">
        <f t="shared" si="16"/>
        <v>2859</v>
      </c>
      <c r="E21" s="240">
        <f t="shared" si="16"/>
        <v>4698</v>
      </c>
      <c r="F21" s="241">
        <f t="shared" si="16"/>
        <v>3645.472376813867</v>
      </c>
      <c r="G21" s="240">
        <f t="shared" si="16"/>
        <v>4100.7944355881609</v>
      </c>
      <c r="H21" s="240">
        <f t="shared" si="16"/>
        <v>4529.3774265298853</v>
      </c>
      <c r="I21" s="240">
        <f t="shared" si="16"/>
        <v>4828.6939670634065</v>
      </c>
      <c r="J21" s="242">
        <f t="shared" si="16"/>
        <v>4963.3221445910267</v>
      </c>
      <c r="K21" s="4"/>
    </row>
    <row r="22" spans="1:11" ht="14.25" customHeight="1">
      <c r="A22" s="4"/>
      <c r="B22" s="9"/>
      <c r="C22" s="9"/>
      <c r="D22" s="9"/>
      <c r="E22" s="9"/>
      <c r="F22" s="181"/>
      <c r="G22" s="9"/>
      <c r="H22" s="9"/>
      <c r="I22" s="9"/>
      <c r="J22" s="9"/>
      <c r="K22" s="4"/>
    </row>
    <row r="23" spans="1:11" ht="22.05" customHeight="1">
      <c r="A23" s="4"/>
      <c r="B23" s="86" t="s">
        <v>19</v>
      </c>
      <c r="C23" s="86"/>
      <c r="D23" s="86"/>
      <c r="E23" s="86"/>
      <c r="F23" s="182"/>
      <c r="G23" s="86"/>
      <c r="H23" s="86"/>
      <c r="I23" s="86"/>
      <c r="J23" s="86"/>
      <c r="K23" s="4"/>
    </row>
    <row r="24" spans="1:11" ht="22.05" customHeight="1" thickBot="1">
      <c r="A24" s="4"/>
      <c r="B24" s="134" t="str">
        <f t="shared" ref="B24:J24" si="17">B3</f>
        <v>Fiscal Year</v>
      </c>
      <c r="C24" s="177">
        <f t="shared" si="17"/>
        <v>43830</v>
      </c>
      <c r="D24" s="177">
        <f t="shared" si="17"/>
        <v>44196</v>
      </c>
      <c r="E24" s="177">
        <f t="shared" si="17"/>
        <v>44561</v>
      </c>
      <c r="F24" s="180">
        <f t="shared" si="17"/>
        <v>44926</v>
      </c>
      <c r="G24" s="178">
        <f t="shared" si="17"/>
        <v>45291</v>
      </c>
      <c r="H24" s="178">
        <f t="shared" si="17"/>
        <v>45657</v>
      </c>
      <c r="I24" s="178">
        <f t="shared" si="17"/>
        <v>46022</v>
      </c>
      <c r="J24" s="179">
        <f t="shared" si="17"/>
        <v>46387</v>
      </c>
      <c r="K24" s="4"/>
    </row>
    <row r="25" spans="1:11" ht="14.25" customHeight="1">
      <c r="A25" s="4"/>
      <c r="B25" s="66" t="s">
        <v>20</v>
      </c>
      <c r="C25" s="9"/>
      <c r="D25" s="135">
        <f t="shared" ref="D25:E25" si="18">D4/C4-1</f>
        <v>9.2061059704131601E-2</v>
      </c>
      <c r="E25" s="135">
        <f t="shared" si="18"/>
        <v>0.17490900150514799</v>
      </c>
      <c r="F25" s="193">
        <v>0.1</v>
      </c>
      <c r="G25" s="194">
        <v>0.1</v>
      </c>
      <c r="H25" s="194">
        <v>0.09</v>
      </c>
      <c r="I25" s="194">
        <v>7.0000000000000007E-2</v>
      </c>
      <c r="J25" s="195">
        <v>0.05</v>
      </c>
      <c r="K25" s="4"/>
    </row>
    <row r="26" spans="1:11" ht="14.25" customHeight="1">
      <c r="A26" s="4"/>
      <c r="B26" s="72"/>
      <c r="C26" s="98"/>
      <c r="D26" s="98"/>
      <c r="E26" s="98"/>
      <c r="F26" s="183"/>
      <c r="G26" s="98"/>
      <c r="H26" s="98"/>
      <c r="I26" s="98"/>
      <c r="J26" s="99"/>
      <c r="K26" s="4"/>
    </row>
    <row r="27" spans="1:11" ht="14.25" customHeight="1">
      <c r="A27" s="4"/>
      <c r="B27" s="66" t="s">
        <v>21</v>
      </c>
      <c r="C27" s="135">
        <f t="shared" ref="C27:E27" si="19">C5/C4</f>
        <v>0.87022520841109896</v>
      </c>
      <c r="D27" s="135">
        <f t="shared" si="19"/>
        <v>0.86914206559087603</v>
      </c>
      <c r="E27" s="135">
        <f t="shared" si="19"/>
        <v>0.871152305171771</v>
      </c>
      <c r="F27" s="184">
        <f t="shared" ref="F27:F28" si="20">AVERAGE(C27:E27)</f>
        <v>0.87017319305791496</v>
      </c>
      <c r="G27" s="135">
        <f t="shared" ref="G27:J27" si="21">F27</f>
        <v>0.87017319305791496</v>
      </c>
      <c r="H27" s="135">
        <f t="shared" si="21"/>
        <v>0.87017319305791496</v>
      </c>
      <c r="I27" s="135">
        <f t="shared" si="21"/>
        <v>0.87017319305791496</v>
      </c>
      <c r="J27" s="136">
        <f t="shared" si="21"/>
        <v>0.87017319305791496</v>
      </c>
      <c r="K27" s="4"/>
    </row>
    <row r="28" spans="1:11" ht="14.25" customHeight="1">
      <c r="A28" s="4"/>
      <c r="B28" s="72" t="s">
        <v>22</v>
      </c>
      <c r="C28" s="137">
        <f t="shared" ref="C28:E28" si="22">C8/C4</f>
        <v>8.8983189590250394E-2</v>
      </c>
      <c r="D28" s="137">
        <f t="shared" si="22"/>
        <v>8.8401964488099699E-2</v>
      </c>
      <c r="E28" s="137">
        <f t="shared" si="22"/>
        <v>8.5520775382919301E-2</v>
      </c>
      <c r="F28" s="184">
        <f t="shared" si="20"/>
        <v>8.7635309820423196E-2</v>
      </c>
      <c r="G28" s="135">
        <f t="shared" ref="G28:J28" si="23">F28</f>
        <v>8.7635309820423196E-2</v>
      </c>
      <c r="H28" s="135">
        <f t="shared" si="23"/>
        <v>8.7635309820423196E-2</v>
      </c>
      <c r="I28" s="135">
        <f t="shared" si="23"/>
        <v>8.7635309820423196E-2</v>
      </c>
      <c r="J28" s="136">
        <f t="shared" si="23"/>
        <v>8.7635309820423196E-2</v>
      </c>
      <c r="K28" s="4"/>
    </row>
    <row r="29" spans="1:11" ht="14.25" customHeight="1">
      <c r="A29" s="4"/>
      <c r="B29" s="67" t="s">
        <v>23</v>
      </c>
      <c r="C29" s="138">
        <f t="shared" ref="C29:E29" si="24">C13/C12</f>
        <v>0.223981422841461</v>
      </c>
      <c r="D29" s="138">
        <f t="shared" si="24"/>
        <v>0.24066237350506001</v>
      </c>
      <c r="E29" s="138">
        <f t="shared" si="24"/>
        <v>0.23867024448419799</v>
      </c>
      <c r="F29" s="196">
        <v>0.21</v>
      </c>
      <c r="G29" s="197">
        <v>0.21</v>
      </c>
      <c r="H29" s="197">
        <v>0.21</v>
      </c>
      <c r="I29" s="197">
        <v>0.21</v>
      </c>
      <c r="J29" s="198">
        <v>0.21</v>
      </c>
      <c r="K29" s="4"/>
    </row>
    <row r="30" spans="1:11" ht="14.25" customHeight="1">
      <c r="A30" s="4"/>
      <c r="B30" s="4"/>
      <c r="C30" s="4"/>
      <c r="D30" s="4"/>
      <c r="E30" s="4"/>
      <c r="F30" s="4"/>
      <c r="G30" s="4"/>
      <c r="H30" s="4"/>
      <c r="I30" s="4"/>
      <c r="J30" s="4"/>
      <c r="K30" s="4"/>
    </row>
    <row r="31" spans="1:11" ht="14.25" customHeight="1"/>
    <row r="32" spans="1: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1:K1000"/>
  <sheetViews>
    <sheetView showGridLines="0" zoomScale="71" workbookViewId="0">
      <selection activeCell="F7" sqref="F7"/>
    </sheetView>
  </sheetViews>
  <sheetFormatPr baseColWidth="10" defaultColWidth="14.44140625" defaultRowHeight="15" customHeight="1"/>
  <cols>
    <col min="1" max="1" width="8.88671875" customWidth="1"/>
    <col min="2" max="2" width="38" customWidth="1"/>
    <col min="3" max="10" width="13.33203125" customWidth="1"/>
    <col min="11" max="26" width="8.88671875" customWidth="1"/>
  </cols>
  <sheetData>
    <row r="1" spans="1:11" ht="14.25" customHeight="1">
      <c r="A1" s="4"/>
      <c r="B1" s="4"/>
      <c r="C1" s="4"/>
      <c r="D1" s="4"/>
      <c r="E1" s="4"/>
      <c r="F1" s="4"/>
      <c r="G1" s="4"/>
      <c r="H1" s="4"/>
      <c r="I1" s="4"/>
      <c r="J1" s="4"/>
      <c r="K1" s="4"/>
    </row>
    <row r="2" spans="1:11" ht="24" customHeight="1">
      <c r="A2" s="4"/>
      <c r="B2" s="85" t="s">
        <v>24</v>
      </c>
      <c r="C2" s="85"/>
      <c r="D2" s="85"/>
      <c r="E2" s="85"/>
      <c r="F2" s="85"/>
      <c r="G2" s="85"/>
      <c r="H2" s="85"/>
      <c r="I2" s="85"/>
      <c r="J2" s="85"/>
      <c r="K2" s="4"/>
    </row>
    <row r="3" spans="1:11" ht="24" customHeight="1" thickBot="1">
      <c r="A3" s="4"/>
      <c r="B3" s="69" t="s">
        <v>1</v>
      </c>
      <c r="C3" s="177">
        <v>43830</v>
      </c>
      <c r="D3" s="177">
        <v>44196</v>
      </c>
      <c r="E3" s="177">
        <v>44561</v>
      </c>
      <c r="F3" s="180">
        <v>44926</v>
      </c>
      <c r="G3" s="178">
        <v>45291</v>
      </c>
      <c r="H3" s="178">
        <v>45657</v>
      </c>
      <c r="I3" s="178">
        <v>46022</v>
      </c>
      <c r="J3" s="179">
        <v>46387</v>
      </c>
      <c r="K3" s="4"/>
    </row>
    <row r="4" spans="1:11" ht="14.25" customHeight="1">
      <c r="A4" s="4"/>
      <c r="B4" s="66" t="s">
        <v>25</v>
      </c>
      <c r="C4" s="139">
        <f>SUM('Balance Sheet'!C11:C12)</f>
        <v>19681</v>
      </c>
      <c r="D4" s="139">
        <f>SUM('Balance Sheet'!D11:D12)</f>
        <v>20890</v>
      </c>
      <c r="E4" s="139">
        <f>SUM('Balance Sheet'!E11:E12)</f>
        <v>24595</v>
      </c>
      <c r="F4" s="185">
        <f>E7</f>
        <v>26382</v>
      </c>
      <c r="G4" s="142">
        <f t="shared" ref="G4:J4" si="0">F7</f>
        <v>28343.342884548416</v>
      </c>
      <c r="H4" s="142">
        <f t="shared" si="0"/>
        <v>30450.499805590225</v>
      </c>
      <c r="I4" s="142">
        <f t="shared" si="0"/>
        <v>32714.311158961362</v>
      </c>
      <c r="J4" s="143">
        <f t="shared" si="0"/>
        <v>35146.4232586707</v>
      </c>
      <c r="K4" s="4"/>
    </row>
    <row r="5" spans="1:11" ht="14.25" customHeight="1">
      <c r="A5" s="4"/>
      <c r="B5" s="72" t="s">
        <v>26</v>
      </c>
      <c r="C5" s="140">
        <f>'Free Cash Flow'!C11</f>
        <v>1492</v>
      </c>
      <c r="D5" s="140">
        <f>'Free Cash Flow'!D11</f>
        <v>1645</v>
      </c>
      <c r="E5" s="140">
        <f>'Free Cash Flow'!E11</f>
        <v>1781</v>
      </c>
      <c r="F5" s="186">
        <f>F4*F11</f>
        <v>1995.9571154515827</v>
      </c>
      <c r="G5" s="144">
        <f t="shared" ref="G5:J5" si="1">G4*G11</f>
        <v>2144.3445116404519</v>
      </c>
      <c r="H5" s="144">
        <f t="shared" si="1"/>
        <v>2303.7636174673962</v>
      </c>
      <c r="I5" s="144">
        <f t="shared" si="1"/>
        <v>2475.0345741348665</v>
      </c>
      <c r="J5" s="145">
        <f t="shared" si="1"/>
        <v>2659.0384954065948</v>
      </c>
      <c r="K5" s="4"/>
    </row>
    <row r="6" spans="1:11" ht="14.25" customHeight="1" thickBot="1">
      <c r="A6" s="4"/>
      <c r="B6" s="66" t="s">
        <v>27</v>
      </c>
      <c r="C6" s="142">
        <f t="shared" ref="C6:E6" si="2">C7-C4+C5</f>
        <v>2701</v>
      </c>
      <c r="D6" s="142">
        <f t="shared" si="2"/>
        <v>5350</v>
      </c>
      <c r="E6" s="142">
        <f t="shared" si="2"/>
        <v>3568</v>
      </c>
      <c r="F6" s="185">
        <f>F4*F12</f>
        <v>3957.2999999999997</v>
      </c>
      <c r="G6" s="142">
        <f t="shared" ref="G6:J6" si="3">G4*G12</f>
        <v>4251.501432682262</v>
      </c>
      <c r="H6" s="142">
        <f t="shared" si="3"/>
        <v>4567.5749708385338</v>
      </c>
      <c r="I6" s="142">
        <f t="shared" si="3"/>
        <v>4907.1466738442041</v>
      </c>
      <c r="J6" s="143">
        <f t="shared" si="3"/>
        <v>5271.9634888006049</v>
      </c>
      <c r="K6" s="4"/>
    </row>
    <row r="7" spans="1:11" ht="14.25" customHeight="1">
      <c r="A7" s="4"/>
      <c r="B7" s="96" t="s">
        <v>28</v>
      </c>
      <c r="C7" s="141">
        <f>SUM('Balance Sheet'!D11:D12)</f>
        <v>20890</v>
      </c>
      <c r="D7" s="141">
        <f>SUM('Balance Sheet'!E11:E12)</f>
        <v>24595</v>
      </c>
      <c r="E7" s="141">
        <f>SUM('Balance Sheet'!F11:F12)</f>
        <v>26382</v>
      </c>
      <c r="F7" s="187">
        <f>F4-F5+F6</f>
        <v>28343.342884548416</v>
      </c>
      <c r="G7" s="146">
        <f t="shared" ref="G7:J7" si="4">G4-G5+G6</f>
        <v>30450.499805590225</v>
      </c>
      <c r="H7" s="146">
        <f t="shared" si="4"/>
        <v>32714.311158961362</v>
      </c>
      <c r="I7" s="146">
        <f t="shared" si="4"/>
        <v>35146.4232586707</v>
      </c>
      <c r="J7" s="147">
        <f t="shared" si="4"/>
        <v>37759.348252064709</v>
      </c>
      <c r="K7" s="4"/>
    </row>
    <row r="8" spans="1:11" ht="14.25" customHeight="1">
      <c r="A8" s="4"/>
      <c r="B8" s="9"/>
      <c r="C8" s="9"/>
      <c r="D8" s="9"/>
      <c r="E8" s="46"/>
      <c r="F8" s="181"/>
      <c r="G8" s="9"/>
      <c r="H8" s="9"/>
      <c r="I8" s="9"/>
      <c r="J8" s="9"/>
      <c r="K8" s="4"/>
    </row>
    <row r="9" spans="1:11" ht="22.05" customHeight="1">
      <c r="A9" s="4"/>
      <c r="B9" s="86" t="s">
        <v>19</v>
      </c>
      <c r="C9" s="86"/>
      <c r="D9" s="86"/>
      <c r="E9" s="86"/>
      <c r="F9" s="182"/>
      <c r="G9" s="86"/>
      <c r="H9" s="86"/>
      <c r="I9" s="86"/>
      <c r="J9" s="86"/>
      <c r="K9" s="4"/>
    </row>
    <row r="10" spans="1:11" ht="22.05" customHeight="1" thickBot="1">
      <c r="A10" s="4"/>
      <c r="B10" s="69" t="s">
        <v>1</v>
      </c>
      <c r="C10" s="177">
        <v>43830</v>
      </c>
      <c r="D10" s="177">
        <v>44196</v>
      </c>
      <c r="E10" s="177">
        <v>44561</v>
      </c>
      <c r="F10" s="180">
        <v>44926</v>
      </c>
      <c r="G10" s="178">
        <v>45291</v>
      </c>
      <c r="H10" s="178">
        <v>45657</v>
      </c>
      <c r="I10" s="178">
        <v>46022</v>
      </c>
      <c r="J10" s="179">
        <v>46387</v>
      </c>
      <c r="K10" s="4"/>
    </row>
    <row r="11" spans="1:11" ht="14.25" customHeight="1">
      <c r="A11" s="4"/>
      <c r="B11" s="66" t="s">
        <v>29</v>
      </c>
      <c r="C11" s="135">
        <f t="shared" ref="C11:E11" si="5">C5/C4</f>
        <v>7.5809156038819159E-2</v>
      </c>
      <c r="D11" s="135">
        <f t="shared" si="5"/>
        <v>7.8745811393011012E-2</v>
      </c>
      <c r="E11" s="135">
        <f t="shared" si="5"/>
        <v>7.2413092091888592E-2</v>
      </c>
      <c r="F11" s="184">
        <f>AVERAGE(C11:E11)</f>
        <v>7.5656019841239583E-2</v>
      </c>
      <c r="G11" s="135">
        <f t="shared" ref="G11:J11" si="6">F11</f>
        <v>7.5656019841239583E-2</v>
      </c>
      <c r="H11" s="135">
        <f t="shared" si="6"/>
        <v>7.5656019841239583E-2</v>
      </c>
      <c r="I11" s="135">
        <f t="shared" si="6"/>
        <v>7.5656019841239583E-2</v>
      </c>
      <c r="J11" s="136">
        <f t="shared" si="6"/>
        <v>7.5656019841239583E-2</v>
      </c>
      <c r="K11" s="4"/>
    </row>
    <row r="12" spans="1:11" ht="14.25" customHeight="1">
      <c r="A12" s="4"/>
      <c r="B12" s="77" t="s">
        <v>30</v>
      </c>
      <c r="C12" s="148">
        <f t="shared" ref="C12:E12" si="7">C6/C4</f>
        <v>0.13723896143488643</v>
      </c>
      <c r="D12" s="148">
        <f t="shared" si="7"/>
        <v>0.25610339875538535</v>
      </c>
      <c r="E12" s="148">
        <f t="shared" si="7"/>
        <v>0.14507013620654605</v>
      </c>
      <c r="F12" s="196">
        <v>0.15</v>
      </c>
      <c r="G12" s="138">
        <f t="shared" ref="G12:J12" si="8">F12</f>
        <v>0.15</v>
      </c>
      <c r="H12" s="138">
        <f t="shared" si="8"/>
        <v>0.15</v>
      </c>
      <c r="I12" s="138">
        <f t="shared" si="8"/>
        <v>0.15</v>
      </c>
      <c r="J12" s="244">
        <f t="shared" si="8"/>
        <v>0.15</v>
      </c>
      <c r="K12" s="4"/>
    </row>
    <row r="13" spans="1:11" ht="14.25" customHeight="1">
      <c r="A13" s="4"/>
      <c r="B13" s="4"/>
      <c r="C13" s="7"/>
      <c r="D13" s="7"/>
      <c r="E13" s="7"/>
      <c r="F13" s="7"/>
      <c r="G13" s="7"/>
      <c r="H13" s="7"/>
      <c r="I13" s="7"/>
      <c r="J13" s="7"/>
      <c r="K13" s="4"/>
    </row>
    <row r="14" spans="1:11" ht="14.25" customHeight="1">
      <c r="C14" s="3"/>
      <c r="D14" s="3"/>
      <c r="E14" s="3"/>
      <c r="F14" s="3"/>
      <c r="G14" s="3"/>
      <c r="H14" s="3"/>
      <c r="I14" s="3"/>
      <c r="J14" s="3"/>
    </row>
    <row r="15" spans="1:11" ht="14.25" customHeight="1">
      <c r="C15" s="3"/>
      <c r="D15" s="3"/>
      <c r="E15" s="3"/>
      <c r="F15" s="3"/>
      <c r="G15" s="3"/>
      <c r="H15" s="3"/>
      <c r="I15" s="3"/>
      <c r="J15" s="3"/>
    </row>
    <row r="16" spans="1: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9BD5"/>
  </sheetPr>
  <dimension ref="A1:L1000"/>
  <sheetViews>
    <sheetView showGridLines="0" zoomScale="79" zoomScaleNormal="115" workbookViewId="0">
      <selection activeCell="G14" sqref="G14:K14"/>
    </sheetView>
  </sheetViews>
  <sheetFormatPr baseColWidth="10" defaultColWidth="14.44140625" defaultRowHeight="15" customHeight="1"/>
  <cols>
    <col min="1" max="1" width="8.88671875" customWidth="1"/>
    <col min="2" max="2" width="41.6640625" customWidth="1"/>
    <col min="3" max="11" width="13" customWidth="1"/>
    <col min="12" max="26" width="8.88671875" customWidth="1"/>
  </cols>
  <sheetData>
    <row r="1" spans="1:12" ht="14.25" customHeight="1">
      <c r="A1" s="4"/>
      <c r="B1" s="4"/>
      <c r="C1" s="4"/>
      <c r="D1" s="4"/>
      <c r="E1" s="4"/>
      <c r="F1" s="4"/>
      <c r="G1" s="4"/>
      <c r="H1" s="4"/>
      <c r="I1" s="4"/>
      <c r="J1" s="4"/>
      <c r="K1" s="4"/>
      <c r="L1" s="4"/>
    </row>
    <row r="2" spans="1:12" ht="24" customHeight="1">
      <c r="A2" s="4"/>
      <c r="B2" s="85" t="s">
        <v>31</v>
      </c>
      <c r="C2" s="85"/>
      <c r="D2" s="85"/>
      <c r="E2" s="85"/>
      <c r="F2" s="85"/>
      <c r="G2" s="85"/>
      <c r="H2" s="85"/>
      <c r="I2" s="85"/>
      <c r="J2" s="85"/>
      <c r="K2" s="85"/>
      <c r="L2" s="4"/>
    </row>
    <row r="3" spans="1:12" ht="24" customHeight="1" thickBot="1">
      <c r="A3" s="4"/>
      <c r="B3" s="69" t="s">
        <v>1</v>
      </c>
      <c r="C3" s="177">
        <v>43465</v>
      </c>
      <c r="D3" s="177">
        <v>43830</v>
      </c>
      <c r="E3" s="177">
        <v>44196</v>
      </c>
      <c r="F3" s="177">
        <v>44561</v>
      </c>
      <c r="G3" s="180">
        <v>44926</v>
      </c>
      <c r="H3" s="178">
        <v>45291</v>
      </c>
      <c r="I3" s="178">
        <v>45657</v>
      </c>
      <c r="J3" s="178">
        <v>46022</v>
      </c>
      <c r="K3" s="179">
        <v>46387</v>
      </c>
      <c r="L3" s="4"/>
    </row>
    <row r="4" spans="1:12" ht="14.25" customHeight="1">
      <c r="A4" s="4"/>
      <c r="B4" s="66" t="s">
        <v>32</v>
      </c>
      <c r="C4" s="139">
        <f>'Balance Sheet'!C6</f>
        <v>1669</v>
      </c>
      <c r="D4" s="139">
        <f>'Balance Sheet'!D6</f>
        <v>1535</v>
      </c>
      <c r="E4" s="139">
        <f>'Balance Sheet'!E6</f>
        <v>1550</v>
      </c>
      <c r="F4" s="139">
        <f>'Balance Sheet'!F6</f>
        <v>1803</v>
      </c>
      <c r="G4" s="185">
        <f>G21*G18/360</f>
        <v>2155.2190000000001</v>
      </c>
      <c r="H4" s="142">
        <f t="shared" ref="H4:K4" si="0">H21*H18/360</f>
        <v>2370.7409000000002</v>
      </c>
      <c r="I4" s="142">
        <f t="shared" si="0"/>
        <v>2584.1075810000007</v>
      </c>
      <c r="J4" s="142">
        <f t="shared" si="0"/>
        <v>2764.9951116700008</v>
      </c>
      <c r="K4" s="143">
        <f t="shared" si="0"/>
        <v>2903.2448672535015</v>
      </c>
      <c r="L4" s="4"/>
    </row>
    <row r="5" spans="1:12" ht="14.25" customHeight="1">
      <c r="A5" s="4"/>
      <c r="B5" s="72" t="s">
        <v>33</v>
      </c>
      <c r="C5" s="140">
        <f>'Balance Sheet'!C7</f>
        <v>11040</v>
      </c>
      <c r="D5" s="140">
        <f>'Balance Sheet'!D7</f>
        <v>11395</v>
      </c>
      <c r="E5" s="140">
        <f>'Balance Sheet'!E7</f>
        <v>12242</v>
      </c>
      <c r="F5" s="140">
        <f>'Balance Sheet'!F7</f>
        <v>14215</v>
      </c>
      <c r="G5" s="186">
        <f>G22*G19/360</f>
        <v>16097.301774484658</v>
      </c>
      <c r="H5" s="144">
        <f t="shared" ref="H5:K5" si="1">H22*H19/360</f>
        <v>17707.031951933128</v>
      </c>
      <c r="I5" s="144">
        <f t="shared" si="1"/>
        <v>19300.66482760711</v>
      </c>
      <c r="J5" s="144">
        <f t="shared" si="1"/>
        <v>20651.71136553961</v>
      </c>
      <c r="K5" s="145">
        <f t="shared" si="1"/>
        <v>21684.296933816593</v>
      </c>
      <c r="L5" s="4"/>
    </row>
    <row r="6" spans="1:12" ht="14.25" customHeight="1" thickBot="1">
      <c r="A6" s="4"/>
      <c r="B6" s="66" t="s">
        <v>34</v>
      </c>
      <c r="C6" s="139">
        <f>'Balance Sheet'!C8</f>
        <v>321</v>
      </c>
      <c r="D6" s="139">
        <f>'Balance Sheet'!D8</f>
        <v>1111</v>
      </c>
      <c r="E6" s="139">
        <f>'Balance Sheet'!E8</f>
        <v>1023</v>
      </c>
      <c r="F6" s="139">
        <f>'Balance Sheet'!F8</f>
        <v>1312</v>
      </c>
      <c r="G6" s="185">
        <f>G25*G$18</f>
        <v>1205.5069635329301</v>
      </c>
      <c r="H6" s="142">
        <f t="shared" ref="H6:K6" si="2">H25*H$18</f>
        <v>1422.4445400000004</v>
      </c>
      <c r="I6" s="142">
        <f t="shared" si="2"/>
        <v>1550.4645486000004</v>
      </c>
      <c r="J6" s="142">
        <f t="shared" si="2"/>
        <v>1658.9970670020007</v>
      </c>
      <c r="K6" s="143">
        <f t="shared" si="2"/>
        <v>1741.946920352101</v>
      </c>
      <c r="L6" s="4"/>
    </row>
    <row r="7" spans="1:12" ht="14.25" customHeight="1" thickBot="1">
      <c r="A7" s="4"/>
      <c r="B7" s="103" t="s">
        <v>17</v>
      </c>
      <c r="C7" s="152">
        <f t="shared" ref="C7:K7" si="3">SUM(C4:C6)</f>
        <v>13030</v>
      </c>
      <c r="D7" s="152">
        <f t="shared" si="3"/>
        <v>14041</v>
      </c>
      <c r="E7" s="152">
        <f t="shared" si="3"/>
        <v>14815</v>
      </c>
      <c r="F7" s="152">
        <f t="shared" si="3"/>
        <v>17330</v>
      </c>
      <c r="G7" s="188">
        <f>SUM(G4:G6)</f>
        <v>19458.02773801759</v>
      </c>
      <c r="H7" s="152">
        <f t="shared" ref="H7:K7" si="4">SUM(H4:H6)</f>
        <v>21500.217391933129</v>
      </c>
      <c r="I7" s="152">
        <f t="shared" si="4"/>
        <v>23435.236957207111</v>
      </c>
      <c r="J7" s="152">
        <f t="shared" si="4"/>
        <v>25075.70354421161</v>
      </c>
      <c r="K7" s="153">
        <f t="shared" si="4"/>
        <v>26329.488721422196</v>
      </c>
      <c r="L7" s="4"/>
    </row>
    <row r="8" spans="1:12" ht="21" customHeight="1">
      <c r="A8" s="4"/>
      <c r="B8" s="92" t="s">
        <v>40</v>
      </c>
      <c r="C8" s="100"/>
      <c r="D8" s="100"/>
      <c r="E8" s="100"/>
      <c r="F8" s="100"/>
      <c r="G8" s="226"/>
      <c r="H8" s="100"/>
      <c r="I8" s="100"/>
      <c r="J8" s="100"/>
      <c r="K8" s="131"/>
      <c r="L8" s="4"/>
    </row>
    <row r="9" spans="1:12" ht="14.25" customHeight="1">
      <c r="A9" s="4"/>
      <c r="B9" s="72" t="s">
        <v>35</v>
      </c>
      <c r="C9" s="140">
        <f>'Balance Sheet'!C16</f>
        <v>11237</v>
      </c>
      <c r="D9" s="140">
        <f>'Balance Sheet'!D16</f>
        <v>11679</v>
      </c>
      <c r="E9" s="140">
        <f>'Balance Sheet'!E16</f>
        <v>14172</v>
      </c>
      <c r="F9" s="140">
        <f>'Balance Sheet'!F16</f>
        <v>16278</v>
      </c>
      <c r="G9" s="186">
        <f>G23*G19/360</f>
        <v>17451.767295962331</v>
      </c>
      <c r="H9" s="144">
        <f>H23*H19/360</f>
        <v>19196.944025558569</v>
      </c>
      <c r="I9" s="144">
        <f>I23*I19/360</f>
        <v>20924.66898785884</v>
      </c>
      <c r="J9" s="144">
        <f>J23*J19/360</f>
        <v>22389.395817008961</v>
      </c>
      <c r="K9" s="145">
        <f>K23*K19/360</f>
        <v>23508.86560785941</v>
      </c>
      <c r="L9" s="4"/>
    </row>
    <row r="10" spans="1:12" ht="14.25" customHeight="1">
      <c r="A10" s="4"/>
      <c r="B10" s="66" t="s">
        <v>36</v>
      </c>
      <c r="C10" s="139">
        <f>'Balance Sheet'!C17</f>
        <v>2994</v>
      </c>
      <c r="D10" s="139">
        <f>'Balance Sheet'!D17</f>
        <v>3176</v>
      </c>
      <c r="E10" s="139">
        <f>'Balance Sheet'!E17</f>
        <v>3605</v>
      </c>
      <c r="F10" s="139">
        <f>'Balance Sheet'!F17</f>
        <v>4090</v>
      </c>
      <c r="G10" s="185">
        <f>G26*G$18</f>
        <v>4525.9599000000007</v>
      </c>
      <c r="H10" s="142">
        <f t="shared" ref="H10:K10" si="5">H26*H$18</f>
        <v>4978.5558900000015</v>
      </c>
      <c r="I10" s="142">
        <f t="shared" si="5"/>
        <v>5426.6259201000021</v>
      </c>
      <c r="J10" s="142">
        <f t="shared" si="5"/>
        <v>5806.4897345070021</v>
      </c>
      <c r="K10" s="143">
        <f t="shared" si="5"/>
        <v>6096.8142212323537</v>
      </c>
      <c r="L10" s="4"/>
    </row>
    <row r="11" spans="1:12" ht="14.25" customHeight="1">
      <c r="A11" s="4"/>
      <c r="B11" s="72" t="s">
        <v>37</v>
      </c>
      <c r="C11" s="140">
        <f>'Balance Sheet'!C18</f>
        <v>1057</v>
      </c>
      <c r="D11" s="140">
        <f>'Balance Sheet'!D18</f>
        <v>1180</v>
      </c>
      <c r="E11" s="140">
        <f>'Balance Sheet'!E18</f>
        <v>1393</v>
      </c>
      <c r="F11" s="140">
        <f>'Balance Sheet'!F18</f>
        <v>1671</v>
      </c>
      <c r="G11" s="186">
        <f t="shared" ref="G11:K13" si="6">G27*G$18</f>
        <v>1728.2294341420902</v>
      </c>
      <c r="H11" s="144">
        <f t="shared" si="6"/>
        <v>1896.5927200000006</v>
      </c>
      <c r="I11" s="144">
        <f t="shared" si="6"/>
        <v>2067.2860648000005</v>
      </c>
      <c r="J11" s="144">
        <f t="shared" si="6"/>
        <v>2211.9960893360008</v>
      </c>
      <c r="K11" s="145">
        <f t="shared" si="6"/>
        <v>2322.5958938028011</v>
      </c>
      <c r="L11" s="4"/>
    </row>
    <row r="12" spans="1:12" ht="14.25" customHeight="1">
      <c r="A12" s="4"/>
      <c r="B12" s="66" t="s">
        <v>38</v>
      </c>
      <c r="C12" s="139">
        <f>'Balance Sheet'!C19</f>
        <v>1624</v>
      </c>
      <c r="D12" s="139">
        <f>'Balance Sheet'!D19</f>
        <v>1711</v>
      </c>
      <c r="E12" s="139">
        <f>'Balance Sheet'!E19</f>
        <v>1851</v>
      </c>
      <c r="F12" s="139">
        <f>'Balance Sheet'!F19</f>
        <v>2042</v>
      </c>
      <c r="G12" s="185">
        <f t="shared" si="6"/>
        <v>2381.381646728039</v>
      </c>
      <c r="H12" s="142">
        <f t="shared" si="6"/>
        <v>2607.8149900000003</v>
      </c>
      <c r="I12" s="142">
        <f t="shared" si="6"/>
        <v>2842.5183391000005</v>
      </c>
      <c r="J12" s="142">
        <f t="shared" si="6"/>
        <v>3041.4946228370009</v>
      </c>
      <c r="K12" s="143">
        <f t="shared" si="6"/>
        <v>3193.5693539788513</v>
      </c>
      <c r="L12" s="4"/>
    </row>
    <row r="13" spans="1:12" ht="14.25" customHeight="1" thickBot="1">
      <c r="A13" s="4"/>
      <c r="B13" s="72" t="s">
        <v>39</v>
      </c>
      <c r="C13" s="140">
        <f>'Balance Sheet'!C21</f>
        <v>2924</v>
      </c>
      <c r="D13" s="140">
        <f>'Balance Sheet'!D21</f>
        <v>3792</v>
      </c>
      <c r="E13" s="140">
        <f>'Balance Sheet'!E21</f>
        <v>3728</v>
      </c>
      <c r="F13" s="140">
        <f>'Balance Sheet'!F21</f>
        <v>4561</v>
      </c>
      <c r="G13" s="186">
        <f t="shared" si="6"/>
        <v>4909.5847743137392</v>
      </c>
      <c r="H13" s="144">
        <f t="shared" si="6"/>
        <v>5452.7040700000016</v>
      </c>
      <c r="I13" s="144">
        <f t="shared" si="6"/>
        <v>5943.4474363000018</v>
      </c>
      <c r="J13" s="144">
        <f t="shared" si="6"/>
        <v>6359.4887568410022</v>
      </c>
      <c r="K13" s="145">
        <f t="shared" si="6"/>
        <v>6677.4631946830532</v>
      </c>
      <c r="L13" s="4"/>
    </row>
    <row r="14" spans="1:12" ht="14.25" customHeight="1">
      <c r="A14" s="4"/>
      <c r="B14" s="90" t="s">
        <v>40</v>
      </c>
      <c r="C14" s="154">
        <f t="shared" ref="C14:K14" si="7">SUM(C9:C13)</f>
        <v>19836</v>
      </c>
      <c r="D14" s="154">
        <f t="shared" si="7"/>
        <v>21538</v>
      </c>
      <c r="E14" s="154">
        <f t="shared" si="7"/>
        <v>24749</v>
      </c>
      <c r="F14" s="154">
        <f t="shared" si="7"/>
        <v>28642</v>
      </c>
      <c r="G14" s="189">
        <f>SUM(G9:G13)</f>
        <v>30996.923051146197</v>
      </c>
      <c r="H14" s="154">
        <f t="shared" si="7"/>
        <v>34132.611695558568</v>
      </c>
      <c r="I14" s="154">
        <f t="shared" si="7"/>
        <v>37204.546748158842</v>
      </c>
      <c r="J14" s="154">
        <f t="shared" si="7"/>
        <v>39808.865020529971</v>
      </c>
      <c r="K14" s="155">
        <f t="shared" si="7"/>
        <v>41799.308271556474</v>
      </c>
      <c r="L14" s="4"/>
    </row>
    <row r="15" spans="1:12" ht="14.25" customHeight="1">
      <c r="A15" s="4"/>
      <c r="B15" s="9"/>
      <c r="C15" s="46"/>
      <c r="D15" s="46"/>
      <c r="E15" s="46"/>
      <c r="F15" s="46"/>
      <c r="G15" s="227"/>
      <c r="H15" s="46"/>
      <c r="I15" s="46"/>
      <c r="J15" s="46"/>
      <c r="K15" s="46"/>
      <c r="L15" s="4"/>
    </row>
    <row r="16" spans="1:12" ht="22.05" customHeight="1">
      <c r="A16" s="4"/>
      <c r="B16" s="86" t="s">
        <v>19</v>
      </c>
      <c r="C16" s="128"/>
      <c r="D16" s="128"/>
      <c r="E16" s="128"/>
      <c r="F16" s="128"/>
      <c r="G16" s="228"/>
      <c r="H16" s="128"/>
      <c r="I16" s="128"/>
      <c r="J16" s="128"/>
      <c r="K16" s="128"/>
      <c r="L16" s="4"/>
    </row>
    <row r="17" spans="1:12" ht="22.05" customHeight="1" thickBot="1">
      <c r="A17" s="4"/>
      <c r="B17" s="69" t="s">
        <v>1</v>
      </c>
      <c r="C17" s="229">
        <v>43465</v>
      </c>
      <c r="D17" s="229">
        <v>43830</v>
      </c>
      <c r="E17" s="229">
        <v>44196</v>
      </c>
      <c r="F17" s="229">
        <v>44561</v>
      </c>
      <c r="G17" s="230">
        <v>44926</v>
      </c>
      <c r="H17" s="231">
        <v>45291</v>
      </c>
      <c r="I17" s="231">
        <v>45657</v>
      </c>
      <c r="J17" s="231">
        <v>46022</v>
      </c>
      <c r="K17" s="232">
        <v>46387</v>
      </c>
      <c r="L17" s="4"/>
    </row>
    <row r="18" spans="1:12" ht="14.25" customHeight="1">
      <c r="A18" s="4"/>
      <c r="B18" s="66" t="s">
        <v>2</v>
      </c>
      <c r="C18" s="114">
        <v>141576</v>
      </c>
      <c r="D18" s="139">
        <f>'Free Cash Flow'!C4</f>
        <v>152703</v>
      </c>
      <c r="E18" s="139">
        <f>'Free Cash Flow'!D4</f>
        <v>166761</v>
      </c>
      <c r="F18" s="139">
        <f>'Free Cash Flow'!E4</f>
        <v>195929</v>
      </c>
      <c r="G18" s="190">
        <f>'Free Cash Flow'!F4</f>
        <v>215521.90000000002</v>
      </c>
      <c r="H18" s="139">
        <f>'Free Cash Flow'!G4</f>
        <v>237074.09000000005</v>
      </c>
      <c r="I18" s="139">
        <f>'Free Cash Flow'!H4</f>
        <v>258410.75810000006</v>
      </c>
      <c r="J18" s="139">
        <f>'Free Cash Flow'!I4</f>
        <v>276499.51116700011</v>
      </c>
      <c r="K18" s="150">
        <f>'Free Cash Flow'!J4</f>
        <v>290324.48672535014</v>
      </c>
      <c r="L18" s="4"/>
    </row>
    <row r="19" spans="1:12" ht="14.25" customHeight="1">
      <c r="A19" s="4"/>
      <c r="B19" s="72" t="s">
        <v>3</v>
      </c>
      <c r="C19" s="149">
        <v>123152</v>
      </c>
      <c r="D19" s="140">
        <f>'Free Cash Flow'!C5</f>
        <v>132886</v>
      </c>
      <c r="E19" s="140">
        <f>'Free Cash Flow'!D5</f>
        <v>144939</v>
      </c>
      <c r="F19" s="140">
        <f>'Free Cash Flow'!E5</f>
        <v>170684</v>
      </c>
      <c r="G19" s="191">
        <f>'Free Cash Flow'!F5</f>
        <v>187541.37989690865</v>
      </c>
      <c r="H19" s="140">
        <f>'Free Cash Flow'!G5</f>
        <v>206295.51788659955</v>
      </c>
      <c r="I19" s="140">
        <f>'Free Cash Flow'!H5</f>
        <v>224862.11449639351</v>
      </c>
      <c r="J19" s="140">
        <f>'Free Cash Flow'!I5</f>
        <v>240602.46251114109</v>
      </c>
      <c r="K19" s="151">
        <f>'Free Cash Flow'!J5</f>
        <v>252632.58563669818</v>
      </c>
      <c r="L19" s="4"/>
    </row>
    <row r="20" spans="1:12" ht="14.25" customHeight="1">
      <c r="A20" s="4"/>
      <c r="B20" s="66"/>
      <c r="C20" s="9"/>
      <c r="D20" s="9"/>
      <c r="E20" s="9"/>
      <c r="F20" s="9"/>
      <c r="G20" s="181"/>
      <c r="H20" s="9"/>
      <c r="I20" s="9"/>
      <c r="J20" s="9"/>
      <c r="K20" s="97"/>
      <c r="L20" s="4"/>
    </row>
    <row r="21" spans="1:12" ht="14.25" customHeight="1">
      <c r="A21" s="4"/>
      <c r="B21" s="72" t="s">
        <v>41</v>
      </c>
      <c r="C21" s="156">
        <f>C4/C18*360</f>
        <v>4.2439396507882696</v>
      </c>
      <c r="D21" s="156">
        <f t="shared" ref="D21:F21" si="8">D4/D18*360</f>
        <v>3.6187894147462725</v>
      </c>
      <c r="E21" s="156">
        <f t="shared" si="8"/>
        <v>3.3461061039451674</v>
      </c>
      <c r="F21" s="156">
        <f t="shared" si="8"/>
        <v>3.3128327098081449</v>
      </c>
      <c r="G21" s="245">
        <f>3.6</f>
        <v>3.6</v>
      </c>
      <c r="H21" s="157">
        <f t="shared" ref="H21:K21" si="9">3.6</f>
        <v>3.6</v>
      </c>
      <c r="I21" s="157">
        <f t="shared" si="9"/>
        <v>3.6</v>
      </c>
      <c r="J21" s="157">
        <f t="shared" si="9"/>
        <v>3.6</v>
      </c>
      <c r="K21" s="246">
        <f t="shared" si="9"/>
        <v>3.6</v>
      </c>
      <c r="L21" s="4"/>
    </row>
    <row r="22" spans="1:12" ht="14.25" customHeight="1">
      <c r="A22" s="4"/>
      <c r="B22" s="66" t="s">
        <v>42</v>
      </c>
      <c r="C22" s="157">
        <f>C5/C19*360</f>
        <v>32.272313888527997</v>
      </c>
      <c r="D22" s="157">
        <f t="shared" ref="D22:F22" si="10">D5/D19*360</f>
        <v>30.870069081769337</v>
      </c>
      <c r="E22" s="157">
        <f t="shared" si="10"/>
        <v>30.406722828224286</v>
      </c>
      <c r="F22" s="157">
        <f>F5/F19*360</f>
        <v>29.981720606500904</v>
      </c>
      <c r="G22" s="199">
        <v>30.9</v>
      </c>
      <c r="H22" s="200">
        <v>30.9</v>
      </c>
      <c r="I22" s="200">
        <v>30.9</v>
      </c>
      <c r="J22" s="200">
        <v>30.9</v>
      </c>
      <c r="K22" s="201">
        <v>30.9</v>
      </c>
      <c r="L22" s="4"/>
    </row>
    <row r="23" spans="1:12" ht="14.25" customHeight="1">
      <c r="A23" s="4"/>
      <c r="B23" s="72" t="s">
        <v>43</v>
      </c>
      <c r="C23" s="156">
        <f>C9/C19*360</f>
        <v>32.848187605560611</v>
      </c>
      <c r="D23" s="156">
        <f t="shared" ref="D23:F23" si="11">D9/D19*360</f>
        <v>31.639450355944192</v>
      </c>
      <c r="E23" s="156">
        <f t="shared" si="11"/>
        <v>35.200463643325811</v>
      </c>
      <c r="F23" s="156">
        <f>F9/F19*360</f>
        <v>34.332919312882282</v>
      </c>
      <c r="G23" s="199">
        <v>33.5</v>
      </c>
      <c r="H23" s="200">
        <v>33.5</v>
      </c>
      <c r="I23" s="200">
        <v>33.5</v>
      </c>
      <c r="J23" s="200">
        <v>33.5</v>
      </c>
      <c r="K23" s="201">
        <v>33.5</v>
      </c>
      <c r="L23" s="4"/>
    </row>
    <row r="24" spans="1:12" ht="14.25" customHeight="1">
      <c r="A24" s="4"/>
      <c r="B24" s="66"/>
      <c r="C24" s="9"/>
      <c r="D24" s="9"/>
      <c r="E24" s="9"/>
      <c r="F24" s="9"/>
      <c r="G24" s="181"/>
      <c r="H24" s="9"/>
      <c r="I24" s="9"/>
      <c r="J24" s="9"/>
      <c r="K24" s="97"/>
      <c r="L24" s="4"/>
    </row>
    <row r="25" spans="1:12" ht="14.25" customHeight="1">
      <c r="A25" s="4"/>
      <c r="B25" s="72" t="s">
        <v>44</v>
      </c>
      <c r="C25" s="137">
        <f>C6/C18</f>
        <v>2.2673334463468382E-3</v>
      </c>
      <c r="D25" s="137">
        <f t="shared" ref="D25:F25" si="12">D6/D18</f>
        <v>7.2755610564298016E-3</v>
      </c>
      <c r="E25" s="137">
        <f t="shared" si="12"/>
        <v>6.1345278572328063E-3</v>
      </c>
      <c r="F25" s="137">
        <f t="shared" si="12"/>
        <v>6.6963032527088892E-3</v>
      </c>
      <c r="G25" s="184">
        <f>AVERAGE(C25:F25)</f>
        <v>5.5934314031795837E-3</v>
      </c>
      <c r="H25" s="135">
        <f>0.6%</f>
        <v>6.0000000000000001E-3</v>
      </c>
      <c r="I25" s="135">
        <f t="shared" ref="I25:K25" si="13">0.6%</f>
        <v>6.0000000000000001E-3</v>
      </c>
      <c r="J25" s="135">
        <f t="shared" si="13"/>
        <v>6.0000000000000001E-3</v>
      </c>
      <c r="K25" s="136">
        <f t="shared" si="13"/>
        <v>6.0000000000000001E-3</v>
      </c>
      <c r="L25" s="4"/>
    </row>
    <row r="26" spans="1:12" ht="14.25" customHeight="1">
      <c r="A26" s="4"/>
      <c r="B26" s="66" t="s">
        <v>45</v>
      </c>
      <c r="C26" s="135">
        <f>C10/C18</f>
        <v>2.1147652144431258E-2</v>
      </c>
      <c r="D26" s="135">
        <f t="shared" ref="D26:F26" si="14">D10/D18</f>
        <v>2.0798543578056751E-2</v>
      </c>
      <c r="E26" s="135">
        <f t="shared" si="14"/>
        <v>2.1617764345380514E-2</v>
      </c>
      <c r="F26" s="135">
        <f t="shared" si="14"/>
        <v>2.0874908767972072E-2</v>
      </c>
      <c r="G26" s="193">
        <v>2.1000000000000001E-2</v>
      </c>
      <c r="H26" s="194">
        <v>2.1000000000000001E-2</v>
      </c>
      <c r="I26" s="194">
        <v>2.1000000000000001E-2</v>
      </c>
      <c r="J26" s="194">
        <v>2.1000000000000001E-2</v>
      </c>
      <c r="K26" s="195">
        <v>2.1000000000000001E-2</v>
      </c>
      <c r="L26" s="4"/>
    </row>
    <row r="27" spans="1:12" ht="14.25" customHeight="1">
      <c r="A27" s="4"/>
      <c r="B27" s="72" t="s">
        <v>46</v>
      </c>
      <c r="C27" s="137">
        <f>C11/C18</f>
        <v>7.4659546815844489E-3</v>
      </c>
      <c r="D27" s="137">
        <f t="shared" ref="D27:F27" si="15">D11/D18</f>
        <v>7.7274185837868277E-3</v>
      </c>
      <c r="E27" s="137">
        <f t="shared" si="15"/>
        <v>8.3532720480208201E-3</v>
      </c>
      <c r="F27" s="137">
        <f t="shared" si="15"/>
        <v>8.5285996457900564E-3</v>
      </c>
      <c r="G27" s="184">
        <f>AVERAGE(C27:F27)</f>
        <v>8.0188112397955383E-3</v>
      </c>
      <c r="H27" s="194">
        <v>8.0000000000000002E-3</v>
      </c>
      <c r="I27" s="194">
        <v>8.0000000000000002E-3</v>
      </c>
      <c r="J27" s="194">
        <v>8.0000000000000002E-3</v>
      </c>
      <c r="K27" s="195">
        <v>8.0000000000000002E-3</v>
      </c>
      <c r="L27" s="4"/>
    </row>
    <row r="28" spans="1:12" ht="14.25" customHeight="1">
      <c r="A28" s="4"/>
      <c r="B28" s="66" t="s">
        <v>47</v>
      </c>
      <c r="C28" s="135">
        <f>C12/C18</f>
        <v>1.1470870769056903E-2</v>
      </c>
      <c r="D28" s="135">
        <f t="shared" ref="D28:F28" si="16">D12/D18</f>
        <v>1.1204756946490901E-2</v>
      </c>
      <c r="E28" s="135">
        <f t="shared" si="16"/>
        <v>1.1099717559861118E-2</v>
      </c>
      <c r="F28" s="135">
        <f t="shared" si="16"/>
        <v>1.0422142714963074E-2</v>
      </c>
      <c r="G28" s="184">
        <f>AVERAGE(C28:F28)</f>
        <v>1.1049371997593E-2</v>
      </c>
      <c r="H28" s="194">
        <v>1.0999999999999999E-2</v>
      </c>
      <c r="I28" s="194">
        <v>1.0999999999999999E-2</v>
      </c>
      <c r="J28" s="194">
        <v>1.0999999999999999E-2</v>
      </c>
      <c r="K28" s="195">
        <v>1.0999999999999999E-2</v>
      </c>
      <c r="L28" s="4"/>
    </row>
    <row r="29" spans="1:12" ht="14.25" customHeight="1">
      <c r="A29" s="4"/>
      <c r="B29" s="77" t="s">
        <v>48</v>
      </c>
      <c r="C29" s="148">
        <f>C13/C18</f>
        <v>2.0653218059558116E-2</v>
      </c>
      <c r="D29" s="148">
        <f t="shared" ref="D29:F29" si="17">D13/D18</f>
        <v>2.4832518025186146E-2</v>
      </c>
      <c r="E29" s="148">
        <f t="shared" si="17"/>
        <v>2.2355346873669503E-2</v>
      </c>
      <c r="F29" s="148">
        <f t="shared" si="17"/>
        <v>2.3278840804577167E-2</v>
      </c>
      <c r="G29" s="247">
        <f>AVERAGE(C29:F29)</f>
        <v>2.2779980940747731E-2</v>
      </c>
      <c r="H29" s="197">
        <v>2.3E-2</v>
      </c>
      <c r="I29" s="197">
        <v>2.3E-2</v>
      </c>
      <c r="J29" s="197">
        <v>2.3E-2</v>
      </c>
      <c r="K29" s="198">
        <v>2.3E-2</v>
      </c>
      <c r="L29" s="4"/>
    </row>
    <row r="30" spans="1:12" ht="14.25" customHeight="1">
      <c r="A30" s="4"/>
      <c r="B30" s="4"/>
      <c r="C30" s="4"/>
      <c r="D30" s="4"/>
      <c r="E30" s="4"/>
      <c r="F30" s="4"/>
      <c r="G30" s="4"/>
      <c r="H30" s="4"/>
      <c r="I30" s="4"/>
      <c r="J30" s="4"/>
      <c r="K30" s="4"/>
      <c r="L30" s="4"/>
    </row>
    <row r="31" spans="1:12" ht="14.25" customHeight="1"/>
    <row r="32" spans="1: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sheetPr>
  <dimension ref="A1:L1000"/>
  <sheetViews>
    <sheetView showGridLines="0" zoomScale="54" workbookViewId="0">
      <selection activeCell="AC12" sqref="AC12:AC13"/>
    </sheetView>
  </sheetViews>
  <sheetFormatPr baseColWidth="10" defaultColWidth="14.44140625" defaultRowHeight="15" customHeight="1"/>
  <cols>
    <col min="1" max="1" width="8.88671875" customWidth="1"/>
    <col min="2" max="2" width="36.109375" customWidth="1"/>
    <col min="3" max="3" width="16.33203125" customWidth="1"/>
    <col min="4" max="11" width="13.5546875" customWidth="1"/>
    <col min="12" max="26" width="8.88671875" customWidth="1"/>
  </cols>
  <sheetData>
    <row r="1" spans="1:12" ht="14.25" customHeight="1">
      <c r="A1" s="4"/>
      <c r="B1" s="4"/>
      <c r="C1" s="4"/>
      <c r="D1" s="4"/>
      <c r="E1" s="4"/>
      <c r="F1" s="4"/>
      <c r="G1" s="4"/>
      <c r="H1" s="4"/>
      <c r="I1" s="4"/>
      <c r="J1" s="4"/>
      <c r="K1" s="4"/>
      <c r="L1" s="4"/>
    </row>
    <row r="2" spans="1:12" ht="24" customHeight="1">
      <c r="A2" s="4"/>
      <c r="B2" s="85" t="s">
        <v>0</v>
      </c>
      <c r="C2" s="85"/>
      <c r="D2" s="85"/>
      <c r="E2" s="85"/>
      <c r="F2" s="85"/>
      <c r="G2" s="85"/>
      <c r="H2" s="85"/>
      <c r="I2" s="85"/>
      <c r="J2" s="85"/>
      <c r="K2" s="85"/>
      <c r="L2" s="4"/>
    </row>
    <row r="3" spans="1:12" ht="24" customHeight="1" thickBot="1">
      <c r="A3" s="4"/>
      <c r="B3" s="69" t="s">
        <v>1</v>
      </c>
      <c r="C3" s="91"/>
      <c r="D3" s="177">
        <v>43830</v>
      </c>
      <c r="E3" s="177">
        <v>44196</v>
      </c>
      <c r="F3" s="177">
        <v>44561</v>
      </c>
      <c r="G3" s="180">
        <v>44926</v>
      </c>
      <c r="H3" s="178">
        <v>45291</v>
      </c>
      <c r="I3" s="178">
        <v>45657</v>
      </c>
      <c r="J3" s="178">
        <v>46022</v>
      </c>
      <c r="K3" s="179">
        <v>46387</v>
      </c>
      <c r="L3" s="4"/>
    </row>
    <row r="4" spans="1:12" ht="14.25" customHeight="1">
      <c r="A4" s="4"/>
      <c r="B4" s="66" t="s">
        <v>18</v>
      </c>
      <c r="C4" s="46"/>
      <c r="D4" s="139">
        <f>'Free Cash Flow'!C21</f>
        <v>3158</v>
      </c>
      <c r="E4" s="139">
        <f>'Free Cash Flow'!D21</f>
        <v>2859</v>
      </c>
      <c r="F4" s="139">
        <f>'Free Cash Flow'!E21</f>
        <v>4698</v>
      </c>
      <c r="G4" s="190">
        <f>'Free Cash Flow'!F21</f>
        <v>3645.472376813867</v>
      </c>
      <c r="H4" s="139">
        <f>'Free Cash Flow'!G21</f>
        <v>4100.7944355881609</v>
      </c>
      <c r="I4" s="139">
        <f>'Free Cash Flow'!H21</f>
        <v>4529.3774265298853</v>
      </c>
      <c r="J4" s="139">
        <f>'Free Cash Flow'!I21</f>
        <v>4828.6939670634065</v>
      </c>
      <c r="K4" s="150">
        <f>'Free Cash Flow'!J21</f>
        <v>4963.3221445910267</v>
      </c>
      <c r="L4" s="4"/>
    </row>
    <row r="5" spans="1:12" ht="14.25" customHeight="1">
      <c r="A5" s="4"/>
      <c r="B5" s="72"/>
      <c r="C5" s="98"/>
      <c r="D5" s="73"/>
      <c r="E5" s="73"/>
      <c r="F5" s="73"/>
      <c r="G5" s="217"/>
      <c r="H5" s="73"/>
      <c r="I5" s="73"/>
      <c r="J5" s="73"/>
      <c r="K5" s="101"/>
      <c r="L5" s="4"/>
    </row>
    <row r="6" spans="1:12" ht="14.25" customHeight="1">
      <c r="A6" s="4"/>
      <c r="B6" s="66" t="s">
        <v>49</v>
      </c>
      <c r="C6" s="9"/>
      <c r="D6" s="46"/>
      <c r="E6" s="46"/>
      <c r="F6" s="46"/>
      <c r="G6" s="233">
        <v>1</v>
      </c>
      <c r="H6" s="114">
        <v>2</v>
      </c>
      <c r="I6" s="114">
        <v>3</v>
      </c>
      <c r="J6" s="114">
        <v>4</v>
      </c>
      <c r="K6" s="170">
        <v>5</v>
      </c>
      <c r="L6" s="4"/>
    </row>
    <row r="7" spans="1:12" ht="14.25" customHeight="1">
      <c r="A7" s="4"/>
      <c r="B7" s="111" t="s">
        <v>50</v>
      </c>
      <c r="C7" s="112"/>
      <c r="D7" s="113"/>
      <c r="E7" s="113"/>
      <c r="F7" s="113"/>
      <c r="G7" s="192">
        <f>G4/(1+$C$12)^(G6)</f>
        <v>3431.5086318072563</v>
      </c>
      <c r="H7" s="160">
        <f t="shared" ref="H7:K7" si="0">H4/(1+$C$12)^(H6)</f>
        <v>3633.5452028333357</v>
      </c>
      <c r="I7" s="160">
        <f t="shared" si="0"/>
        <v>3777.7425959359339</v>
      </c>
      <c r="J7" s="160">
        <f t="shared" si="0"/>
        <v>3791.00901532127</v>
      </c>
      <c r="K7" s="161">
        <f t="shared" si="0"/>
        <v>3667.9962549361267</v>
      </c>
      <c r="L7" s="4"/>
    </row>
    <row r="8" spans="1:12" ht="14.25" customHeight="1">
      <c r="A8" s="4"/>
      <c r="B8" s="9"/>
      <c r="C8" s="9"/>
      <c r="D8" s="9"/>
      <c r="E8" s="9"/>
      <c r="F8" s="9"/>
      <c r="G8" s="9"/>
      <c r="H8" s="9"/>
      <c r="I8" s="9"/>
      <c r="J8" s="9"/>
      <c r="K8" s="9"/>
      <c r="L8" s="4"/>
    </row>
    <row r="9" spans="1:12" ht="22.95" customHeight="1">
      <c r="A9" s="4"/>
      <c r="B9" s="105" t="s">
        <v>51</v>
      </c>
      <c r="C9" s="106"/>
      <c r="D9" s="9"/>
      <c r="E9" s="105" t="s">
        <v>52</v>
      </c>
      <c r="F9" s="106"/>
      <c r="G9" s="106"/>
      <c r="H9" s="106"/>
      <c r="I9" s="106"/>
      <c r="J9" s="106"/>
      <c r="K9" s="106"/>
      <c r="L9" s="4"/>
    </row>
    <row r="10" spans="1:12" ht="14.25" customHeight="1">
      <c r="A10" s="4"/>
      <c r="B10" s="9" t="s">
        <v>53</v>
      </c>
      <c r="C10" s="142">
        <f>SUM(G7:K7)</f>
        <v>18301.801700833923</v>
      </c>
      <c r="D10" s="9"/>
      <c r="E10" s="9"/>
      <c r="F10" s="9"/>
      <c r="G10" s="9"/>
      <c r="H10" s="9"/>
      <c r="I10" s="9"/>
      <c r="J10" s="9"/>
      <c r="K10" s="9"/>
      <c r="L10" s="4"/>
    </row>
    <row r="11" spans="1:12" ht="14.25" customHeight="1">
      <c r="A11" s="4"/>
      <c r="B11" s="9" t="s">
        <v>54</v>
      </c>
      <c r="C11" s="194">
        <v>0.03</v>
      </c>
      <c r="D11" s="9"/>
      <c r="E11" s="9"/>
      <c r="F11" s="9"/>
      <c r="G11" s="105" t="s">
        <v>54</v>
      </c>
      <c r="H11" s="106"/>
      <c r="I11" s="106"/>
      <c r="J11" s="106"/>
      <c r="K11" s="106"/>
      <c r="L11" s="4"/>
    </row>
    <row r="12" spans="1:12" ht="15" customHeight="1" thickBot="1">
      <c r="A12" s="4"/>
      <c r="B12" s="9" t="s">
        <v>55</v>
      </c>
      <c r="C12" s="159">
        <f>WACC!C18</f>
        <v>6.2352675736655094E-2</v>
      </c>
      <c r="D12" s="9"/>
      <c r="E12" s="9"/>
      <c r="F12" s="162">
        <f>C21</f>
        <v>242.72775084583165</v>
      </c>
      <c r="G12" s="202">
        <v>0.02</v>
      </c>
      <c r="H12" s="202">
        <v>2.5000000000000001E-2</v>
      </c>
      <c r="I12" s="248">
        <f>C11</f>
        <v>0.03</v>
      </c>
      <c r="J12" s="248">
        <f>3.5%</f>
        <v>3.5000000000000003E-2</v>
      </c>
      <c r="K12" s="203">
        <v>0.04</v>
      </c>
      <c r="L12" s="4"/>
    </row>
    <row r="13" spans="1:12" ht="14.25" customHeight="1">
      <c r="A13" s="4"/>
      <c r="B13" s="9" t="s">
        <v>56</v>
      </c>
      <c r="C13" s="142">
        <f>K7*(1+C11)/(C12-C11)</f>
        <v>116776.62068314654</v>
      </c>
      <c r="D13" s="9"/>
      <c r="E13" s="107" t="s">
        <v>55</v>
      </c>
      <c r="F13" s="204">
        <v>5.2400000000000002E-2</v>
      </c>
      <c r="G13" s="250">
        <f t="dataTable" ref="G13:K17" dt2D="1" dtr="1" r1="C11" r2="C12"/>
        <v>260.71364248429524</v>
      </c>
      <c r="H13" s="250">
        <v>300.44176720254609</v>
      </c>
      <c r="I13" s="250">
        <v>300.44176720254609</v>
      </c>
      <c r="J13" s="250">
        <v>448.39478339465296</v>
      </c>
      <c r="K13" s="251">
        <v>611.85900289722258</v>
      </c>
      <c r="L13" s="4"/>
    </row>
    <row r="14" spans="1:12" ht="14.25" customHeight="1" thickBot="1">
      <c r="A14" s="4"/>
      <c r="B14" s="9" t="s">
        <v>57</v>
      </c>
      <c r="C14" s="142">
        <f>C13/(1+C12)^K6</f>
        <v>86300.303476507994</v>
      </c>
      <c r="D14" s="46"/>
      <c r="E14" s="106"/>
      <c r="F14" s="204">
        <v>5.74E-2</v>
      </c>
      <c r="G14" s="252">
        <v>223.43398206550123</v>
      </c>
      <c r="H14" s="252">
        <v>251.32413054337775</v>
      </c>
      <c r="I14" s="252">
        <v>251.32413054337775</v>
      </c>
      <c r="J14" s="252">
        <v>344.45730492485831</v>
      </c>
      <c r="K14" s="253">
        <v>431.16750176278856</v>
      </c>
      <c r="L14" s="4"/>
    </row>
    <row r="15" spans="1:12" ht="14.25" customHeight="1" thickBot="1">
      <c r="A15" s="4"/>
      <c r="B15" s="87" t="s">
        <v>58</v>
      </c>
      <c r="C15" s="163">
        <f>C14+C10</f>
        <v>104602.10517734192</v>
      </c>
      <c r="D15" s="9"/>
      <c r="E15" s="106"/>
      <c r="F15" s="164">
        <f>C12</f>
        <v>6.2352675736655094E-2</v>
      </c>
      <c r="G15" s="250">
        <v>223.43398206550123</v>
      </c>
      <c r="H15" s="250">
        <v>251.32413054337775</v>
      </c>
      <c r="I15" s="250">
        <v>251.32413054337775</v>
      </c>
      <c r="J15" s="250">
        <v>344.45730492485831</v>
      </c>
      <c r="K15" s="251">
        <v>431.16750176278856</v>
      </c>
      <c r="L15" s="4"/>
    </row>
    <row r="16" spans="1:12" ht="14.25" customHeight="1">
      <c r="A16" s="4"/>
      <c r="B16" s="84" t="s">
        <v>59</v>
      </c>
      <c r="C16" s="139">
        <f>'Balance Sheet'!F4</f>
        <v>11258</v>
      </c>
      <c r="D16" s="9"/>
      <c r="E16" s="106"/>
      <c r="F16" s="204">
        <v>6.7400000000000002E-2</v>
      </c>
      <c r="G16" s="252">
        <v>173.12083099841243</v>
      </c>
      <c r="H16" s="252">
        <v>188.57096351935763</v>
      </c>
      <c r="I16" s="252">
        <v>188.57096351935763</v>
      </c>
      <c r="J16" s="252">
        <v>233.77690682138248</v>
      </c>
      <c r="K16" s="253">
        <v>268.75376806236522</v>
      </c>
      <c r="L16" s="4"/>
    </row>
    <row r="17" spans="1:12" ht="14.25" customHeight="1">
      <c r="A17" s="4"/>
      <c r="B17" s="84" t="s">
        <v>60</v>
      </c>
      <c r="C17" s="139">
        <f>WACC!C4</f>
        <v>7491</v>
      </c>
      <c r="D17" s="9"/>
      <c r="E17" s="106"/>
      <c r="F17" s="205">
        <v>7.2400000000000006E-2</v>
      </c>
      <c r="G17" s="254">
        <v>155.43433566206446</v>
      </c>
      <c r="H17" s="254">
        <v>167.42105445325271</v>
      </c>
      <c r="I17" s="254">
        <v>167.42105445325271</v>
      </c>
      <c r="J17" s="254">
        <v>201.0095071087749</v>
      </c>
      <c r="K17" s="255">
        <v>225.57883821790688</v>
      </c>
      <c r="L17" s="4"/>
    </row>
    <row r="18" spans="1:12" ht="14.25" customHeight="1" thickBot="1">
      <c r="A18" s="4"/>
      <c r="B18" s="84" t="s">
        <v>61</v>
      </c>
      <c r="C18" s="139">
        <f>'Balance Sheet'!F35</f>
        <v>514</v>
      </c>
      <c r="D18" s="9"/>
      <c r="E18" s="9"/>
      <c r="F18" s="9"/>
      <c r="G18" s="9"/>
      <c r="H18" s="9"/>
      <c r="I18" s="9"/>
      <c r="J18" s="9"/>
      <c r="K18" s="9"/>
      <c r="L18" s="4"/>
    </row>
    <row r="19" spans="1:12" ht="14.25" customHeight="1" thickBot="1">
      <c r="A19" s="4"/>
      <c r="B19" s="87" t="s">
        <v>62</v>
      </c>
      <c r="C19" s="163">
        <f>C15+C16-C17-C18</f>
        <v>107855.10517734192</v>
      </c>
      <c r="D19" s="9"/>
      <c r="E19" s="9"/>
      <c r="F19" s="9"/>
      <c r="G19" s="9"/>
      <c r="H19" s="9"/>
      <c r="I19" s="9"/>
      <c r="J19" s="9"/>
      <c r="K19" s="9"/>
      <c r="L19" s="4"/>
    </row>
    <row r="20" spans="1:12" ht="14.25" customHeight="1" thickBot="1">
      <c r="A20" s="4"/>
      <c r="B20" s="9" t="s">
        <v>63</v>
      </c>
      <c r="C20" s="158">
        <v>444.346</v>
      </c>
      <c r="D20" s="9"/>
      <c r="E20" s="9"/>
      <c r="F20" s="9"/>
      <c r="G20" s="9"/>
      <c r="H20" s="9"/>
      <c r="I20" s="9"/>
      <c r="J20" s="9"/>
      <c r="K20" s="9"/>
      <c r="L20" s="4"/>
    </row>
    <row r="21" spans="1:12" ht="14.25" customHeight="1" thickTop="1" thickBot="1">
      <c r="A21" s="4"/>
      <c r="B21" s="238" t="s">
        <v>64</v>
      </c>
      <c r="C21" s="249">
        <f>C19/C20</f>
        <v>242.72775084583165</v>
      </c>
      <c r="D21" s="9"/>
      <c r="E21" s="9"/>
      <c r="F21" s="9"/>
      <c r="G21" s="9"/>
      <c r="H21" s="9"/>
      <c r="I21" s="9"/>
      <c r="J21" s="9"/>
      <c r="K21" s="9"/>
      <c r="L21" s="4"/>
    </row>
    <row r="22" spans="1:12" ht="14.25" customHeight="1">
      <c r="A22" s="4"/>
      <c r="B22" s="9"/>
      <c r="C22" s="9"/>
      <c r="D22" s="9"/>
      <c r="E22" s="9"/>
      <c r="F22" s="9"/>
      <c r="G22" s="9"/>
      <c r="H22" s="9"/>
      <c r="I22" s="9"/>
      <c r="J22" s="9"/>
      <c r="K22" s="9"/>
      <c r="L22" s="4"/>
    </row>
    <row r="23" spans="1:12" ht="14.25" customHeight="1">
      <c r="A23" s="4"/>
      <c r="B23" s="9"/>
      <c r="C23" s="9"/>
      <c r="D23" s="9"/>
      <c r="E23" s="9"/>
      <c r="F23" s="9"/>
      <c r="G23" s="9"/>
      <c r="H23" s="9"/>
      <c r="I23" s="9"/>
      <c r="J23" s="9"/>
      <c r="K23" s="9"/>
      <c r="L23" s="4"/>
    </row>
    <row r="24" spans="1:12" ht="22.05" customHeight="1">
      <c r="A24" s="4"/>
      <c r="B24" s="9"/>
      <c r="C24" s="9"/>
      <c r="D24" s="9"/>
      <c r="E24" s="108" t="s">
        <v>244</v>
      </c>
      <c r="F24" s="109"/>
      <c r="G24" s="109"/>
      <c r="H24" s="110"/>
      <c r="I24" s="9"/>
      <c r="J24" s="9"/>
      <c r="K24" s="9"/>
      <c r="L24" s="4"/>
    </row>
    <row r="25" spans="1:12" ht="14.25" customHeight="1">
      <c r="A25" s="4"/>
      <c r="B25" s="4"/>
      <c r="C25" s="4"/>
      <c r="D25" s="4"/>
      <c r="E25" s="4"/>
      <c r="F25" s="4"/>
      <c r="G25" s="4"/>
      <c r="H25" s="4"/>
      <c r="I25" s="4"/>
      <c r="J25" s="4"/>
      <c r="K25" s="4"/>
      <c r="L25" s="4"/>
    </row>
    <row r="26" spans="1:12" ht="14.25" customHeight="1"/>
    <row r="27" spans="1:12" ht="14.25" customHeight="1"/>
    <row r="28" spans="1:12" ht="14.25" customHeight="1"/>
    <row r="29" spans="1:12" ht="14.25" customHeight="1"/>
    <row r="30" spans="1:12" ht="14.25" customHeight="1"/>
    <row r="31" spans="1:12" ht="14.25" customHeight="1"/>
    <row r="32" spans="1: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9:C9"/>
    <mergeCell ref="E9:K9"/>
    <mergeCell ref="G11:K11"/>
    <mergeCell ref="E13:E17"/>
    <mergeCell ref="E24:H24"/>
  </mergeCells>
  <pageMargins left="0.7" right="0.7" top="0.75" bottom="0.75" header="0" footer="0"/>
  <pageSetup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8"/>
  </sheetPr>
  <dimension ref="A1:J1000"/>
  <sheetViews>
    <sheetView showGridLines="0" zoomScale="51" workbookViewId="0">
      <selection activeCell="P27" sqref="P27"/>
    </sheetView>
  </sheetViews>
  <sheetFormatPr baseColWidth="10" defaultColWidth="14.44140625" defaultRowHeight="15" customHeight="1"/>
  <cols>
    <col min="1" max="1" width="8.88671875" customWidth="1"/>
    <col min="2" max="2" width="43.5546875" customWidth="1"/>
    <col min="3" max="3" width="15.77734375" customWidth="1"/>
    <col min="4" max="9" width="13.88671875" customWidth="1"/>
    <col min="10" max="26" width="8.88671875" customWidth="1"/>
  </cols>
  <sheetData>
    <row r="1" spans="1:10" ht="14.25" customHeight="1">
      <c r="A1" s="4"/>
      <c r="B1" s="4"/>
      <c r="C1" s="4"/>
      <c r="D1" s="4"/>
      <c r="E1" s="4"/>
      <c r="F1" s="4"/>
      <c r="G1" s="4"/>
      <c r="H1" s="4"/>
      <c r="I1" s="4"/>
      <c r="J1" s="4"/>
    </row>
    <row r="2" spans="1:10" ht="27" customHeight="1">
      <c r="A2" s="4"/>
      <c r="B2" s="115" t="s">
        <v>65</v>
      </c>
      <c r="C2" s="116"/>
      <c r="D2" s="85"/>
      <c r="E2" s="85"/>
      <c r="F2" s="85"/>
      <c r="G2" s="85"/>
      <c r="H2" s="85"/>
      <c r="I2" s="85"/>
      <c r="J2" s="4"/>
    </row>
    <row r="3" spans="1:10" ht="14.25" customHeight="1">
      <c r="A3" s="4"/>
      <c r="B3" s="117" t="s">
        <v>66</v>
      </c>
      <c r="C3" s="165">
        <v>214560</v>
      </c>
      <c r="D3" s="9"/>
      <c r="E3" s="9"/>
      <c r="F3" s="9"/>
      <c r="G3" s="9"/>
      <c r="H3" s="9"/>
      <c r="I3" s="9"/>
      <c r="J3" s="4"/>
    </row>
    <row r="4" spans="1:10" ht="14.25" customHeight="1">
      <c r="A4" s="4"/>
      <c r="B4" s="118" t="s">
        <v>67</v>
      </c>
      <c r="C4" s="166">
        <f>SUM('Balance Sheet'!F20,'Balance Sheet'!F24)</f>
        <v>7491</v>
      </c>
      <c r="D4" s="9"/>
      <c r="E4" s="122" t="s">
        <v>173</v>
      </c>
      <c r="F4" s="123"/>
      <c r="G4" s="123"/>
      <c r="H4" s="123"/>
      <c r="I4" s="124"/>
      <c r="J4" s="4"/>
    </row>
    <row r="5" spans="1:10" ht="14.25" customHeight="1">
      <c r="A5" s="4"/>
      <c r="B5" s="118"/>
      <c r="C5" s="120"/>
      <c r="D5" s="9"/>
      <c r="E5" s="125"/>
      <c r="F5" s="126"/>
      <c r="G5" s="126"/>
      <c r="H5" s="126"/>
      <c r="I5" s="127"/>
      <c r="J5" s="4"/>
    </row>
    <row r="6" spans="1:10" ht="14.25" customHeight="1">
      <c r="A6" s="4"/>
      <c r="B6" s="118" t="s">
        <v>68</v>
      </c>
      <c r="C6" s="206">
        <f>-'Income Statement'!E13/WACC!C4</f>
        <v>2.2827392871445733E-2</v>
      </c>
      <c r="D6" s="9"/>
      <c r="E6" s="9"/>
      <c r="F6" s="9"/>
      <c r="G6" s="9"/>
      <c r="H6" s="9"/>
      <c r="I6" s="9"/>
      <c r="J6" s="4"/>
    </row>
    <row r="7" spans="1:10" ht="14.25" customHeight="1">
      <c r="A7" s="4"/>
      <c r="B7" s="118" t="s">
        <v>69</v>
      </c>
      <c r="C7" s="207">
        <v>0.21</v>
      </c>
      <c r="D7" s="9"/>
      <c r="E7" s="9"/>
      <c r="F7" s="9"/>
      <c r="G7" s="9"/>
      <c r="H7" s="9"/>
      <c r="I7" s="9"/>
      <c r="J7" s="4"/>
    </row>
    <row r="8" spans="1:10" ht="14.25" customHeight="1">
      <c r="A8" s="4"/>
      <c r="B8" s="118" t="s">
        <v>70</v>
      </c>
      <c r="C8" s="167">
        <f>C4/(C4+C3)</f>
        <v>3.3735493197508681E-2</v>
      </c>
      <c r="D8" s="9"/>
      <c r="E8" s="9"/>
      <c r="F8" s="9"/>
      <c r="G8" s="9"/>
      <c r="H8" s="9"/>
      <c r="I8" s="9"/>
      <c r="J8" s="4"/>
    </row>
    <row r="9" spans="1:10" ht="14.25" customHeight="1">
      <c r="A9" s="4"/>
      <c r="B9" s="119" t="s">
        <v>71</v>
      </c>
      <c r="C9" s="234">
        <f>C6*(1-C7)</f>
        <v>1.8033640368442131E-2</v>
      </c>
      <c r="D9" s="9"/>
      <c r="E9" s="9"/>
      <c r="F9" s="9"/>
      <c r="G9" s="9"/>
      <c r="H9" s="9"/>
      <c r="I9" s="9"/>
      <c r="J9" s="4"/>
    </row>
    <row r="10" spans="1:10" ht="22.05" customHeight="1">
      <c r="A10" s="4"/>
      <c r="B10" s="121" t="s">
        <v>245</v>
      </c>
      <c r="C10" s="235"/>
      <c r="D10" s="9"/>
      <c r="E10" s="9"/>
      <c r="F10" s="9"/>
      <c r="G10" s="9"/>
      <c r="H10" s="9"/>
      <c r="I10" s="9"/>
      <c r="J10" s="4"/>
    </row>
    <row r="11" spans="1:10" ht="14.25" customHeight="1">
      <c r="A11" s="4"/>
      <c r="B11" s="117" t="s">
        <v>72</v>
      </c>
      <c r="C11" s="208">
        <v>3.1E-2</v>
      </c>
      <c r="D11" s="9"/>
      <c r="E11" s="9"/>
      <c r="F11" s="9"/>
      <c r="G11" s="9"/>
      <c r="H11" s="9"/>
      <c r="I11" s="9"/>
      <c r="J11" s="4"/>
    </row>
    <row r="12" spans="1:10" ht="14.25" customHeight="1">
      <c r="A12" s="4"/>
      <c r="B12" s="118" t="s">
        <v>73</v>
      </c>
      <c r="C12" s="207">
        <v>7.8E-2</v>
      </c>
      <c r="D12" s="9"/>
      <c r="E12" s="9"/>
      <c r="F12" s="9"/>
      <c r="G12" s="9"/>
      <c r="H12" s="9"/>
      <c r="I12" s="9"/>
      <c r="J12" s="4"/>
    </row>
    <row r="13" spans="1:10" ht="14.25" customHeight="1">
      <c r="A13" s="4"/>
      <c r="B13" s="118" t="s">
        <v>74</v>
      </c>
      <c r="C13" s="167">
        <f>C12-C11</f>
        <v>4.7E-2</v>
      </c>
      <c r="D13" s="9"/>
      <c r="E13" s="9"/>
      <c r="F13" s="9"/>
      <c r="G13" s="9"/>
      <c r="H13" s="9"/>
      <c r="I13" s="9"/>
      <c r="J13" s="4"/>
    </row>
    <row r="14" spans="1:10" ht="14.25" customHeight="1">
      <c r="A14" s="4"/>
      <c r="B14" s="118" t="s">
        <v>75</v>
      </c>
      <c r="C14" s="236">
        <v>0.7</v>
      </c>
      <c r="D14" s="9"/>
      <c r="E14" s="9"/>
      <c r="F14" s="9"/>
      <c r="G14" s="9"/>
      <c r="H14" s="9"/>
      <c r="I14" s="9"/>
      <c r="J14" s="4"/>
    </row>
    <row r="15" spans="1:10" ht="14.25" customHeight="1">
      <c r="A15" s="4"/>
      <c r="B15" s="118" t="s">
        <v>76</v>
      </c>
      <c r="C15" s="167">
        <f>C3/(C3+C4)</f>
        <v>0.96626450680249132</v>
      </c>
      <c r="D15" s="9"/>
      <c r="E15" s="9"/>
      <c r="F15" s="9"/>
      <c r="G15" s="9"/>
      <c r="H15" s="9"/>
      <c r="I15" s="9"/>
      <c r="J15" s="4"/>
    </row>
    <row r="16" spans="1:10" ht="14.25" customHeight="1">
      <c r="A16" s="4"/>
      <c r="B16" s="119" t="s">
        <v>77</v>
      </c>
      <c r="C16" s="168">
        <f>C11+(C14*C13)</f>
        <v>6.3899999999999998E-2</v>
      </c>
      <c r="D16" s="9"/>
      <c r="E16" s="9"/>
      <c r="F16" s="9"/>
      <c r="G16" s="9"/>
      <c r="H16" s="9"/>
      <c r="I16" s="9"/>
      <c r="J16" s="4"/>
    </row>
    <row r="17" spans="1:10" ht="24" customHeight="1" thickBot="1">
      <c r="A17" s="4"/>
      <c r="B17" s="9"/>
      <c r="C17" s="9"/>
      <c r="D17" s="9"/>
      <c r="E17" s="9"/>
      <c r="F17" s="108" t="s">
        <v>246</v>
      </c>
      <c r="G17" s="109"/>
      <c r="H17" s="110"/>
      <c r="I17" s="9"/>
      <c r="J17" s="4"/>
    </row>
    <row r="18" spans="1:10" ht="14.25" customHeight="1" thickTop="1" thickBot="1">
      <c r="A18" s="4"/>
      <c r="B18" s="238" t="s">
        <v>55</v>
      </c>
      <c r="C18" s="243">
        <f>C16*C15+C8*C9</f>
        <v>6.2352675736655094E-2</v>
      </c>
      <c r="D18" s="9"/>
      <c r="E18" s="9"/>
      <c r="F18" s="9"/>
      <c r="G18" s="9"/>
      <c r="H18" s="9"/>
      <c r="I18" s="9"/>
      <c r="J18" s="4"/>
    </row>
    <row r="19" spans="1:10" ht="14.25" customHeight="1">
      <c r="A19" s="4"/>
      <c r="B19" s="4"/>
      <c r="C19" s="4"/>
      <c r="D19" s="4"/>
      <c r="E19" s="4"/>
      <c r="F19" s="4"/>
      <c r="G19" s="4"/>
      <c r="H19" s="4"/>
      <c r="I19" s="4"/>
      <c r="J19" s="4"/>
    </row>
    <row r="20" spans="1:10" ht="14.25" customHeight="1"/>
    <row r="21" spans="1:10" ht="14.25" customHeight="1"/>
    <row r="22" spans="1:10" ht="14.25" customHeight="1"/>
    <row r="23" spans="1:10" ht="14.25" customHeight="1"/>
    <row r="24" spans="1:10" ht="14.25" customHeight="1"/>
    <row r="25" spans="1:10" ht="14.25" customHeight="1"/>
    <row r="26" spans="1:10" ht="14.25" customHeight="1"/>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2:C2"/>
    <mergeCell ref="E4:I5"/>
    <mergeCell ref="F17:H17"/>
    <mergeCell ref="B10:C10"/>
  </mergeCells>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5A5A5"/>
  </sheetPr>
  <dimension ref="A1:G1000"/>
  <sheetViews>
    <sheetView showGridLines="0" topLeftCell="B1" workbookViewId="0">
      <selection activeCell="D28" sqref="D28"/>
    </sheetView>
  </sheetViews>
  <sheetFormatPr baseColWidth="10" defaultColWidth="14.44140625" defaultRowHeight="15" customHeight="1"/>
  <cols>
    <col min="1" max="1" width="8.88671875" customWidth="1"/>
    <col min="2" max="2" width="49.109375" customWidth="1"/>
    <col min="3" max="5" width="17" customWidth="1"/>
    <col min="6" max="6" width="15.44140625" customWidth="1"/>
    <col min="7" max="26" width="8.88671875" customWidth="1"/>
  </cols>
  <sheetData>
    <row r="1" spans="1:7" ht="14.25" customHeight="1">
      <c r="A1" s="4"/>
      <c r="B1" s="4"/>
      <c r="C1" s="4"/>
      <c r="D1" s="4"/>
      <c r="E1" s="4"/>
      <c r="F1" s="4"/>
    </row>
    <row r="2" spans="1:7" ht="24" customHeight="1">
      <c r="A2" s="4"/>
      <c r="B2" s="85" t="s">
        <v>78</v>
      </c>
      <c r="C2" s="85"/>
      <c r="D2" s="85"/>
      <c r="E2" s="85"/>
      <c r="F2" s="4"/>
    </row>
    <row r="3" spans="1:7" ht="24" customHeight="1" thickBot="1">
      <c r="A3" s="4"/>
      <c r="B3" s="69"/>
      <c r="C3" s="129" t="s">
        <v>79</v>
      </c>
      <c r="D3" s="129" t="s">
        <v>80</v>
      </c>
      <c r="E3" s="130" t="s">
        <v>81</v>
      </c>
      <c r="F3" s="4"/>
    </row>
    <row r="4" spans="1:7" ht="14.25" customHeight="1" thickBot="1">
      <c r="A4" s="4"/>
      <c r="B4" s="92" t="s">
        <v>82</v>
      </c>
      <c r="C4" s="43"/>
      <c r="D4" s="43"/>
      <c r="E4" s="102"/>
      <c r="F4" s="4"/>
    </row>
    <row r="5" spans="1:7" ht="14.25" customHeight="1" thickBot="1">
      <c r="A5" s="4"/>
      <c r="B5" s="103" t="s">
        <v>83</v>
      </c>
      <c r="C5" s="171">
        <v>152703</v>
      </c>
      <c r="D5" s="171">
        <v>166761</v>
      </c>
      <c r="E5" s="172">
        <v>195929</v>
      </c>
      <c r="F5" s="4"/>
    </row>
    <row r="6" spans="1:7" ht="14.25" customHeight="1">
      <c r="A6" s="4"/>
      <c r="B6" s="92" t="s">
        <v>84</v>
      </c>
      <c r="C6" s="100"/>
      <c r="D6" s="100"/>
      <c r="E6" s="131"/>
      <c r="F6" s="4"/>
    </row>
    <row r="7" spans="1:7" ht="14.25" customHeight="1">
      <c r="A7" s="4"/>
      <c r="B7" s="72" t="s">
        <v>85</v>
      </c>
      <c r="C7" s="149">
        <v>132886</v>
      </c>
      <c r="D7" s="149">
        <v>144939</v>
      </c>
      <c r="E7" s="169">
        <v>170684</v>
      </c>
      <c r="F7" s="4"/>
    </row>
    <row r="8" spans="1:7" ht="14.25" customHeight="1">
      <c r="A8" s="4"/>
      <c r="B8" s="66" t="s">
        <v>86</v>
      </c>
      <c r="C8" s="114">
        <v>13502</v>
      </c>
      <c r="D8" s="114">
        <v>14687</v>
      </c>
      <c r="E8" s="170">
        <v>16680</v>
      </c>
      <c r="F8" s="4"/>
      <c r="G8" s="2"/>
    </row>
    <row r="9" spans="1:7" ht="14.25" customHeight="1">
      <c r="A9" s="4"/>
      <c r="B9" s="72" t="s">
        <v>9</v>
      </c>
      <c r="C9" s="149">
        <v>1492</v>
      </c>
      <c r="D9" s="149">
        <v>1645</v>
      </c>
      <c r="E9" s="169">
        <v>1781</v>
      </c>
      <c r="F9" s="4"/>
    </row>
    <row r="10" spans="1:7" ht="14.25" customHeight="1" thickBot="1">
      <c r="A10" s="4"/>
      <c r="B10" s="66" t="s">
        <v>87</v>
      </c>
      <c r="C10" s="114">
        <v>86</v>
      </c>
      <c r="D10" s="114">
        <v>55</v>
      </c>
      <c r="E10" s="170">
        <v>76</v>
      </c>
      <c r="F10" s="4"/>
    </row>
    <row r="11" spans="1:7" ht="14.25" customHeight="1" thickBot="1">
      <c r="A11" s="4"/>
      <c r="B11" s="103" t="s">
        <v>88</v>
      </c>
      <c r="C11" s="171">
        <v>4737</v>
      </c>
      <c r="D11" s="171">
        <v>5435</v>
      </c>
      <c r="E11" s="172">
        <v>6708</v>
      </c>
      <c r="F11" s="4"/>
    </row>
    <row r="12" spans="1:7" ht="14.25" customHeight="1">
      <c r="A12" s="4"/>
      <c r="B12" s="92" t="s">
        <v>89</v>
      </c>
      <c r="C12" s="100"/>
      <c r="D12" s="100"/>
      <c r="E12" s="131"/>
      <c r="F12" s="4"/>
    </row>
    <row r="13" spans="1:7" ht="14.25" customHeight="1">
      <c r="A13" s="4"/>
      <c r="B13" s="72" t="s">
        <v>90</v>
      </c>
      <c r="C13" s="149">
        <v>-150</v>
      </c>
      <c r="D13" s="149">
        <v>-160</v>
      </c>
      <c r="E13" s="169">
        <v>-171</v>
      </c>
      <c r="F13" s="4"/>
    </row>
    <row r="14" spans="1:7" ht="14.25" customHeight="1" thickBot="1">
      <c r="A14" s="4"/>
      <c r="B14" s="66" t="s">
        <v>91</v>
      </c>
      <c r="C14" s="114">
        <v>178</v>
      </c>
      <c r="D14" s="114">
        <v>92</v>
      </c>
      <c r="E14" s="170">
        <v>143</v>
      </c>
      <c r="F14" s="4"/>
    </row>
    <row r="15" spans="1:7" ht="14.25" customHeight="1" thickBot="1">
      <c r="A15" s="4"/>
      <c r="B15" s="103" t="s">
        <v>92</v>
      </c>
      <c r="C15" s="171">
        <v>4765</v>
      </c>
      <c r="D15" s="171">
        <v>5367</v>
      </c>
      <c r="E15" s="172">
        <v>6680</v>
      </c>
      <c r="F15" s="4"/>
    </row>
    <row r="16" spans="1:7" ht="14.25" customHeight="1" thickBot="1">
      <c r="A16" s="4"/>
      <c r="B16" s="66" t="s">
        <v>93</v>
      </c>
      <c r="C16" s="114">
        <v>1061</v>
      </c>
      <c r="D16" s="114">
        <v>1308</v>
      </c>
      <c r="E16" s="170">
        <v>1601</v>
      </c>
      <c r="F16" s="4"/>
    </row>
    <row r="17" spans="1:6" ht="14.25" customHeight="1" thickBot="1">
      <c r="A17" s="4"/>
      <c r="B17" s="103" t="s">
        <v>94</v>
      </c>
      <c r="C17" s="171">
        <v>3704</v>
      </c>
      <c r="D17" s="171">
        <v>4059</v>
      </c>
      <c r="E17" s="172">
        <v>5079</v>
      </c>
      <c r="F17" s="4"/>
    </row>
    <row r="18" spans="1:6" ht="14.25" customHeight="1">
      <c r="A18" s="4"/>
      <c r="B18" s="66"/>
      <c r="C18" s="46"/>
      <c r="D18" s="46"/>
      <c r="E18" s="82"/>
      <c r="F18" s="4"/>
    </row>
    <row r="19" spans="1:6" ht="14.25" customHeight="1">
      <c r="A19" s="4"/>
      <c r="B19" s="72" t="s">
        <v>95</v>
      </c>
      <c r="C19" s="149">
        <v>442923</v>
      </c>
      <c r="D19" s="149">
        <v>443901</v>
      </c>
      <c r="E19" s="169">
        <v>444346</v>
      </c>
      <c r="F19" s="4"/>
    </row>
    <row r="20" spans="1:6" ht="14.25" customHeight="1">
      <c r="A20" s="4"/>
      <c r="B20" s="66"/>
      <c r="C20" s="46"/>
      <c r="D20" s="46"/>
      <c r="E20" s="82"/>
      <c r="F20" s="4"/>
    </row>
    <row r="21" spans="1:6" ht="14.25" customHeight="1">
      <c r="A21" s="4"/>
      <c r="B21" s="72" t="s">
        <v>96</v>
      </c>
      <c r="C21" s="149">
        <v>149351</v>
      </c>
      <c r="D21" s="149">
        <v>163220</v>
      </c>
      <c r="E21" s="169">
        <v>192052</v>
      </c>
      <c r="F21" s="4"/>
    </row>
    <row r="22" spans="1:6" ht="14.25" customHeight="1">
      <c r="A22" s="4"/>
      <c r="B22" s="67" t="s">
        <v>97</v>
      </c>
      <c r="C22" s="173">
        <v>3352</v>
      </c>
      <c r="D22" s="173">
        <v>3541</v>
      </c>
      <c r="E22" s="174">
        <v>3877</v>
      </c>
      <c r="F22" s="4"/>
    </row>
    <row r="23" spans="1:6" ht="14.25" customHeight="1">
      <c r="A23" s="4"/>
      <c r="B23" s="9"/>
      <c r="C23" s="9"/>
      <c r="D23" s="104"/>
      <c r="E23" s="104"/>
      <c r="F23" s="6"/>
    </row>
    <row r="24" spans="1:6" ht="14.25" customHeight="1">
      <c r="A24" s="4"/>
      <c r="B24" s="9"/>
      <c r="C24" s="9"/>
      <c r="D24" s="46"/>
      <c r="E24" s="46"/>
      <c r="F24" s="5"/>
    </row>
    <row r="25" spans="1:6" ht="14.25" customHeight="1">
      <c r="A25" s="4"/>
      <c r="B25" s="9"/>
      <c r="C25" s="9"/>
      <c r="D25" s="46"/>
      <c r="E25" s="46"/>
      <c r="F25" s="5"/>
    </row>
    <row r="26" spans="1:6" ht="14.25" customHeight="1">
      <c r="A26" s="4"/>
      <c r="B26" s="9"/>
      <c r="C26" s="9"/>
      <c r="D26" s="46"/>
      <c r="E26" s="46"/>
      <c r="F26" s="5"/>
    </row>
    <row r="27" spans="1:6" ht="14.25" customHeight="1">
      <c r="A27" s="4"/>
      <c r="B27" s="9"/>
      <c r="C27" s="9"/>
      <c r="D27" s="175">
        <f>171/7491</f>
        <v>2.2827392871445733E-2</v>
      </c>
      <c r="E27" s="46"/>
      <c r="F27" s="5"/>
    </row>
    <row r="28" spans="1:6" ht="14.25" customHeight="1">
      <c r="A28" s="4"/>
      <c r="B28" s="4"/>
      <c r="C28" s="4"/>
      <c r="D28" s="5"/>
      <c r="E28" s="5"/>
      <c r="F28" s="5"/>
    </row>
    <row r="29" spans="1:6" ht="14.25" customHeight="1">
      <c r="D29" s="1"/>
      <c r="E29" s="1"/>
      <c r="F29" s="1"/>
    </row>
    <row r="30" spans="1:6" ht="14.25" customHeight="1"/>
    <row r="31" spans="1:6" ht="14.25" customHeight="1"/>
    <row r="32" spans="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5A5A5"/>
  </sheetPr>
  <dimension ref="A1:G1000"/>
  <sheetViews>
    <sheetView showGridLines="0" topLeftCell="C12" workbookViewId="0">
      <selection activeCell="B28" sqref="B28:F28"/>
    </sheetView>
  </sheetViews>
  <sheetFormatPr baseColWidth="10" defaultColWidth="14.44140625" defaultRowHeight="15" customHeight="1"/>
  <cols>
    <col min="1" max="1" width="8.88671875" customWidth="1"/>
    <col min="2" max="2" width="61.109375" customWidth="1"/>
    <col min="3" max="6" width="17" customWidth="1"/>
    <col min="7" max="26" width="8.88671875" customWidth="1"/>
  </cols>
  <sheetData>
    <row r="1" spans="1:7" ht="14.25" customHeight="1">
      <c r="A1" s="4"/>
      <c r="B1" s="4"/>
      <c r="C1" s="4"/>
      <c r="D1" s="4"/>
      <c r="E1" s="4"/>
      <c r="F1" s="4"/>
      <c r="G1" s="4"/>
    </row>
    <row r="2" spans="1:7" ht="28.05" customHeight="1">
      <c r="A2" s="4"/>
      <c r="B2" s="85" t="s">
        <v>98</v>
      </c>
      <c r="C2" s="85" t="s">
        <v>99</v>
      </c>
      <c r="D2" s="85" t="s">
        <v>79</v>
      </c>
      <c r="E2" s="85" t="s">
        <v>80</v>
      </c>
      <c r="F2" s="85" t="s">
        <v>81</v>
      </c>
      <c r="G2" s="4"/>
    </row>
    <row r="3" spans="1:7" ht="14.25" customHeight="1">
      <c r="A3" s="4"/>
      <c r="B3" s="86" t="s">
        <v>100</v>
      </c>
      <c r="C3" s="86"/>
      <c r="D3" s="86"/>
      <c r="E3" s="86"/>
      <c r="F3" s="86"/>
      <c r="G3" s="4"/>
    </row>
    <row r="4" spans="1:7" ht="14.25" customHeight="1">
      <c r="A4" s="4"/>
      <c r="B4" s="9" t="s">
        <v>101</v>
      </c>
      <c r="C4" s="114">
        <v>6055</v>
      </c>
      <c r="D4" s="114">
        <v>8384</v>
      </c>
      <c r="E4" s="114">
        <v>12277</v>
      </c>
      <c r="F4" s="114">
        <v>11258</v>
      </c>
      <c r="G4" s="4"/>
    </row>
    <row r="5" spans="1:7" ht="14.25" customHeight="1">
      <c r="A5" s="4"/>
      <c r="B5" s="9" t="s">
        <v>102</v>
      </c>
      <c r="C5" s="114">
        <v>1204</v>
      </c>
      <c r="D5" s="114">
        <v>1060</v>
      </c>
      <c r="E5" s="114">
        <v>1028</v>
      </c>
      <c r="F5" s="114">
        <v>917</v>
      </c>
      <c r="G5" s="4"/>
    </row>
    <row r="6" spans="1:7" ht="14.25" customHeight="1">
      <c r="A6" s="4"/>
      <c r="B6" s="9" t="s">
        <v>103</v>
      </c>
      <c r="C6" s="114">
        <v>1669</v>
      </c>
      <c r="D6" s="114">
        <v>1535</v>
      </c>
      <c r="E6" s="114">
        <v>1550</v>
      </c>
      <c r="F6" s="114">
        <v>1803</v>
      </c>
      <c r="G6" s="4"/>
    </row>
    <row r="7" spans="1:7" ht="14.25" customHeight="1">
      <c r="A7" s="4"/>
      <c r="B7" s="9" t="s">
        <v>104</v>
      </c>
      <c r="C7" s="114">
        <v>11040</v>
      </c>
      <c r="D7" s="114">
        <v>11395</v>
      </c>
      <c r="E7" s="114">
        <v>12242</v>
      </c>
      <c r="F7" s="114">
        <v>14215</v>
      </c>
      <c r="G7" s="4"/>
    </row>
    <row r="8" spans="1:7" ht="14.25" customHeight="1" thickBot="1">
      <c r="A8" s="4"/>
      <c r="B8" s="9" t="s">
        <v>105</v>
      </c>
      <c r="C8" s="114">
        <v>321</v>
      </c>
      <c r="D8" s="114">
        <v>1111</v>
      </c>
      <c r="E8" s="114">
        <v>1023</v>
      </c>
      <c r="F8" s="114">
        <v>1312</v>
      </c>
      <c r="G8" s="4"/>
    </row>
    <row r="9" spans="1:7" ht="14.25" customHeight="1" thickBot="1">
      <c r="A9" s="4"/>
      <c r="B9" s="87" t="s">
        <v>106</v>
      </c>
      <c r="C9" s="176">
        <v>20289</v>
      </c>
      <c r="D9" s="176">
        <v>23485</v>
      </c>
      <c r="E9" s="176">
        <v>28120</v>
      </c>
      <c r="F9" s="176">
        <v>29505</v>
      </c>
      <c r="G9" s="4"/>
    </row>
    <row r="10" spans="1:7" ht="14.25" customHeight="1">
      <c r="A10" s="4"/>
      <c r="B10" s="86" t="s">
        <v>107</v>
      </c>
      <c r="C10" s="128"/>
      <c r="D10" s="128"/>
      <c r="E10" s="128"/>
      <c r="F10" s="128"/>
      <c r="G10" s="4"/>
    </row>
    <row r="11" spans="1:7" ht="14.25" customHeight="1">
      <c r="A11" s="4"/>
      <c r="B11" s="9" t="s">
        <v>108</v>
      </c>
      <c r="C11" s="114">
        <v>19681</v>
      </c>
      <c r="D11" s="114">
        <v>20890</v>
      </c>
      <c r="E11" s="114">
        <v>21807</v>
      </c>
      <c r="F11" s="114">
        <v>23492</v>
      </c>
      <c r="G11" s="4"/>
    </row>
    <row r="12" spans="1:7" ht="14.25" customHeight="1">
      <c r="A12" s="4"/>
      <c r="B12" s="9" t="s">
        <v>109</v>
      </c>
      <c r="C12" s="46"/>
      <c r="D12" s="114">
        <v>0</v>
      </c>
      <c r="E12" s="114">
        <v>2788</v>
      </c>
      <c r="F12" s="114">
        <v>2890</v>
      </c>
      <c r="G12" s="4"/>
    </row>
    <row r="13" spans="1:7" ht="14.25" customHeight="1" thickBot="1">
      <c r="A13" s="4"/>
      <c r="B13" s="9" t="s">
        <v>110</v>
      </c>
      <c r="C13" s="114">
        <v>860</v>
      </c>
      <c r="D13" s="114">
        <v>1025</v>
      </c>
      <c r="E13" s="114">
        <v>2841</v>
      </c>
      <c r="F13" s="114">
        <v>3381</v>
      </c>
      <c r="G13" s="4"/>
    </row>
    <row r="14" spans="1:7" ht="14.25" customHeight="1" thickBot="1">
      <c r="A14" s="4"/>
      <c r="B14" s="87" t="s">
        <v>111</v>
      </c>
      <c r="C14" s="176">
        <v>40830</v>
      </c>
      <c r="D14" s="176">
        <v>45400</v>
      </c>
      <c r="E14" s="176">
        <v>55556</v>
      </c>
      <c r="F14" s="176">
        <v>59268</v>
      </c>
      <c r="G14" s="4"/>
    </row>
    <row r="15" spans="1:7" ht="14.25" customHeight="1">
      <c r="A15" s="4"/>
      <c r="B15" s="86" t="s">
        <v>112</v>
      </c>
      <c r="C15" s="128"/>
      <c r="D15" s="128"/>
      <c r="E15" s="128"/>
      <c r="F15" s="128"/>
      <c r="G15" s="4"/>
    </row>
    <row r="16" spans="1:7" ht="14.25" customHeight="1">
      <c r="A16" s="4"/>
      <c r="B16" s="9" t="s">
        <v>113</v>
      </c>
      <c r="C16" s="114">
        <v>11237</v>
      </c>
      <c r="D16" s="114">
        <v>11679</v>
      </c>
      <c r="E16" s="114">
        <v>14172</v>
      </c>
      <c r="F16" s="114">
        <v>16278</v>
      </c>
      <c r="G16" s="4"/>
    </row>
    <row r="17" spans="1:7" ht="14.25" customHeight="1">
      <c r="A17" s="4"/>
      <c r="B17" s="9" t="s">
        <v>114</v>
      </c>
      <c r="C17" s="114">
        <v>2994</v>
      </c>
      <c r="D17" s="114">
        <v>3176</v>
      </c>
      <c r="E17" s="114">
        <v>3605</v>
      </c>
      <c r="F17" s="114">
        <v>4090</v>
      </c>
      <c r="G17" s="4"/>
    </row>
    <row r="18" spans="1:7" ht="14.25" customHeight="1">
      <c r="A18" s="4"/>
      <c r="B18" s="9" t="s">
        <v>115</v>
      </c>
      <c r="C18" s="114">
        <v>1057</v>
      </c>
      <c r="D18" s="114">
        <v>1180</v>
      </c>
      <c r="E18" s="114">
        <v>1393</v>
      </c>
      <c r="F18" s="114">
        <v>1671</v>
      </c>
      <c r="G18" s="4"/>
    </row>
    <row r="19" spans="1:7" ht="14.25" customHeight="1">
      <c r="A19" s="4"/>
      <c r="B19" s="9" t="s">
        <v>116</v>
      </c>
      <c r="C19" s="114">
        <v>1624</v>
      </c>
      <c r="D19" s="114">
        <v>1711</v>
      </c>
      <c r="E19" s="114">
        <v>1851</v>
      </c>
      <c r="F19" s="114">
        <v>2042</v>
      </c>
      <c r="G19" s="4"/>
    </row>
    <row r="20" spans="1:7" ht="14.25" customHeight="1">
      <c r="A20" s="4"/>
      <c r="B20" s="9" t="s">
        <v>117</v>
      </c>
      <c r="C20" s="114">
        <v>90</v>
      </c>
      <c r="D20" s="114">
        <v>1699</v>
      </c>
      <c r="E20" s="114">
        <v>95</v>
      </c>
      <c r="F20" s="114">
        <v>799</v>
      </c>
      <c r="G20" s="4"/>
    </row>
    <row r="21" spans="1:7" ht="14.25" customHeight="1" thickBot="1">
      <c r="A21" s="4"/>
      <c r="B21" s="9" t="s">
        <v>118</v>
      </c>
      <c r="C21" s="114">
        <v>2924</v>
      </c>
      <c r="D21" s="114">
        <v>3792</v>
      </c>
      <c r="E21" s="114">
        <v>3728</v>
      </c>
      <c r="F21" s="114">
        <v>4561</v>
      </c>
      <c r="G21" s="4"/>
    </row>
    <row r="22" spans="1:7" ht="14.25" customHeight="1" thickBot="1">
      <c r="A22" s="4"/>
      <c r="B22" s="87" t="s">
        <v>119</v>
      </c>
      <c r="C22" s="176">
        <v>19926</v>
      </c>
      <c r="D22" s="176">
        <v>23237</v>
      </c>
      <c r="E22" s="176">
        <v>24844</v>
      </c>
      <c r="F22" s="176">
        <v>29441</v>
      </c>
      <c r="G22" s="4"/>
    </row>
    <row r="23" spans="1:7" ht="14.25" customHeight="1">
      <c r="A23" s="4"/>
      <c r="B23" s="86" t="s">
        <v>120</v>
      </c>
      <c r="C23" s="128"/>
      <c r="D23" s="128"/>
      <c r="E23" s="128"/>
      <c r="F23" s="128"/>
      <c r="G23" s="4"/>
    </row>
    <row r="24" spans="1:7" ht="14.25" customHeight="1">
      <c r="A24" s="4"/>
      <c r="B24" s="9" t="s">
        <v>121</v>
      </c>
      <c r="C24" s="114">
        <v>6487</v>
      </c>
      <c r="D24" s="114">
        <v>5124</v>
      </c>
      <c r="E24" s="114">
        <v>7514</v>
      </c>
      <c r="F24" s="114">
        <v>6692</v>
      </c>
      <c r="G24" s="4"/>
    </row>
    <row r="25" spans="1:7" ht="14.25" customHeight="1">
      <c r="A25" s="4"/>
      <c r="B25" s="9" t="s">
        <v>122</v>
      </c>
      <c r="C25" s="46"/>
      <c r="D25" s="114">
        <v>0</v>
      </c>
      <c r="E25" s="114">
        <v>2558</v>
      </c>
      <c r="F25" s="114">
        <v>2642</v>
      </c>
      <c r="G25" s="4"/>
    </row>
    <row r="26" spans="1:7" ht="14.25" customHeight="1" thickBot="1">
      <c r="A26" s="4"/>
      <c r="B26" s="9" t="s">
        <v>123</v>
      </c>
      <c r="C26" s="114">
        <v>1314</v>
      </c>
      <c r="D26" s="114">
        <v>1455</v>
      </c>
      <c r="E26" s="114">
        <v>1935</v>
      </c>
      <c r="F26" s="114">
        <v>2415</v>
      </c>
      <c r="G26" s="4"/>
    </row>
    <row r="27" spans="1:7" ht="14.25" customHeight="1" thickBot="1">
      <c r="A27" s="4"/>
      <c r="B27" s="87" t="s">
        <v>124</v>
      </c>
      <c r="C27" s="176">
        <v>27727</v>
      </c>
      <c r="D27" s="176">
        <v>29816</v>
      </c>
      <c r="E27" s="176">
        <v>36851</v>
      </c>
      <c r="F27" s="176">
        <v>41190</v>
      </c>
      <c r="G27" s="4"/>
    </row>
    <row r="28" spans="1:7" ht="14.25" customHeight="1">
      <c r="A28" s="4"/>
      <c r="B28" s="86" t="s">
        <v>125</v>
      </c>
      <c r="C28" s="128"/>
      <c r="D28" s="128"/>
      <c r="E28" s="128"/>
      <c r="F28" s="128"/>
      <c r="G28" s="4"/>
    </row>
    <row r="29" spans="1:7" ht="25.95" customHeight="1">
      <c r="A29" s="4"/>
      <c r="B29" s="132" t="s">
        <v>126</v>
      </c>
      <c r="C29" s="114">
        <v>0</v>
      </c>
      <c r="D29" s="114">
        <v>0</v>
      </c>
      <c r="E29" s="114">
        <v>0</v>
      </c>
      <c r="F29" s="114">
        <v>0</v>
      </c>
      <c r="G29" s="4"/>
    </row>
    <row r="30" spans="1:7" ht="25.95" customHeight="1">
      <c r="A30" s="4"/>
      <c r="B30" s="132" t="s">
        <v>127</v>
      </c>
      <c r="C30" s="114">
        <v>4</v>
      </c>
      <c r="D30" s="114">
        <v>4</v>
      </c>
      <c r="E30" s="114">
        <v>4</v>
      </c>
      <c r="F30" s="114">
        <v>4</v>
      </c>
      <c r="G30" s="4"/>
    </row>
    <row r="31" spans="1:7" ht="14.25" customHeight="1">
      <c r="A31" s="4"/>
      <c r="B31" s="9" t="s">
        <v>128</v>
      </c>
      <c r="C31" s="114">
        <v>6107</v>
      </c>
      <c r="D31" s="114">
        <v>6417</v>
      </c>
      <c r="E31" s="114">
        <v>6698</v>
      </c>
      <c r="F31" s="114">
        <v>7031</v>
      </c>
      <c r="G31" s="4"/>
    </row>
    <row r="32" spans="1:7" ht="14.25" customHeight="1">
      <c r="A32" s="4"/>
      <c r="B32" s="9" t="s">
        <v>129</v>
      </c>
      <c r="C32" s="114">
        <v>-1199</v>
      </c>
      <c r="D32" s="114">
        <v>-1436</v>
      </c>
      <c r="E32" s="114">
        <v>-1297</v>
      </c>
      <c r="F32" s="114">
        <v>-1137</v>
      </c>
      <c r="G32" s="4"/>
    </row>
    <row r="33" spans="1:7" ht="14.25" customHeight="1">
      <c r="A33" s="4"/>
      <c r="B33" s="9" t="s">
        <v>130</v>
      </c>
      <c r="C33" s="114">
        <v>7887</v>
      </c>
      <c r="D33" s="114">
        <v>10258</v>
      </c>
      <c r="E33" s="114">
        <v>12879</v>
      </c>
      <c r="F33" s="114">
        <v>11666</v>
      </c>
      <c r="G33" s="4"/>
    </row>
    <row r="34" spans="1:7" ht="14.25" customHeight="1">
      <c r="A34" s="4"/>
      <c r="B34" s="9" t="s">
        <v>131</v>
      </c>
      <c r="C34" s="114">
        <v>12799</v>
      </c>
      <c r="D34" s="114">
        <v>15243</v>
      </c>
      <c r="E34" s="114">
        <v>18284</v>
      </c>
      <c r="F34" s="114">
        <v>17564</v>
      </c>
      <c r="G34" s="4"/>
    </row>
    <row r="35" spans="1:7" ht="14.25" customHeight="1">
      <c r="A35" s="4"/>
      <c r="B35" s="9" t="s">
        <v>132</v>
      </c>
      <c r="C35" s="114">
        <v>304</v>
      </c>
      <c r="D35" s="114">
        <v>341</v>
      </c>
      <c r="E35" s="114">
        <v>421</v>
      </c>
      <c r="F35" s="114">
        <v>514</v>
      </c>
      <c r="G35" s="4"/>
    </row>
    <row r="36" spans="1:7" ht="14.25" customHeight="1" thickBot="1">
      <c r="A36" s="4"/>
      <c r="B36" s="9" t="s">
        <v>133</v>
      </c>
      <c r="C36" s="114">
        <v>13103</v>
      </c>
      <c r="D36" s="114">
        <v>15584</v>
      </c>
      <c r="E36" s="114">
        <v>18705</v>
      </c>
      <c r="F36" s="114">
        <v>18078</v>
      </c>
      <c r="G36" s="4"/>
    </row>
    <row r="37" spans="1:7" ht="14.25" customHeight="1" thickBot="1">
      <c r="A37" s="4"/>
      <c r="B37" s="87" t="s">
        <v>134</v>
      </c>
      <c r="C37" s="176">
        <v>40830</v>
      </c>
      <c r="D37" s="176">
        <v>45400</v>
      </c>
      <c r="E37" s="176">
        <v>55556</v>
      </c>
      <c r="F37" s="176">
        <v>59268</v>
      </c>
      <c r="G37" s="4"/>
    </row>
    <row r="38" spans="1:7" ht="14.25" customHeight="1">
      <c r="A38" s="4"/>
      <c r="B38" s="4"/>
      <c r="C38" s="4"/>
      <c r="D38" s="4"/>
      <c r="E38" s="4"/>
      <c r="F38" s="4"/>
      <c r="G38" s="4"/>
    </row>
    <row r="39" spans="1:7" ht="14.25" customHeight="1"/>
    <row r="40" spans="1:7" ht="14.25" customHeight="1"/>
    <row r="41" spans="1:7" ht="14.25" customHeight="1"/>
    <row r="42" spans="1:7" ht="14.25" customHeight="1"/>
    <row r="43" spans="1:7" ht="14.25" customHeight="1"/>
    <row r="44" spans="1:7" ht="14.25" customHeight="1"/>
    <row r="45" spans="1:7" ht="14.25" customHeight="1"/>
    <row r="46" spans="1:7" ht="14.25" customHeight="1"/>
    <row r="47" spans="1:7" ht="14.25" customHeight="1"/>
    <row r="48" spans="1: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5A5A5"/>
  </sheetPr>
  <dimension ref="A1:F1000"/>
  <sheetViews>
    <sheetView showGridLines="0" tabSelected="1" workbookViewId="0"/>
  </sheetViews>
  <sheetFormatPr baseColWidth="10" defaultColWidth="14.44140625" defaultRowHeight="15" customHeight="1"/>
  <cols>
    <col min="1" max="1" width="8.88671875" customWidth="1"/>
    <col min="2" max="2" width="62" customWidth="1"/>
    <col min="3" max="5" width="17" customWidth="1"/>
    <col min="6" max="26" width="8.88671875" customWidth="1"/>
  </cols>
  <sheetData>
    <row r="1" spans="1:6" ht="14.25" customHeight="1">
      <c r="A1" s="4"/>
      <c r="B1" s="4"/>
      <c r="C1" s="4"/>
      <c r="D1" s="4"/>
      <c r="E1" s="4"/>
      <c r="F1" s="4"/>
    </row>
    <row r="2" spans="1:6" ht="24" customHeight="1">
      <c r="A2" s="4"/>
      <c r="B2" s="85" t="s">
        <v>135</v>
      </c>
      <c r="C2" s="85"/>
      <c r="D2" s="85"/>
      <c r="E2" s="85"/>
      <c r="F2" s="4"/>
    </row>
    <row r="3" spans="1:6" ht="24" customHeight="1" thickBot="1">
      <c r="A3" s="4"/>
      <c r="B3" s="69"/>
      <c r="C3" s="70" t="s">
        <v>79</v>
      </c>
      <c r="D3" s="70" t="s">
        <v>80</v>
      </c>
      <c r="E3" s="71" t="s">
        <v>81</v>
      </c>
      <c r="F3" s="4"/>
    </row>
    <row r="4" spans="1:6" ht="14.25" customHeight="1">
      <c r="A4" s="4"/>
      <c r="B4" s="92" t="s">
        <v>136</v>
      </c>
      <c r="C4" s="43"/>
      <c r="D4" s="43"/>
      <c r="E4" s="102"/>
      <c r="F4" s="4"/>
    </row>
    <row r="5" spans="1:6" ht="14.25" customHeight="1">
      <c r="A5" s="4"/>
      <c r="B5" s="72" t="s">
        <v>137</v>
      </c>
      <c r="C5" s="149">
        <v>3704</v>
      </c>
      <c r="D5" s="149">
        <v>4059</v>
      </c>
      <c r="E5" s="169">
        <v>5079</v>
      </c>
      <c r="F5" s="4"/>
    </row>
    <row r="6" spans="1:6" ht="30" customHeight="1">
      <c r="A6" s="4"/>
      <c r="B6" s="133" t="s">
        <v>138</v>
      </c>
      <c r="C6" s="46"/>
      <c r="D6" s="46"/>
      <c r="E6" s="82"/>
      <c r="F6" s="4"/>
    </row>
    <row r="7" spans="1:6" ht="14.25" customHeight="1">
      <c r="A7" s="4"/>
      <c r="B7" s="72" t="s">
        <v>139</v>
      </c>
      <c r="C7" s="149">
        <v>1492</v>
      </c>
      <c r="D7" s="149">
        <v>1645</v>
      </c>
      <c r="E7" s="169">
        <v>1781</v>
      </c>
      <c r="F7" s="4"/>
    </row>
    <row r="8" spans="1:6" ht="14.25" customHeight="1">
      <c r="A8" s="4"/>
      <c r="B8" s="66" t="s">
        <v>140</v>
      </c>
      <c r="C8" s="114">
        <v>0</v>
      </c>
      <c r="D8" s="114">
        <v>194</v>
      </c>
      <c r="E8" s="170">
        <v>286</v>
      </c>
      <c r="F8" s="4"/>
    </row>
    <row r="9" spans="1:6" ht="14.25" customHeight="1">
      <c r="A9" s="4"/>
      <c r="B9" s="72" t="s">
        <v>141</v>
      </c>
      <c r="C9" s="149">
        <v>595</v>
      </c>
      <c r="D9" s="149">
        <v>619</v>
      </c>
      <c r="E9" s="169">
        <v>665</v>
      </c>
      <c r="F9" s="4"/>
    </row>
    <row r="10" spans="1:6" ht="14.25" customHeight="1">
      <c r="A10" s="4"/>
      <c r="B10" s="66" t="s">
        <v>142</v>
      </c>
      <c r="C10" s="114">
        <v>9</v>
      </c>
      <c r="D10" s="114">
        <v>42</v>
      </c>
      <c r="E10" s="170">
        <v>85</v>
      </c>
      <c r="F10" s="4"/>
    </row>
    <row r="11" spans="1:6" ht="14.25" customHeight="1">
      <c r="A11" s="4"/>
      <c r="B11" s="72" t="s">
        <v>143</v>
      </c>
      <c r="C11" s="149">
        <v>147</v>
      </c>
      <c r="D11" s="149">
        <v>104</v>
      </c>
      <c r="E11" s="169">
        <v>59</v>
      </c>
      <c r="F11" s="4"/>
    </row>
    <row r="12" spans="1:6" ht="14.25" customHeight="1">
      <c r="A12" s="4"/>
      <c r="B12" s="66" t="s">
        <v>144</v>
      </c>
      <c r="C12" s="46"/>
      <c r="D12" s="46"/>
      <c r="E12" s="82"/>
      <c r="F12" s="4"/>
    </row>
    <row r="13" spans="1:6" ht="14.25" customHeight="1">
      <c r="A13" s="4"/>
      <c r="B13" s="72" t="s">
        <v>104</v>
      </c>
      <c r="C13" s="149">
        <v>-536</v>
      </c>
      <c r="D13" s="149">
        <v>-791</v>
      </c>
      <c r="E13" s="169">
        <v>-1892</v>
      </c>
      <c r="F13" s="4"/>
    </row>
    <row r="14" spans="1:6" ht="14.25" customHeight="1">
      <c r="A14" s="4"/>
      <c r="B14" s="66" t="s">
        <v>113</v>
      </c>
      <c r="C14" s="114">
        <v>322</v>
      </c>
      <c r="D14" s="114">
        <v>2261</v>
      </c>
      <c r="E14" s="170">
        <v>1838</v>
      </c>
      <c r="F14" s="4"/>
    </row>
    <row r="15" spans="1:6" ht="14.25" customHeight="1" thickBot="1">
      <c r="A15" s="4"/>
      <c r="B15" s="72" t="s">
        <v>145</v>
      </c>
      <c r="C15" s="149">
        <v>623</v>
      </c>
      <c r="D15" s="149">
        <v>728</v>
      </c>
      <c r="E15" s="169">
        <v>1057</v>
      </c>
      <c r="F15" s="4"/>
    </row>
    <row r="16" spans="1:6" ht="14.25" customHeight="1" thickBot="1">
      <c r="A16" s="4"/>
      <c r="B16" s="88" t="s">
        <v>146</v>
      </c>
      <c r="C16" s="176">
        <v>6356</v>
      </c>
      <c r="D16" s="176">
        <v>8861</v>
      </c>
      <c r="E16" s="237">
        <v>8958</v>
      </c>
      <c r="F16" s="4"/>
    </row>
    <row r="17" spans="1:6" ht="14.25" customHeight="1">
      <c r="A17" s="4"/>
      <c r="B17" s="93" t="s">
        <v>147</v>
      </c>
      <c r="C17" s="211"/>
      <c r="D17" s="211"/>
      <c r="E17" s="213"/>
      <c r="F17" s="4"/>
    </row>
    <row r="18" spans="1:6" ht="14.25" customHeight="1">
      <c r="A18" s="4"/>
      <c r="B18" s="66" t="s">
        <v>148</v>
      </c>
      <c r="C18" s="114">
        <v>-1094</v>
      </c>
      <c r="D18" s="114">
        <v>-1626</v>
      </c>
      <c r="E18" s="170">
        <v>-1331</v>
      </c>
      <c r="F18" s="4"/>
    </row>
    <row r="19" spans="1:6" ht="14.25" customHeight="1">
      <c r="A19" s="4"/>
      <c r="B19" s="72" t="s">
        <v>149</v>
      </c>
      <c r="C19" s="149">
        <v>1231</v>
      </c>
      <c r="D19" s="149">
        <v>1678</v>
      </c>
      <c r="E19" s="169">
        <v>1446</v>
      </c>
      <c r="F19" s="4"/>
    </row>
    <row r="20" spans="1:6" ht="14.25" customHeight="1">
      <c r="A20" s="4"/>
      <c r="B20" s="66" t="s">
        <v>150</v>
      </c>
      <c r="C20" s="114">
        <v>-2998</v>
      </c>
      <c r="D20" s="114">
        <v>-2810</v>
      </c>
      <c r="E20" s="170">
        <v>-3588</v>
      </c>
      <c r="F20" s="4"/>
    </row>
    <row r="21" spans="1:6" ht="14.25" customHeight="1">
      <c r="A21" s="4"/>
      <c r="B21" s="72" t="s">
        <v>151</v>
      </c>
      <c r="C21" s="149">
        <v>0</v>
      </c>
      <c r="D21" s="149">
        <v>-1163</v>
      </c>
      <c r="E21" s="169">
        <v>0</v>
      </c>
      <c r="F21" s="4"/>
    </row>
    <row r="22" spans="1:6" ht="14.25" customHeight="1" thickBot="1">
      <c r="A22" s="4"/>
      <c r="B22" s="66" t="s">
        <v>152</v>
      </c>
      <c r="C22" s="114">
        <v>-4</v>
      </c>
      <c r="D22" s="114">
        <v>30</v>
      </c>
      <c r="E22" s="170">
        <v>-62</v>
      </c>
      <c r="F22" s="4"/>
    </row>
    <row r="23" spans="1:6" ht="14.25" customHeight="1" thickBot="1">
      <c r="A23" s="4"/>
      <c r="B23" s="103" t="s">
        <v>153</v>
      </c>
      <c r="C23" s="171">
        <v>-2865</v>
      </c>
      <c r="D23" s="171">
        <v>-3891</v>
      </c>
      <c r="E23" s="172">
        <v>-3535</v>
      </c>
      <c r="F23" s="4"/>
    </row>
    <row r="24" spans="1:6" ht="14.25" customHeight="1">
      <c r="A24" s="4"/>
      <c r="B24" s="92" t="s">
        <v>154</v>
      </c>
      <c r="C24" s="100"/>
      <c r="D24" s="100"/>
      <c r="E24" s="131"/>
      <c r="F24" s="4"/>
    </row>
    <row r="25" spans="1:6" ht="14.25" customHeight="1">
      <c r="A25" s="4"/>
      <c r="B25" s="72" t="s">
        <v>155</v>
      </c>
      <c r="C25" s="149">
        <v>210</v>
      </c>
      <c r="D25" s="149">
        <v>137</v>
      </c>
      <c r="E25" s="169">
        <v>188</v>
      </c>
      <c r="F25" s="4"/>
    </row>
    <row r="26" spans="1:6" ht="14.25" customHeight="1">
      <c r="A26" s="4"/>
      <c r="B26" s="66" t="s">
        <v>156</v>
      </c>
      <c r="C26" s="114">
        <v>0</v>
      </c>
      <c r="D26" s="114">
        <v>0</v>
      </c>
      <c r="E26" s="170">
        <v>41</v>
      </c>
      <c r="F26" s="4"/>
    </row>
    <row r="27" spans="1:6" ht="14.25" customHeight="1">
      <c r="A27" s="4"/>
      <c r="B27" s="72" t="s">
        <v>157</v>
      </c>
      <c r="C27" s="149">
        <v>298</v>
      </c>
      <c r="D27" s="149">
        <v>3992</v>
      </c>
      <c r="E27" s="169">
        <v>0</v>
      </c>
      <c r="F27" s="4"/>
    </row>
    <row r="28" spans="1:6" ht="14.25" customHeight="1">
      <c r="A28" s="4"/>
      <c r="B28" s="66" t="s">
        <v>158</v>
      </c>
      <c r="C28" s="114">
        <v>-89</v>
      </c>
      <c r="D28" s="114">
        <v>-3200</v>
      </c>
      <c r="E28" s="170">
        <v>-94</v>
      </c>
      <c r="F28" s="4"/>
    </row>
    <row r="29" spans="1:6" ht="14.25" customHeight="1">
      <c r="A29" s="4"/>
      <c r="B29" s="72" t="s">
        <v>159</v>
      </c>
      <c r="C29" s="149">
        <v>-272</v>
      </c>
      <c r="D29" s="149">
        <v>-330</v>
      </c>
      <c r="E29" s="169">
        <v>-312</v>
      </c>
      <c r="F29" s="4"/>
    </row>
    <row r="30" spans="1:6" ht="14.25" customHeight="1">
      <c r="A30" s="4"/>
      <c r="B30" s="66" t="s">
        <v>160</v>
      </c>
      <c r="C30" s="114">
        <v>-247</v>
      </c>
      <c r="D30" s="114">
        <v>-196</v>
      </c>
      <c r="E30" s="170">
        <v>-496</v>
      </c>
      <c r="F30" s="4"/>
    </row>
    <row r="31" spans="1:6" ht="14.25" customHeight="1">
      <c r="A31" s="4"/>
      <c r="B31" s="72" t="s">
        <v>161</v>
      </c>
      <c r="C31" s="149">
        <v>-1038</v>
      </c>
      <c r="D31" s="149">
        <v>-1479</v>
      </c>
      <c r="E31" s="169">
        <v>-5748</v>
      </c>
      <c r="F31" s="4"/>
    </row>
    <row r="32" spans="1:6" ht="14.25" customHeight="1" thickBot="1">
      <c r="A32" s="4"/>
      <c r="B32" s="66" t="s">
        <v>162</v>
      </c>
      <c r="C32" s="114">
        <v>-9</v>
      </c>
      <c r="D32" s="114">
        <v>-71</v>
      </c>
      <c r="E32" s="170">
        <v>-67</v>
      </c>
      <c r="F32" s="4"/>
    </row>
    <row r="33" spans="1:6" ht="14.25" customHeight="1" thickBot="1">
      <c r="A33" s="4"/>
      <c r="B33" s="103" t="s">
        <v>163</v>
      </c>
      <c r="C33" s="171">
        <v>-1147</v>
      </c>
      <c r="D33" s="171">
        <v>-1147</v>
      </c>
      <c r="E33" s="172">
        <v>-6488</v>
      </c>
      <c r="F33" s="4"/>
    </row>
    <row r="34" spans="1:6" ht="14.25" customHeight="1" thickBot="1">
      <c r="A34" s="4"/>
      <c r="B34" s="66" t="s">
        <v>164</v>
      </c>
      <c r="C34" s="114">
        <v>-15</v>
      </c>
      <c r="D34" s="114">
        <v>70</v>
      </c>
      <c r="E34" s="170">
        <v>46</v>
      </c>
      <c r="F34" s="4"/>
    </row>
    <row r="35" spans="1:6" ht="14.25" customHeight="1" thickBot="1">
      <c r="A35" s="4"/>
      <c r="B35" s="103" t="s">
        <v>165</v>
      </c>
      <c r="C35" s="171">
        <v>2329</v>
      </c>
      <c r="D35" s="171">
        <v>3893</v>
      </c>
      <c r="E35" s="172">
        <v>-1019</v>
      </c>
      <c r="F35" s="4"/>
    </row>
    <row r="36" spans="1:6" ht="14.25" customHeight="1" thickBot="1">
      <c r="A36" s="4"/>
      <c r="B36" s="66" t="s">
        <v>166</v>
      </c>
      <c r="C36" s="114">
        <v>6055</v>
      </c>
      <c r="D36" s="114">
        <v>8384</v>
      </c>
      <c r="E36" s="170">
        <v>12277</v>
      </c>
      <c r="F36" s="4"/>
    </row>
    <row r="37" spans="1:6" ht="14.25" customHeight="1" thickBot="1">
      <c r="A37" s="4"/>
      <c r="B37" s="103" t="s">
        <v>167</v>
      </c>
      <c r="C37" s="171">
        <v>8384</v>
      </c>
      <c r="D37" s="171">
        <v>12277</v>
      </c>
      <c r="E37" s="172">
        <v>11258</v>
      </c>
      <c r="F37" s="4"/>
    </row>
    <row r="38" spans="1:6" ht="14.25" customHeight="1">
      <c r="A38" s="4"/>
      <c r="B38" s="92" t="s">
        <v>168</v>
      </c>
      <c r="C38" s="100"/>
      <c r="D38" s="100"/>
      <c r="E38" s="131"/>
      <c r="F38" s="4"/>
    </row>
    <row r="39" spans="1:6" ht="14.25" customHeight="1">
      <c r="A39" s="4"/>
      <c r="B39" s="72" t="s">
        <v>169</v>
      </c>
      <c r="C39" s="149">
        <v>141</v>
      </c>
      <c r="D39" s="149">
        <v>124</v>
      </c>
      <c r="E39" s="169">
        <v>149</v>
      </c>
      <c r="F39" s="4"/>
    </row>
    <row r="40" spans="1:6" ht="14.25" customHeight="1">
      <c r="A40" s="4"/>
      <c r="B40" s="66" t="s">
        <v>170</v>
      </c>
      <c r="C40" s="114">
        <v>1187</v>
      </c>
      <c r="D40" s="114">
        <v>1052</v>
      </c>
      <c r="E40" s="170">
        <v>1527</v>
      </c>
      <c r="F40" s="4"/>
    </row>
    <row r="41" spans="1:6" ht="14.25" customHeight="1">
      <c r="A41" s="4"/>
      <c r="B41" s="93" t="s">
        <v>171</v>
      </c>
      <c r="C41" s="211"/>
      <c r="D41" s="211"/>
      <c r="E41" s="213"/>
      <c r="F41" s="4"/>
    </row>
    <row r="42" spans="1:6" ht="14.25" customHeight="1">
      <c r="A42" s="4"/>
      <c r="B42" s="67" t="s">
        <v>172</v>
      </c>
      <c r="C42" s="173">
        <v>286</v>
      </c>
      <c r="D42" s="173">
        <v>0</v>
      </c>
      <c r="E42" s="174">
        <v>0</v>
      </c>
      <c r="F42" s="4"/>
    </row>
    <row r="43" spans="1:6" ht="14.25" customHeight="1">
      <c r="A43" s="4"/>
      <c r="B43" s="4"/>
      <c r="C43" s="4"/>
      <c r="D43" s="4"/>
      <c r="E43" s="4"/>
      <c r="F43" s="4"/>
    </row>
    <row r="44" spans="1:6" ht="14.25" customHeight="1"/>
    <row r="45" spans="1:6" ht="14.25" customHeight="1"/>
    <row r="46" spans="1:6" ht="14.25" customHeight="1"/>
    <row r="47" spans="1:6" ht="14.25" customHeight="1"/>
    <row r="48" spans="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Introduction</vt:lpstr>
      <vt:lpstr>Analysis &amp; Insights</vt:lpstr>
      <vt:lpstr>Free Cash Flow</vt:lpstr>
      <vt:lpstr>Fixed Assets</vt:lpstr>
      <vt:lpstr>Net Working Capital</vt:lpstr>
      <vt:lpstr>DCF</vt:lpstr>
      <vt:lpstr>WACC</vt:lpstr>
      <vt:lpstr>Income Statement</vt:lpstr>
      <vt:lpstr>Balance Sheet</vt:lpstr>
      <vt:lpstr>Cash Flow Statement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Takhim Walid</dc:creator>
  <cp:lastModifiedBy>walid takhim</cp:lastModifiedBy>
  <dcterms:created xsi:type="dcterms:W3CDTF">2022-06-25T16:24:00Z</dcterms:created>
  <dcterms:modified xsi:type="dcterms:W3CDTF">2026-10-13T17:59:39Z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40CDEC0D3470449D9E9EDF384CBDFB6B_12</vt:lpwstr>
  </property>
  <property fmtid="{D5CDD505-2E9C-101B-9397-08002B2CF9AE}" pid="3" name="KSOProductBuildVer">
    <vt:lpwstr>1036-12.1.0.28485</vt:lpwstr>
  </property>
  <property fmtid="{D5CDD505-2E9C-101B-9397-08002B2CF9AE}" pid="4" name="CalculationRule">
    <vt:i4>0</vt:i4>
  </property>
</Properties>
</file>