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OneDrive\Documents\"/>
    </mc:Choice>
  </mc:AlternateContent>
  <xr:revisionPtr revIDLastSave="0" documentId="13_ncr:1_{71DF8BCC-8685-42C5-A24D-DB4681BB3991}" xr6:coauthVersionLast="47" xr6:coauthVersionMax="47" xr10:uidLastSave="{00000000-0000-0000-0000-000000000000}"/>
  <bookViews>
    <workbookView xWindow="20760" yWindow="465" windowWidth="12000" windowHeight="7995" xr2:uid="{E0B3A6EF-94F8-461F-A27E-63906167A393}"/>
  </bookViews>
  <sheets>
    <sheet name="Ejercicio 1" sheetId="2" r:id="rId1"/>
    <sheet name="Ejercicio 2" sheetId="3" r:id="rId2"/>
  </sheets>
  <definedNames>
    <definedName name="_xlnm.Print_Area" localSheetId="0">'Ejercicio 1'!$A$1:$H$106</definedName>
    <definedName name="_xlnm.Print_Area" localSheetId="1">'Ejercicio 2'!$A$1:$H$106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101" i="3"/>
  <c r="D101" i="3"/>
  <c r="E59" i="3"/>
  <c r="E67" i="3" s="1"/>
  <c r="E68" i="3" s="1"/>
  <c r="E50" i="3"/>
  <c r="E51" i="3" s="1"/>
  <c r="E40" i="3"/>
  <c r="E39" i="3"/>
  <c r="E35" i="3"/>
  <c r="E34" i="3"/>
  <c r="B26" i="3"/>
  <c r="B25" i="3"/>
  <c r="B27" i="3" s="1"/>
  <c r="B24" i="3"/>
  <c r="E16" i="3"/>
  <c r="E10" i="3"/>
  <c r="B9" i="3"/>
  <c r="E53" i="3" s="1"/>
  <c r="D101" i="2"/>
  <c r="B9" i="2"/>
  <c r="F101" i="2"/>
  <c r="E86" i="2"/>
  <c r="E80" i="2"/>
  <c r="E59" i="2"/>
  <c r="E67" i="2" s="1"/>
  <c r="E68" i="2" s="1"/>
  <c r="E54" i="2"/>
  <c r="E53" i="2"/>
  <c r="E50" i="2"/>
  <c r="E51" i="2" s="1"/>
  <c r="E44" i="2"/>
  <c r="E40" i="2"/>
  <c r="E39" i="2"/>
  <c r="E35" i="2"/>
  <c r="E34" i="2"/>
  <c r="B26" i="2"/>
  <c r="B25" i="2"/>
  <c r="B27" i="2" s="1"/>
  <c r="B24" i="2"/>
  <c r="E16" i="2"/>
  <c r="E10" i="2"/>
  <c r="E3" i="2"/>
  <c r="E2" i="2"/>
  <c r="B28" i="3" l="1"/>
  <c r="E80" i="3"/>
  <c r="E45" i="3"/>
  <c r="E2" i="3"/>
  <c r="E77" i="3"/>
  <c r="E86" i="3"/>
  <c r="E44" i="3"/>
  <c r="E54" i="3" s="1"/>
  <c r="E55" i="3" s="1"/>
  <c r="E45" i="2"/>
  <c r="B28" i="2"/>
  <c r="E77" i="2"/>
  <c r="E87" i="2" s="1"/>
  <c r="E55" i="2"/>
  <c r="E7" i="3" l="1"/>
  <c r="D6" i="3"/>
  <c r="E56" i="3"/>
  <c r="E57" i="3" s="1"/>
  <c r="E87" i="3"/>
  <c r="D7" i="3"/>
  <c r="D6" i="2"/>
  <c r="E7" i="2"/>
  <c r="E56" i="2"/>
  <c r="E57" i="2" s="1"/>
  <c r="D7" i="2"/>
  <c r="E66" i="3" l="1"/>
  <c r="E73" i="3"/>
  <c r="E75" i="3" s="1"/>
  <c r="E69" i="3"/>
  <c r="D8" i="3"/>
  <c r="D8" i="2"/>
  <c r="E66" i="2"/>
  <c r="E73" i="2"/>
  <c r="E75" i="2" s="1"/>
  <c r="E69" i="2"/>
  <c r="E82" i="3" l="1"/>
  <c r="E82" i="2"/>
  <c r="E91" i="3" l="1"/>
  <c r="E92" i="3"/>
  <c r="E83" i="3"/>
  <c r="E85" i="3" s="1"/>
  <c r="D88" i="3" s="1"/>
  <c r="E91" i="2"/>
  <c r="E92" i="2"/>
  <c r="E83" i="2"/>
  <c r="E85" i="2" s="1"/>
  <c r="D88" i="2" s="1"/>
  <c r="E98" i="3" l="1"/>
  <c r="E98" i="2"/>
</calcChain>
</file>

<file path=xl/sharedStrings.xml><?xml version="1.0" encoding="utf-8"?>
<sst xmlns="http://schemas.openxmlformats.org/spreadsheetml/2006/main" count="304" uniqueCount="120">
  <si>
    <t>Caracteristicas de la sección de concreto armado</t>
  </si>
  <si>
    <t>L AB</t>
  </si>
  <si>
    <t>L BC</t>
  </si>
  <si>
    <t>m</t>
  </si>
  <si>
    <t>Ancho tributario (B)</t>
  </si>
  <si>
    <t>Ancho de la viga (b)</t>
  </si>
  <si>
    <t>Peralte efectivo (d)</t>
  </si>
  <si>
    <t>f'c</t>
  </si>
  <si>
    <t>Ec</t>
  </si>
  <si>
    <t>fy</t>
  </si>
  <si>
    <t>Es</t>
  </si>
  <si>
    <t>kg/cm2</t>
  </si>
  <si>
    <t>Espesor por capa (tf)</t>
  </si>
  <si>
    <t>Resistencia ultima a la tensión *f fu</t>
  </si>
  <si>
    <t>cm</t>
  </si>
  <si>
    <t>Modulo elástico laminado Ef</t>
  </si>
  <si>
    <t>CE=</t>
  </si>
  <si>
    <t>f fu=</t>
  </si>
  <si>
    <t>cm/cm</t>
  </si>
  <si>
    <t>Propiedades del concreto</t>
  </si>
  <si>
    <t>Propiedades del acero</t>
  </si>
  <si>
    <t>Propiedades del sistema FRP</t>
  </si>
  <si>
    <t>Ec=</t>
  </si>
  <si>
    <t>ρ=</t>
  </si>
  <si>
    <t>ρb=</t>
  </si>
  <si>
    <t>nf=</t>
  </si>
  <si>
    <t>Af=</t>
  </si>
  <si>
    <t>cm2</t>
  </si>
  <si>
    <t>bf=</t>
  </si>
  <si>
    <t>ρf=</t>
  </si>
  <si>
    <t>As1=</t>
  </si>
  <si>
    <t>2. Calculos preliminares</t>
  </si>
  <si>
    <t>1. Cálculo de las propiedades de diseño del sistema FRP</t>
  </si>
  <si>
    <t>3. Determinar el estado de deformación existente en la superficie</t>
  </si>
  <si>
    <t>Relacion de módulos</t>
  </si>
  <si>
    <t>n=</t>
  </si>
  <si>
    <t>Cuantia de acero</t>
  </si>
  <si>
    <t>k=</t>
  </si>
  <si>
    <t>Inercia agrietada</t>
  </si>
  <si>
    <t>Icr=</t>
  </si>
  <si>
    <t>cm4</t>
  </si>
  <si>
    <t>MDL=</t>
  </si>
  <si>
    <t>kg.cm</t>
  </si>
  <si>
    <t>4. Determinar la deformación de diseño del FRP</t>
  </si>
  <si>
    <t>Deformación de diseño</t>
  </si>
  <si>
    <t>FRP</t>
  </si>
  <si>
    <t>nf</t>
  </si>
  <si>
    <t>5. Estimar la altura del bloque de compresión c</t>
  </si>
  <si>
    <t>c=</t>
  </si>
  <si>
    <t>Proceso iterativo: Comprobar con paso 6 al 9</t>
  </si>
  <si>
    <t>6. Determinar el nivel de deformación en FRP</t>
  </si>
  <si>
    <t>Altura de la viga (h=df)</t>
  </si>
  <si>
    <t>Si controla el FRP, Ɛc debe calcularse</t>
  </si>
  <si>
    <t>Suponiendo falla concreto</t>
  </si>
  <si>
    <t>Suponiendo falla FRP</t>
  </si>
  <si>
    <t>Entonces:</t>
  </si>
  <si>
    <t>Luego:</t>
  </si>
  <si>
    <t>7. Cálculo de la deformación en el acero de refuerzo</t>
  </si>
  <si>
    <t>Falla FRP:</t>
  </si>
  <si>
    <t xml:space="preserve">Deformación en el acero </t>
  </si>
  <si>
    <t>durante la falla</t>
  </si>
  <si>
    <t>Nivel de esfuerzos</t>
  </si>
  <si>
    <t>kg/cm2 &lt;=</t>
  </si>
  <si>
    <t>8. Calculo de las características esfuerzo - deformación del concreto</t>
  </si>
  <si>
    <t>Factores del concreto</t>
  </si>
  <si>
    <t>β1=</t>
  </si>
  <si>
    <t>Deformación a f'c</t>
  </si>
  <si>
    <t>9. Cálculo de fuerzas internas y chequear el equilibrio interno de cargas</t>
  </si>
  <si>
    <t>Concreto</t>
  </si>
  <si>
    <t>Acero</t>
  </si>
  <si>
    <t>Fibras FRP</t>
  </si>
  <si>
    <t>SUMATORIA</t>
  </si>
  <si>
    <t>Cc=</t>
  </si>
  <si>
    <t>kg</t>
  </si>
  <si>
    <t>Ts=</t>
  </si>
  <si>
    <t>Tf=</t>
  </si>
  <si>
    <t>(Debe ser cero)</t>
  </si>
  <si>
    <t>10. Calcular las contribuciones a la resistencia por flexión</t>
  </si>
  <si>
    <t>Contribución del acero</t>
  </si>
  <si>
    <t>Contribución del FRP</t>
  </si>
  <si>
    <t>Mn s=</t>
  </si>
  <si>
    <t>Mn f=</t>
  </si>
  <si>
    <t>tn-m</t>
  </si>
  <si>
    <t>11. Calculo de la resistencia a la flexión de la sección</t>
  </si>
  <si>
    <t>Selección del factor de reducción</t>
  </si>
  <si>
    <t>:</t>
  </si>
  <si>
    <t>ψf=0.85</t>
  </si>
  <si>
    <t>ψf=</t>
  </si>
  <si>
    <t>ϕMn =</t>
  </si>
  <si>
    <t>t-m</t>
  </si>
  <si>
    <t>Zona</t>
  </si>
  <si>
    <t>M. Dead (MDL)</t>
  </si>
  <si>
    <t>M. LIVE (MLL)</t>
  </si>
  <si>
    <t>Incremento de M. Live</t>
  </si>
  <si>
    <t>Servicio</t>
  </si>
  <si>
    <t>Limite sin refuerzo</t>
  </si>
  <si>
    <t>Carga ultima proyectada</t>
  </si>
  <si>
    <t>Momento resistente sin FRP</t>
  </si>
  <si>
    <t>Deficit de resistencia</t>
  </si>
  <si>
    <t>Incremento de M. Dead</t>
  </si>
  <si>
    <t>Momento</t>
  </si>
  <si>
    <t>kN-m</t>
  </si>
  <si>
    <t>Propiedades del sistema FRP a usar: Carbono 1</t>
  </si>
  <si>
    <t>capa de</t>
  </si>
  <si>
    <t>Deformación de rotura *Ɛ fu</t>
  </si>
  <si>
    <t>α1=</t>
  </si>
  <si>
    <r>
      <rPr>
        <b/>
        <u/>
        <sz val="12"/>
        <color theme="1"/>
        <rFont val="Garamond"/>
        <family val="1"/>
      </rPr>
      <t>Respuesta</t>
    </r>
    <r>
      <rPr>
        <sz val="12"/>
        <color theme="1"/>
        <rFont val="Garamond"/>
        <family val="1"/>
      </rPr>
      <t xml:space="preserve">: Usar </t>
    </r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</si>
  <si>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>c=</t>
    </r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</si>
  <si>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 xml:space="preserve"> fu=</t>
    </r>
  </si>
  <si>
    <t>β=</t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</si>
  <si>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 xml:space="preserve"> bi=</t>
    </r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</si>
  <si>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 xml:space="preserve"> fd=</t>
    </r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</si>
  <si>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 xml:space="preserve"> fe=</t>
    </r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</si>
  <si>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 xml:space="preserve"> c=</t>
    </r>
  </si>
  <si>
    <r>
      <rPr>
        <i/>
        <sz val="12"/>
        <color theme="1"/>
        <rFont val="Garamond"/>
        <family val="1"/>
      </rPr>
      <t>Ɛ</t>
    </r>
    <r>
      <rPr>
        <sz val="12"/>
        <color theme="1"/>
        <rFont val="Garamond"/>
        <family val="1"/>
      </rPr>
      <t>s=</t>
    </r>
  </si>
  <si>
    <r>
      <rPr>
        <i/>
        <sz val="12"/>
        <color theme="1"/>
        <rFont val="Garamond"/>
        <family val="1"/>
      </rPr>
      <t>f</t>
    </r>
    <r>
      <rPr>
        <sz val="12"/>
        <color theme="1"/>
        <rFont val="Garamond"/>
        <family val="1"/>
      </rPr>
      <t>s=</t>
    </r>
  </si>
  <si>
    <r>
      <rPr>
        <i/>
        <sz val="12"/>
        <color theme="1"/>
        <rFont val="Garamond"/>
        <family val="1"/>
      </rPr>
      <t xml:space="preserve">f </t>
    </r>
    <r>
      <rPr>
        <sz val="12"/>
        <color theme="1"/>
        <rFont val="Garamond"/>
        <family val="1"/>
      </rPr>
      <t>fe=</t>
    </r>
  </si>
  <si>
    <r>
      <rPr>
        <i/>
        <sz val="12"/>
        <color theme="1"/>
        <rFont val="Garamond"/>
        <family val="1"/>
      </rPr>
      <t>Ɛ'c</t>
    </r>
    <r>
      <rPr>
        <sz val="12"/>
        <color theme="1"/>
        <rFont val="Garamond"/>
        <family val="1"/>
      </rPr>
      <t>=</t>
    </r>
  </si>
  <si>
    <t>ϕ =</t>
  </si>
  <si>
    <r>
      <t>Selección del factor</t>
    </r>
    <r>
      <rPr>
        <sz val="12"/>
        <color theme="1"/>
        <rFont val="Garamond"/>
        <family val="1"/>
      </rPr>
      <t xml:space="preserve"> ψf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</si>
</sst>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u/>
      <sz val="12"/>
      <color theme="1"/>
      <name val="Garamond"/>
      <family val="1"/>
    </font>
    <font>
      <b/>
      <sz val="12"/>
      <color theme="1"/>
      <name val="Garamond"/>
      <family val="1"/>
    </font>
    <font>
      <i/>
      <sz val="12"/>
      <color theme="1"/>
      <name val="Garamond"/>
      <family val="1"/>
    </font>
    <font>
      <b/>
      <i/>
      <sz val="12"/>
      <color theme="1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C6D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6" borderId="0" xfId="0" applyFont="1" applyFill="1" applyAlignment="1">
      <alignment horizontal="right"/>
    </xf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2" borderId="0" xfId="0" applyFont="1" applyFill="1"/>
    <xf numFmtId="0" fontId="1" fillId="2" borderId="9" xfId="0" applyFont="1" applyFill="1" applyBorder="1"/>
    <xf numFmtId="0" fontId="1" fillId="2" borderId="1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0" fontId="1" fillId="2" borderId="10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4" borderId="0" xfId="0" applyFont="1" applyFill="1"/>
    <xf numFmtId="166" fontId="1" fillId="2" borderId="4" xfId="0" applyNumberFormat="1" applyFont="1" applyFill="1" applyBorder="1"/>
    <xf numFmtId="0" fontId="1" fillId="2" borderId="11" xfId="0" applyFont="1" applyFill="1" applyBorder="1"/>
    <xf numFmtId="0" fontId="1" fillId="2" borderId="6" xfId="0" applyFont="1" applyFill="1" applyBorder="1"/>
    <xf numFmtId="0" fontId="1" fillId="2" borderId="8" xfId="0" applyFont="1" applyFill="1" applyBorder="1"/>
    <xf numFmtId="0" fontId="1" fillId="2" borderId="14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5" fillId="2" borderId="0" xfId="0" applyFont="1" applyFill="1" applyBorder="1" applyAlignment="1">
      <alignment horizontal="center" vertical="center"/>
    </xf>
    <xf numFmtId="2" fontId="1" fillId="2" borderId="0" xfId="0" applyNumberFormat="1" applyFont="1" applyFill="1" applyBorder="1"/>
    <xf numFmtId="0" fontId="3" fillId="2" borderId="0" xfId="0" applyFont="1" applyFill="1"/>
    <xf numFmtId="0" fontId="1" fillId="3" borderId="0" xfId="0" applyFont="1" applyFill="1"/>
    <xf numFmtId="1" fontId="1" fillId="2" borderId="0" xfId="0" applyNumberFormat="1" applyFont="1" applyFill="1"/>
    <xf numFmtId="165" fontId="1" fillId="2" borderId="0" xfId="0" applyNumberFormat="1" applyFont="1" applyFill="1"/>
    <xf numFmtId="2" fontId="1" fillId="2" borderId="0" xfId="0" applyNumberFormat="1" applyFont="1" applyFill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/>
    <xf numFmtId="1" fontId="1" fillId="3" borderId="0" xfId="0" applyNumberFormat="1" applyFont="1" applyFill="1"/>
    <xf numFmtId="0" fontId="1" fillId="2" borderId="0" xfId="0" applyFont="1" applyFill="1" applyAlignment="1">
      <alignment horizontal="center"/>
    </xf>
    <xf numFmtId="0" fontId="4" fillId="2" borderId="0" xfId="0" applyFont="1" applyFill="1"/>
    <xf numFmtId="166" fontId="1" fillId="2" borderId="0" xfId="0" applyNumberFormat="1" applyFont="1" applyFill="1"/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C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31</xdr:row>
      <xdr:rowOff>114300</xdr:rowOff>
    </xdr:from>
    <xdr:to>
      <xdr:col>0</xdr:col>
      <xdr:colOff>891540</xdr:colOff>
      <xdr:row>33</xdr:row>
      <xdr:rowOff>200330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EB8B96-C531-43F3-95CC-4E02971C6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1" y="5821680"/>
          <a:ext cx="861059" cy="475920"/>
        </a:xfrm>
        <a:prstGeom prst="rect">
          <a:avLst/>
        </a:prstGeom>
      </xdr:spPr>
    </xdr:pic>
    <xdr:clientData/>
  </xdr:twoCellAnchor>
  <xdr:twoCellAnchor editAs="oneCell">
    <xdr:from>
      <xdr:col>0</xdr:col>
      <xdr:colOff>26894</xdr:colOff>
      <xdr:row>43</xdr:row>
      <xdr:rowOff>143435</xdr:rowOff>
    </xdr:from>
    <xdr:to>
      <xdr:col>1</xdr:col>
      <xdr:colOff>798674</xdr:colOff>
      <xdr:row>45</xdr:row>
      <xdr:rowOff>15442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08980F2-6172-4CE9-B291-8F2E778AC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" y="8045375"/>
          <a:ext cx="2410080" cy="237767"/>
        </a:xfrm>
        <a:prstGeom prst="rect">
          <a:avLst/>
        </a:prstGeom>
      </xdr:spPr>
    </xdr:pic>
    <xdr:clientData/>
  </xdr:twoCellAnchor>
  <xdr:twoCellAnchor editAs="oneCell">
    <xdr:from>
      <xdr:col>0</xdr:col>
      <xdr:colOff>318656</xdr:colOff>
      <xdr:row>47</xdr:row>
      <xdr:rowOff>13854</xdr:rowOff>
    </xdr:from>
    <xdr:to>
      <xdr:col>0</xdr:col>
      <xdr:colOff>1188175</xdr:colOff>
      <xdr:row>49</xdr:row>
      <xdr:rowOff>93756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44D5BD-6ACA-4454-A3DB-A72C3C388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656" y="8647314"/>
          <a:ext cx="869519" cy="477412"/>
        </a:xfrm>
        <a:prstGeom prst="rect">
          <a:avLst/>
        </a:prstGeom>
      </xdr:spPr>
    </xdr:pic>
    <xdr:clientData/>
  </xdr:twoCellAnchor>
  <xdr:twoCellAnchor>
    <xdr:from>
      <xdr:col>0</xdr:col>
      <xdr:colOff>221672</xdr:colOff>
      <xdr:row>38</xdr:row>
      <xdr:rowOff>55419</xdr:rowOff>
    </xdr:from>
    <xdr:to>
      <xdr:col>1</xdr:col>
      <xdr:colOff>266700</xdr:colOff>
      <xdr:row>41</xdr:row>
      <xdr:rowOff>114300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EBC938BD-3F9D-471D-9F1E-E76919F50568}"/>
            </a:ext>
          </a:extLst>
        </xdr:cNvPr>
        <xdr:cNvGrpSpPr/>
      </xdr:nvGrpSpPr>
      <xdr:grpSpPr>
        <a:xfrm>
          <a:off x="221672" y="7703994"/>
          <a:ext cx="1635703" cy="658956"/>
          <a:chOff x="221672" y="4761890"/>
          <a:chExt cx="1550778" cy="634863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CDC28DA9-9406-4B75-937D-F5CBB2CDB8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1672" y="4761890"/>
            <a:ext cx="1475276" cy="634863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A0D4E846-55C2-437D-897D-C170DB121E5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42048" y="4966448"/>
            <a:ext cx="1530402" cy="17929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17929</xdr:colOff>
      <xdr:row>42</xdr:row>
      <xdr:rowOff>161366</xdr:rowOff>
    </xdr:from>
    <xdr:to>
      <xdr:col>0</xdr:col>
      <xdr:colOff>699247</xdr:colOff>
      <xdr:row>43</xdr:row>
      <xdr:rowOff>153163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1C268CBC-E78D-4563-B201-AC5BE14DE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29" y="7880426"/>
          <a:ext cx="681318" cy="1905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</xdr:col>
      <xdr:colOff>6227</xdr:colOff>
      <xdr:row>53</xdr:row>
      <xdr:rowOff>28949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1DB653A-CD9F-4B89-9CB8-513D5EC96A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547860"/>
          <a:ext cx="1593727" cy="22770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</xdr:row>
      <xdr:rowOff>175846</xdr:rowOff>
    </xdr:from>
    <xdr:to>
      <xdr:col>1</xdr:col>
      <xdr:colOff>450746</xdr:colOff>
      <xdr:row>59</xdr:row>
      <xdr:rowOff>24490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0175155-B415-448D-8901-83B6983C5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0638106"/>
          <a:ext cx="2089045" cy="24615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1</xdr:rowOff>
    </xdr:from>
    <xdr:to>
      <xdr:col>1</xdr:col>
      <xdr:colOff>15096</xdr:colOff>
      <xdr:row>65</xdr:row>
      <xdr:rowOff>152276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DF86D7C-180B-438E-99F5-976FAF5D6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1925301"/>
          <a:ext cx="1653395" cy="1522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</xdr:rowOff>
    </xdr:from>
    <xdr:to>
      <xdr:col>0</xdr:col>
      <xdr:colOff>488463</xdr:colOff>
      <xdr:row>66</xdr:row>
      <xdr:rowOff>159203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600609D9-039E-466B-AF19-0DD5DE5EE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2108181"/>
          <a:ext cx="488462" cy="1592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</xdr:rowOff>
    </xdr:from>
    <xdr:to>
      <xdr:col>1</xdr:col>
      <xdr:colOff>465717</xdr:colOff>
      <xdr:row>68</xdr:row>
      <xdr:rowOff>144267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3A45CC9-D133-4F22-BA72-E8410EB44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473941"/>
          <a:ext cx="2104017" cy="1442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0</xdr:rowOff>
    </xdr:from>
    <xdr:to>
      <xdr:col>1</xdr:col>
      <xdr:colOff>115197</xdr:colOff>
      <xdr:row>72</xdr:row>
      <xdr:rowOff>165138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902E853-0D01-46A8-A02C-7D875748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13205460"/>
          <a:ext cx="1753496" cy="165138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914401</xdr:colOff>
      <xdr:row>73</xdr:row>
      <xdr:rowOff>144781</xdr:rowOff>
    </xdr:from>
    <xdr:to>
      <xdr:col>1</xdr:col>
      <xdr:colOff>101086</xdr:colOff>
      <xdr:row>76</xdr:row>
      <xdr:rowOff>165734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3A05745F-D78A-48A8-8E40-FFF46EDB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4401" y="13533121"/>
          <a:ext cx="824985" cy="60959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80</xdr:row>
      <xdr:rowOff>22860</xdr:rowOff>
    </xdr:from>
    <xdr:to>
      <xdr:col>1</xdr:col>
      <xdr:colOff>313317</xdr:colOff>
      <xdr:row>82</xdr:row>
      <xdr:rowOff>102424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E0344CF-D324-4FDD-B458-6E46938CF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9540" y="14691360"/>
          <a:ext cx="1822077" cy="477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182881</xdr:colOff>
      <xdr:row>78</xdr:row>
      <xdr:rowOff>160020</xdr:rowOff>
    </xdr:from>
    <xdr:to>
      <xdr:col>0</xdr:col>
      <xdr:colOff>1294554</xdr:colOff>
      <xdr:row>79</xdr:row>
      <xdr:rowOff>201421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17C7A786-5B15-40F5-A715-F0C491931F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1" y="14462760"/>
          <a:ext cx="1111673" cy="232536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426721</xdr:colOff>
      <xdr:row>84</xdr:row>
      <xdr:rowOff>7621</xdr:rowOff>
    </xdr:from>
    <xdr:to>
      <xdr:col>0</xdr:col>
      <xdr:colOff>1580478</xdr:colOff>
      <xdr:row>84</xdr:row>
      <xdr:rowOff>203241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A1056CB1-3CED-4A96-89A5-E60B2116EF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6721" y="15407641"/>
          <a:ext cx="1153757" cy="188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678180</xdr:colOff>
      <xdr:row>84</xdr:row>
      <xdr:rowOff>175261</xdr:rowOff>
    </xdr:from>
    <xdr:to>
      <xdr:col>0</xdr:col>
      <xdr:colOff>1375126</xdr:colOff>
      <xdr:row>85</xdr:row>
      <xdr:rowOff>151765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BDB4D9B8-DDEF-46A8-9F48-C96F85F4E8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8180" y="15575281"/>
          <a:ext cx="696946" cy="175259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723901</xdr:colOff>
      <xdr:row>86</xdr:row>
      <xdr:rowOff>7620</xdr:rowOff>
    </xdr:from>
    <xdr:to>
      <xdr:col>0</xdr:col>
      <xdr:colOff>1340274</xdr:colOff>
      <xdr:row>86</xdr:row>
      <xdr:rowOff>159689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7D8D255-D9BE-4ECF-BED4-998A733D52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3901" y="15773400"/>
          <a:ext cx="616373" cy="152069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90</xdr:row>
      <xdr:rowOff>0</xdr:rowOff>
    </xdr:from>
    <xdr:to>
      <xdr:col>1</xdr:col>
      <xdr:colOff>166844</xdr:colOff>
      <xdr:row>90</xdr:row>
      <xdr:rowOff>192638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C061F561-F00B-4F5F-A183-18AFF4A5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3200" y="16497300"/>
          <a:ext cx="1601944" cy="185018"/>
        </a:xfrm>
        <a:prstGeom prst="rect">
          <a:avLst/>
        </a:prstGeom>
      </xdr:spPr>
    </xdr:pic>
    <xdr:clientData/>
  </xdr:twoCellAnchor>
  <xdr:twoCellAnchor editAs="oneCell">
    <xdr:from>
      <xdr:col>0</xdr:col>
      <xdr:colOff>179024</xdr:colOff>
      <xdr:row>91</xdr:row>
      <xdr:rowOff>25402</xdr:rowOff>
    </xdr:from>
    <xdr:to>
      <xdr:col>1</xdr:col>
      <xdr:colOff>214620</xdr:colOff>
      <xdr:row>92</xdr:row>
      <xdr:rowOff>9525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4B1A48FC-CA10-4660-A17C-D208EBE78C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9024" y="16705582"/>
          <a:ext cx="1673896" cy="18287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95</xdr:row>
      <xdr:rowOff>16933</xdr:rowOff>
    </xdr:from>
    <xdr:to>
      <xdr:col>0</xdr:col>
      <xdr:colOff>1528937</xdr:colOff>
      <xdr:row>96</xdr:row>
      <xdr:rowOff>146390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72F3330C-8638-44BC-92DE-EF90BA3F0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1601" y="17428633"/>
          <a:ext cx="1427336" cy="328212"/>
        </a:xfrm>
        <a:prstGeom prst="rect">
          <a:avLst/>
        </a:prstGeom>
      </xdr:spPr>
    </xdr:pic>
    <xdr:clientData/>
  </xdr:twoCellAnchor>
  <xdr:twoCellAnchor editAs="oneCell">
    <xdr:from>
      <xdr:col>0</xdr:col>
      <xdr:colOff>141911</xdr:colOff>
      <xdr:row>97</xdr:row>
      <xdr:rowOff>42713</xdr:rowOff>
    </xdr:from>
    <xdr:to>
      <xdr:col>1</xdr:col>
      <xdr:colOff>553106</xdr:colOff>
      <xdr:row>99</xdr:row>
      <xdr:rowOff>2497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6B19F93-4918-42D0-8E85-F5B782FC07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l="1528"/>
        <a:stretch/>
      </xdr:blipFill>
      <xdr:spPr>
        <a:xfrm>
          <a:off x="141911" y="17820173"/>
          <a:ext cx="2049495" cy="357294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99</xdr:row>
      <xdr:rowOff>127952</xdr:rowOff>
    </xdr:from>
    <xdr:to>
      <xdr:col>1</xdr:col>
      <xdr:colOff>121</xdr:colOff>
      <xdr:row>101</xdr:row>
      <xdr:rowOff>93502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A5BCEF57-6886-4D98-B860-5502C03A55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7000" y="18271172"/>
          <a:ext cx="1479671" cy="366235"/>
        </a:xfrm>
        <a:prstGeom prst="rect">
          <a:avLst/>
        </a:prstGeom>
      </xdr:spPr>
    </xdr:pic>
    <xdr:clientData/>
  </xdr:twoCellAnchor>
  <xdr:twoCellAnchor editAs="oneCell">
    <xdr:from>
      <xdr:col>0</xdr:col>
      <xdr:colOff>145550</xdr:colOff>
      <xdr:row>104</xdr:row>
      <xdr:rowOff>8561</xdr:rowOff>
    </xdr:from>
    <xdr:to>
      <xdr:col>1</xdr:col>
      <xdr:colOff>145248</xdr:colOff>
      <xdr:row>105</xdr:row>
      <xdr:rowOff>11689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7F948A5E-3096-4F2F-8A5D-A15326AEDF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5550" y="19066181"/>
          <a:ext cx="1637998" cy="2018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30481</xdr:colOff>
      <xdr:row>31</xdr:row>
      <xdr:rowOff>114300</xdr:rowOff>
    </xdr:from>
    <xdr:to>
      <xdr:col>0</xdr:col>
      <xdr:colOff>891540</xdr:colOff>
      <xdr:row>34</xdr:row>
      <xdr:rowOff>5861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A8D681C-9B33-445D-8FF8-81A649A39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1" y="5821680"/>
          <a:ext cx="861059" cy="475920"/>
        </a:xfrm>
        <a:prstGeom prst="rect">
          <a:avLst/>
        </a:prstGeom>
      </xdr:spPr>
    </xdr:pic>
    <xdr:clientData/>
  </xdr:twoCellAnchor>
  <xdr:twoCellAnchor editAs="oneCell">
    <xdr:from>
      <xdr:col>0</xdr:col>
      <xdr:colOff>26894</xdr:colOff>
      <xdr:row>43</xdr:row>
      <xdr:rowOff>143435</xdr:rowOff>
    </xdr:from>
    <xdr:to>
      <xdr:col>1</xdr:col>
      <xdr:colOff>798674</xdr:colOff>
      <xdr:row>45</xdr:row>
      <xdr:rowOff>39254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D6A9C17-0607-4F59-B2C5-C33C0D6ACF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6894" y="8045375"/>
          <a:ext cx="2410080" cy="237767"/>
        </a:xfrm>
        <a:prstGeom prst="rect">
          <a:avLst/>
        </a:prstGeom>
      </xdr:spPr>
    </xdr:pic>
    <xdr:clientData/>
  </xdr:twoCellAnchor>
  <xdr:twoCellAnchor editAs="oneCell">
    <xdr:from>
      <xdr:col>0</xdr:col>
      <xdr:colOff>318656</xdr:colOff>
      <xdr:row>47</xdr:row>
      <xdr:rowOff>13854</xdr:rowOff>
    </xdr:from>
    <xdr:to>
      <xdr:col>0</xdr:col>
      <xdr:colOff>1188175</xdr:colOff>
      <xdr:row>49</xdr:row>
      <xdr:rowOff>101693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89BE143-50B7-41F2-B959-381BDDBD8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8656" y="8647314"/>
          <a:ext cx="869519" cy="477412"/>
        </a:xfrm>
        <a:prstGeom prst="rect">
          <a:avLst/>
        </a:prstGeom>
      </xdr:spPr>
    </xdr:pic>
    <xdr:clientData/>
  </xdr:twoCellAnchor>
  <xdr:twoCellAnchor>
    <xdr:from>
      <xdr:col>0</xdr:col>
      <xdr:colOff>221672</xdr:colOff>
      <xdr:row>38</xdr:row>
      <xdr:rowOff>55419</xdr:rowOff>
    </xdr:from>
    <xdr:to>
      <xdr:col>1</xdr:col>
      <xdr:colOff>266700</xdr:colOff>
      <xdr:row>41</xdr:row>
      <xdr:rowOff>114300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94A783D1-1FC2-4920-8337-851BA3E6855E}"/>
            </a:ext>
          </a:extLst>
        </xdr:cNvPr>
        <xdr:cNvGrpSpPr/>
      </xdr:nvGrpSpPr>
      <xdr:grpSpPr>
        <a:xfrm>
          <a:off x="221672" y="7703994"/>
          <a:ext cx="1635703" cy="658956"/>
          <a:chOff x="221672" y="4761890"/>
          <a:chExt cx="1550778" cy="634863"/>
        </a:xfrm>
      </xdr:grpSpPr>
      <xdr:pic>
        <xdr:nvPicPr>
          <xdr:cNvPr id="6" name="Imagen 5">
            <a:extLst>
              <a:ext uri="{FF2B5EF4-FFF2-40B4-BE49-F238E27FC236}">
                <a16:creationId xmlns:a16="http://schemas.microsoft.com/office/drawing/2014/main" id="{463724AD-31BD-4C3B-A28C-D6FFA8CE3B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221672" y="4761890"/>
            <a:ext cx="1475276" cy="634863"/>
          </a:xfrm>
          <a:prstGeom prst="rect">
            <a:avLst/>
          </a:prstGeom>
        </xdr:spPr>
      </xdr:pic>
      <xdr:pic>
        <xdr:nvPicPr>
          <xdr:cNvPr id="7" name="Imagen 6">
            <a:extLst>
              <a:ext uri="{FF2B5EF4-FFF2-40B4-BE49-F238E27FC236}">
                <a16:creationId xmlns:a16="http://schemas.microsoft.com/office/drawing/2014/main" id="{89731CD1-9370-4C11-9C93-E02230BEB3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242048" y="4966448"/>
            <a:ext cx="1530402" cy="17929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17929</xdr:colOff>
      <xdr:row>42</xdr:row>
      <xdr:rowOff>161366</xdr:rowOff>
    </xdr:from>
    <xdr:to>
      <xdr:col>0</xdr:col>
      <xdr:colOff>699247</xdr:colOff>
      <xdr:row>43</xdr:row>
      <xdr:rowOff>157132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1A4EC8A-A878-4170-89CD-B7C127AE30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929" y="7880426"/>
          <a:ext cx="681318" cy="1905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</xdr:col>
      <xdr:colOff>6227</xdr:colOff>
      <xdr:row>53</xdr:row>
      <xdr:rowOff>32917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9808F49-72A6-4E5C-A42B-1A7687FAA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9547860"/>
          <a:ext cx="1593727" cy="22770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57</xdr:row>
      <xdr:rowOff>175846</xdr:rowOff>
    </xdr:from>
    <xdr:to>
      <xdr:col>1</xdr:col>
      <xdr:colOff>450746</xdr:colOff>
      <xdr:row>59</xdr:row>
      <xdr:rowOff>32428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4A18AEF-BB35-44ED-8205-22536229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" y="10638106"/>
          <a:ext cx="2089045" cy="246154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65</xdr:row>
      <xdr:rowOff>1</xdr:rowOff>
    </xdr:from>
    <xdr:to>
      <xdr:col>1</xdr:col>
      <xdr:colOff>15096</xdr:colOff>
      <xdr:row>65</xdr:row>
      <xdr:rowOff>152276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441A9EA-4312-481E-902E-36566A992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" y="11925301"/>
          <a:ext cx="1653395" cy="15227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66</xdr:row>
      <xdr:rowOff>1</xdr:rowOff>
    </xdr:from>
    <xdr:to>
      <xdr:col>0</xdr:col>
      <xdr:colOff>488463</xdr:colOff>
      <xdr:row>66</xdr:row>
      <xdr:rowOff>159203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36D6659-8A09-4FE1-9192-4CC3C55816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" y="12108181"/>
          <a:ext cx="488462" cy="1592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</xdr:rowOff>
    </xdr:from>
    <xdr:to>
      <xdr:col>1</xdr:col>
      <xdr:colOff>465717</xdr:colOff>
      <xdr:row>68</xdr:row>
      <xdr:rowOff>144267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1951F8C5-593F-43FD-AE46-53B439A10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473941"/>
          <a:ext cx="2104017" cy="144266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72</xdr:row>
      <xdr:rowOff>0</xdr:rowOff>
    </xdr:from>
    <xdr:to>
      <xdr:col>1</xdr:col>
      <xdr:colOff>115197</xdr:colOff>
      <xdr:row>72</xdr:row>
      <xdr:rowOff>165138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CD4C6B2-F908-43F1-B693-CC88D022F3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" y="13205460"/>
          <a:ext cx="1753496" cy="165138"/>
        </a:xfrm>
        <a:prstGeom prst="rect">
          <a:avLst/>
        </a:prstGeom>
      </xdr:spPr>
    </xdr:pic>
    <xdr:clientData/>
  </xdr:twoCellAnchor>
  <xdr:twoCellAnchor editAs="oneCell">
    <xdr:from>
      <xdr:col>0</xdr:col>
      <xdr:colOff>914401</xdr:colOff>
      <xdr:row>73</xdr:row>
      <xdr:rowOff>144781</xdr:rowOff>
    </xdr:from>
    <xdr:to>
      <xdr:col>1</xdr:col>
      <xdr:colOff>101086</xdr:colOff>
      <xdr:row>76</xdr:row>
      <xdr:rowOff>177641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AEA33A7-469E-4A79-91A6-CEAABF2142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914401" y="13533121"/>
          <a:ext cx="824985" cy="60959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129540</xdr:colOff>
      <xdr:row>80</xdr:row>
      <xdr:rowOff>22860</xdr:rowOff>
    </xdr:from>
    <xdr:to>
      <xdr:col>1</xdr:col>
      <xdr:colOff>313317</xdr:colOff>
      <xdr:row>82</xdr:row>
      <xdr:rowOff>110361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952ED11-7CFD-4F78-BF31-35C3EBE31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29540" y="14691360"/>
          <a:ext cx="1822077" cy="477074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182881</xdr:colOff>
      <xdr:row>78</xdr:row>
      <xdr:rowOff>160020</xdr:rowOff>
    </xdr:from>
    <xdr:to>
      <xdr:col>0</xdr:col>
      <xdr:colOff>1294554</xdr:colOff>
      <xdr:row>80</xdr:row>
      <xdr:rowOff>2984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C877C29E-6AF5-4107-ADE1-3C2E70119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82881" y="14462760"/>
          <a:ext cx="1111673" cy="232536"/>
        </a:xfrm>
        <a:prstGeom prst="rect">
          <a:avLst/>
        </a:prstGeom>
      </xdr:spPr>
    </xdr:pic>
    <xdr:clientData/>
  </xdr:twoCellAnchor>
  <xdr:twoCellAnchor editAs="oneCell">
    <xdr:from>
      <xdr:col>0</xdr:col>
      <xdr:colOff>426721</xdr:colOff>
      <xdr:row>84</xdr:row>
      <xdr:rowOff>7621</xdr:rowOff>
    </xdr:from>
    <xdr:to>
      <xdr:col>0</xdr:col>
      <xdr:colOff>1580478</xdr:colOff>
      <xdr:row>85</xdr:row>
      <xdr:rowOff>834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8CE20508-AD87-4887-807E-19A3767697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26721" y="15407641"/>
          <a:ext cx="1153757" cy="188000"/>
        </a:xfrm>
        <a:prstGeom prst="rect">
          <a:avLst/>
        </a:prstGeom>
      </xdr:spPr>
    </xdr:pic>
    <xdr:clientData/>
  </xdr:twoCellAnchor>
  <xdr:twoCellAnchor editAs="oneCell">
    <xdr:from>
      <xdr:col>0</xdr:col>
      <xdr:colOff>678180</xdr:colOff>
      <xdr:row>84</xdr:row>
      <xdr:rowOff>175261</xdr:rowOff>
    </xdr:from>
    <xdr:to>
      <xdr:col>0</xdr:col>
      <xdr:colOff>1375126</xdr:colOff>
      <xdr:row>85</xdr:row>
      <xdr:rowOff>155733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699810C4-9C66-41B6-953C-E574EE510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78180" y="15575281"/>
          <a:ext cx="696946" cy="175259"/>
        </a:xfrm>
        <a:prstGeom prst="rect">
          <a:avLst/>
        </a:prstGeom>
      </xdr:spPr>
    </xdr:pic>
    <xdr:clientData/>
  </xdr:twoCellAnchor>
  <xdr:twoCellAnchor editAs="oneCell">
    <xdr:from>
      <xdr:col>0</xdr:col>
      <xdr:colOff>723901</xdr:colOff>
      <xdr:row>86</xdr:row>
      <xdr:rowOff>7620</xdr:rowOff>
    </xdr:from>
    <xdr:to>
      <xdr:col>0</xdr:col>
      <xdr:colOff>1340274</xdr:colOff>
      <xdr:row>86</xdr:row>
      <xdr:rowOff>159689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5DDD66E0-0F29-44B0-9555-0806CE559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723901" y="15773400"/>
          <a:ext cx="616373" cy="152069"/>
        </a:xfrm>
        <a:prstGeom prst="rect">
          <a:avLst/>
        </a:prstGeom>
      </xdr:spPr>
    </xdr:pic>
    <xdr:clientData/>
  </xdr:twoCellAnchor>
  <xdr:twoCellAnchor editAs="oneCell">
    <xdr:from>
      <xdr:col>0</xdr:col>
      <xdr:colOff>203200</xdr:colOff>
      <xdr:row>90</xdr:row>
      <xdr:rowOff>0</xdr:rowOff>
    </xdr:from>
    <xdr:to>
      <xdr:col>1</xdr:col>
      <xdr:colOff>166844</xdr:colOff>
      <xdr:row>90</xdr:row>
      <xdr:rowOff>192638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1805D52-0945-4999-B8E7-F2FE4AA763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03200" y="16497300"/>
          <a:ext cx="1601944" cy="185018"/>
        </a:xfrm>
        <a:prstGeom prst="rect">
          <a:avLst/>
        </a:prstGeom>
      </xdr:spPr>
    </xdr:pic>
    <xdr:clientData/>
  </xdr:twoCellAnchor>
  <xdr:twoCellAnchor editAs="oneCell">
    <xdr:from>
      <xdr:col>0</xdr:col>
      <xdr:colOff>179024</xdr:colOff>
      <xdr:row>91</xdr:row>
      <xdr:rowOff>25402</xdr:rowOff>
    </xdr:from>
    <xdr:to>
      <xdr:col>1</xdr:col>
      <xdr:colOff>214620</xdr:colOff>
      <xdr:row>92</xdr:row>
      <xdr:rowOff>13494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8C7866FA-70AC-401E-B3AF-0503E0882D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79024" y="16705582"/>
          <a:ext cx="1673896" cy="182878"/>
        </a:xfrm>
        <a:prstGeom prst="rect">
          <a:avLst/>
        </a:prstGeom>
      </xdr:spPr>
    </xdr:pic>
    <xdr:clientData/>
  </xdr:twoCellAnchor>
  <xdr:twoCellAnchor editAs="oneCell">
    <xdr:from>
      <xdr:col>0</xdr:col>
      <xdr:colOff>101601</xdr:colOff>
      <xdr:row>95</xdr:row>
      <xdr:rowOff>16933</xdr:rowOff>
    </xdr:from>
    <xdr:to>
      <xdr:col>0</xdr:col>
      <xdr:colOff>1528937</xdr:colOff>
      <xdr:row>96</xdr:row>
      <xdr:rowOff>150359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5F545BC-B913-439A-BD5A-A9156E49E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101601" y="17428633"/>
          <a:ext cx="1427336" cy="328212"/>
        </a:xfrm>
        <a:prstGeom prst="rect">
          <a:avLst/>
        </a:prstGeom>
      </xdr:spPr>
    </xdr:pic>
    <xdr:clientData/>
  </xdr:twoCellAnchor>
  <xdr:twoCellAnchor editAs="oneCell">
    <xdr:from>
      <xdr:col>0</xdr:col>
      <xdr:colOff>141911</xdr:colOff>
      <xdr:row>97</xdr:row>
      <xdr:rowOff>42713</xdr:rowOff>
    </xdr:from>
    <xdr:to>
      <xdr:col>1</xdr:col>
      <xdr:colOff>553106</xdr:colOff>
      <xdr:row>99</xdr:row>
      <xdr:rowOff>10435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D2CE40D7-ACCB-4697-825C-DEB1FE6CB7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/>
        <a:srcRect l="1528"/>
        <a:stretch/>
      </xdr:blipFill>
      <xdr:spPr>
        <a:xfrm>
          <a:off x="141911" y="17820173"/>
          <a:ext cx="2049495" cy="357294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127000</xdr:colOff>
      <xdr:row>99</xdr:row>
      <xdr:rowOff>127952</xdr:rowOff>
    </xdr:from>
    <xdr:to>
      <xdr:col>1</xdr:col>
      <xdr:colOff>121</xdr:colOff>
      <xdr:row>101</xdr:row>
      <xdr:rowOff>97471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617E1AD1-195F-40B3-BCBC-DD22A19673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127000" y="18271172"/>
          <a:ext cx="1479671" cy="362425"/>
        </a:xfrm>
        <a:prstGeom prst="rect">
          <a:avLst/>
        </a:prstGeom>
      </xdr:spPr>
    </xdr:pic>
    <xdr:clientData/>
  </xdr:twoCellAnchor>
  <xdr:twoCellAnchor editAs="oneCell">
    <xdr:from>
      <xdr:col>0</xdr:col>
      <xdr:colOff>145550</xdr:colOff>
      <xdr:row>104</xdr:row>
      <xdr:rowOff>8561</xdr:rowOff>
    </xdr:from>
    <xdr:to>
      <xdr:col>1</xdr:col>
      <xdr:colOff>145248</xdr:colOff>
      <xdr:row>105</xdr:row>
      <xdr:rowOff>15657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841FD6B9-2991-4999-9495-AFDAD7F9F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145550" y="19081421"/>
          <a:ext cx="1637998" cy="2018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52F40-9981-4A4F-9076-2438BD6E6FAC}">
  <dimension ref="A1:I111"/>
  <sheetViews>
    <sheetView tabSelected="1" view="pageBreakPreview" zoomScaleNormal="80" zoomScaleSheetLayoutView="100" workbookViewId="0">
      <selection activeCell="K6" sqref="K6"/>
    </sheetView>
  </sheetViews>
  <sheetFormatPr defaultColWidth="11.5703125" defaultRowHeight="15.75" x14ac:dyDescent="0.25"/>
  <cols>
    <col min="1" max="1" width="23.85546875" style="5" customWidth="1"/>
    <col min="2" max="2" width="12.28515625" style="5" customWidth="1"/>
    <col min="3" max="3" width="22.7109375" style="5" customWidth="1"/>
    <col min="4" max="4" width="8.28515625" style="5" customWidth="1"/>
    <col min="5" max="5" width="13.85546875" style="5" customWidth="1"/>
    <col min="6" max="16384" width="11.5703125" style="5"/>
  </cols>
  <sheetData>
    <row r="1" spans="1:6" ht="16.5" thickBot="1" x14ac:dyDescent="0.3">
      <c r="A1" s="41" t="s">
        <v>0</v>
      </c>
      <c r="B1" s="42"/>
      <c r="C1" s="43"/>
    </row>
    <row r="2" spans="1:6" x14ac:dyDescent="0.25">
      <c r="A2" s="6" t="s">
        <v>1</v>
      </c>
      <c r="B2" s="7">
        <v>6</v>
      </c>
      <c r="C2" s="8" t="s">
        <v>3</v>
      </c>
      <c r="D2" s="9" t="s">
        <v>107</v>
      </c>
      <c r="E2" s="10">
        <f>+B8/B9</f>
        <v>1.1190309045525173E-3</v>
      </c>
    </row>
    <row r="3" spans="1:6" x14ac:dyDescent="0.25">
      <c r="A3" s="11" t="s">
        <v>2</v>
      </c>
      <c r="B3" s="12">
        <v>8</v>
      </c>
      <c r="C3" s="13" t="s">
        <v>3</v>
      </c>
      <c r="D3" s="9" t="s">
        <v>30</v>
      </c>
      <c r="E3" s="5">
        <f>3*2</f>
        <v>6</v>
      </c>
      <c r="F3" s="5" t="s">
        <v>27</v>
      </c>
    </row>
    <row r="4" spans="1:6" x14ac:dyDescent="0.25">
      <c r="A4" s="11" t="s">
        <v>4</v>
      </c>
      <c r="B4" s="12">
        <v>5</v>
      </c>
      <c r="C4" s="13" t="s">
        <v>3</v>
      </c>
      <c r="D4" s="9"/>
    </row>
    <row r="5" spans="1:6" x14ac:dyDescent="0.25">
      <c r="A5" s="11" t="s">
        <v>5</v>
      </c>
      <c r="B5" s="12">
        <v>0.3</v>
      </c>
      <c r="C5" s="13" t="s">
        <v>3</v>
      </c>
      <c r="D5" s="5" t="s">
        <v>41</v>
      </c>
      <c r="E5" s="14">
        <v>349762.66</v>
      </c>
      <c r="F5" s="5" t="s">
        <v>42</v>
      </c>
    </row>
    <row r="6" spans="1:6" x14ac:dyDescent="0.25">
      <c r="A6" s="11" t="s">
        <v>6</v>
      </c>
      <c r="B6" s="12">
        <v>0.44</v>
      </c>
      <c r="C6" s="13" t="s">
        <v>3</v>
      </c>
      <c r="D6" s="5">
        <f>+B5*100*(E55*B6*100)^3/3</f>
        <v>10870.101621323756</v>
      </c>
    </row>
    <row r="7" spans="1:6" x14ac:dyDescent="0.25">
      <c r="A7" s="11" t="s">
        <v>51</v>
      </c>
      <c r="B7" s="12">
        <v>0.5</v>
      </c>
      <c r="C7" s="13" t="s">
        <v>3</v>
      </c>
      <c r="D7" s="5">
        <f>+E53*E3*((B6*100)-((E55*B6*100)))^2</f>
        <v>53469.819694733989</v>
      </c>
      <c r="E7" s="5">
        <f>+((B5*(B6*E55)^3/3)+(E53*E3*10^(-4)*(B6-(E55*B6))^2))*10^(8)</f>
        <v>64339.921316057742</v>
      </c>
    </row>
    <row r="8" spans="1:6" x14ac:dyDescent="0.25">
      <c r="A8" s="11" t="s">
        <v>7</v>
      </c>
      <c r="B8" s="12">
        <v>285.52100000000002</v>
      </c>
      <c r="C8" s="13" t="s">
        <v>11</v>
      </c>
      <c r="D8" s="5">
        <f>+D6+D7</f>
        <v>64339.921316057749</v>
      </c>
    </row>
    <row r="9" spans="1:6" x14ac:dyDescent="0.25">
      <c r="A9" s="11" t="s">
        <v>8</v>
      </c>
      <c r="B9" s="15">
        <f>15100*(B8)^(1/2)</f>
        <v>255150.23654701951</v>
      </c>
      <c r="C9" s="13" t="s">
        <v>11</v>
      </c>
    </row>
    <row r="10" spans="1:6" x14ac:dyDescent="0.25">
      <c r="A10" s="11" t="s">
        <v>9</v>
      </c>
      <c r="B10" s="15">
        <v>4282.8100000000004</v>
      </c>
      <c r="C10" s="13" t="s">
        <v>11</v>
      </c>
      <c r="E10" s="5">
        <f>625000*(65-(0.24*57))/(153355*252671)</f>
        <v>8.2777694339912153E-4</v>
      </c>
    </row>
    <row r="11" spans="1:6" ht="16.5" thickBot="1" x14ac:dyDescent="0.3">
      <c r="A11" s="16" t="s">
        <v>10</v>
      </c>
      <c r="B11" s="17">
        <v>2000000</v>
      </c>
      <c r="C11" s="18" t="s">
        <v>11</v>
      </c>
    </row>
    <row r="12" spans="1:6" ht="16.5" thickBot="1" x14ac:dyDescent="0.3"/>
    <row r="13" spans="1:6" ht="16.5" thickBot="1" x14ac:dyDescent="0.3">
      <c r="A13" s="44" t="s">
        <v>102</v>
      </c>
      <c r="B13" s="45"/>
      <c r="C13" s="45"/>
      <c r="D13" s="19"/>
    </row>
    <row r="14" spans="1:6" x14ac:dyDescent="0.25">
      <c r="A14" s="7" t="s">
        <v>12</v>
      </c>
      <c r="B14" s="8"/>
      <c r="C14" s="20">
        <v>0.1</v>
      </c>
      <c r="D14" s="13" t="s">
        <v>14</v>
      </c>
    </row>
    <row r="15" spans="1:6" x14ac:dyDescent="0.25">
      <c r="A15" s="12" t="s">
        <v>13</v>
      </c>
      <c r="B15" s="13"/>
      <c r="C15" s="20">
        <v>10054.4</v>
      </c>
      <c r="D15" s="13" t="s">
        <v>11</v>
      </c>
    </row>
    <row r="16" spans="1:6" x14ac:dyDescent="0.25">
      <c r="A16" s="12" t="s">
        <v>104</v>
      </c>
      <c r="B16" s="13"/>
      <c r="C16" s="20">
        <v>0.01</v>
      </c>
      <c r="D16" s="13"/>
      <c r="E16" s="5">
        <f>0.7*C16</f>
        <v>6.9999999999999993E-3</v>
      </c>
    </row>
    <row r="17" spans="1:4" ht="16.5" thickBot="1" x14ac:dyDescent="0.3">
      <c r="A17" s="17" t="s">
        <v>15</v>
      </c>
      <c r="B17" s="18"/>
      <c r="C17" s="21">
        <v>976888.1</v>
      </c>
      <c r="D17" s="18" t="s">
        <v>11</v>
      </c>
    </row>
    <row r="18" spans="1:4" x14ac:dyDescent="0.25">
      <c r="A18" s="20"/>
      <c r="B18" s="20"/>
      <c r="C18" s="20"/>
      <c r="D18" s="20"/>
    </row>
    <row r="19" spans="1:4" x14ac:dyDescent="0.25">
      <c r="A19" s="22" t="s">
        <v>90</v>
      </c>
      <c r="B19" s="22" t="s">
        <v>100</v>
      </c>
      <c r="C19" s="20"/>
      <c r="D19" s="20"/>
    </row>
    <row r="20" spans="1:4" x14ac:dyDescent="0.25">
      <c r="A20" s="20" t="s">
        <v>91</v>
      </c>
      <c r="B20" s="20">
        <v>24.5</v>
      </c>
      <c r="C20" s="20" t="s">
        <v>101</v>
      </c>
      <c r="D20" s="20"/>
    </row>
    <row r="21" spans="1:4" x14ac:dyDescent="0.25">
      <c r="A21" s="20" t="s">
        <v>92</v>
      </c>
      <c r="B21" s="20">
        <v>39.299999999999997</v>
      </c>
      <c r="C21" s="20" t="s">
        <v>101</v>
      </c>
      <c r="D21" s="20"/>
    </row>
    <row r="22" spans="1:4" x14ac:dyDescent="0.25">
      <c r="A22" s="20" t="s">
        <v>99</v>
      </c>
      <c r="B22" s="20">
        <v>9.8000000000000007</v>
      </c>
      <c r="C22" s="20" t="s">
        <v>101</v>
      </c>
      <c r="D22" s="20"/>
    </row>
    <row r="23" spans="1:4" x14ac:dyDescent="0.25">
      <c r="A23" s="20" t="s">
        <v>93</v>
      </c>
      <c r="B23" s="20">
        <v>9.8000000000000007</v>
      </c>
      <c r="C23" s="20" t="s">
        <v>101</v>
      </c>
      <c r="D23" s="20"/>
    </row>
    <row r="24" spans="1:4" x14ac:dyDescent="0.25">
      <c r="A24" s="20" t="s">
        <v>94</v>
      </c>
      <c r="B24" s="20">
        <f>+SUM(B20:B23)</f>
        <v>83.399999999999991</v>
      </c>
      <c r="C24" s="20" t="s">
        <v>101</v>
      </c>
      <c r="D24" s="20"/>
    </row>
    <row r="25" spans="1:4" x14ac:dyDescent="0.25">
      <c r="A25" s="20" t="s">
        <v>95</v>
      </c>
      <c r="B25" s="20">
        <f>1.1*(B20+B22)+0.75*(B21+B23)</f>
        <v>74.554999999999993</v>
      </c>
      <c r="C25" s="20" t="s">
        <v>101</v>
      </c>
      <c r="D25" s="20"/>
    </row>
    <row r="26" spans="1:4" x14ac:dyDescent="0.25">
      <c r="A26" s="20" t="s">
        <v>96</v>
      </c>
      <c r="B26" s="23">
        <f>+(1.2*(B20+B22)+1.6*(B21+B23))</f>
        <v>119.72</v>
      </c>
      <c r="C26" s="20" t="s">
        <v>101</v>
      </c>
      <c r="D26" s="20"/>
    </row>
    <row r="27" spans="1:4" x14ac:dyDescent="0.25">
      <c r="A27" s="20" t="s">
        <v>97</v>
      </c>
      <c r="B27" s="23">
        <f>+E96*B25</f>
        <v>67.099499999999992</v>
      </c>
      <c r="C27" s="20" t="s">
        <v>101</v>
      </c>
      <c r="D27" s="20"/>
    </row>
    <row r="28" spans="1:4" x14ac:dyDescent="0.25">
      <c r="A28" s="20" t="s">
        <v>98</v>
      </c>
      <c r="B28" s="23">
        <f>+B26-B27</f>
        <v>52.620500000000007</v>
      </c>
      <c r="C28" s="20" t="s">
        <v>101</v>
      </c>
      <c r="D28" s="20"/>
    </row>
    <row r="29" spans="1:4" x14ac:dyDescent="0.25">
      <c r="A29" s="20"/>
      <c r="B29" s="20"/>
      <c r="C29" s="20"/>
      <c r="D29" s="20"/>
    </row>
    <row r="31" spans="1:4" x14ac:dyDescent="0.25">
      <c r="A31" s="24" t="s">
        <v>32</v>
      </c>
    </row>
    <row r="33" spans="1:9" x14ac:dyDescent="0.25">
      <c r="D33" s="5" t="s">
        <v>16</v>
      </c>
      <c r="E33" s="25">
        <v>0.95</v>
      </c>
    </row>
    <row r="34" spans="1:9" x14ac:dyDescent="0.25">
      <c r="D34" s="5" t="s">
        <v>17</v>
      </c>
      <c r="E34" s="5">
        <f>+E33*C15</f>
        <v>9551.6799999999985</v>
      </c>
      <c r="F34" s="5" t="s">
        <v>11</v>
      </c>
    </row>
    <row r="35" spans="1:9" x14ac:dyDescent="0.25">
      <c r="D35" s="5" t="s">
        <v>108</v>
      </c>
      <c r="E35" s="5">
        <f>+E33*C16</f>
        <v>9.4999999999999998E-3</v>
      </c>
      <c r="F35" s="5" t="s">
        <v>18</v>
      </c>
    </row>
    <row r="37" spans="1:9" x14ac:dyDescent="0.25">
      <c r="A37" s="24" t="s">
        <v>31</v>
      </c>
    </row>
    <row r="38" spans="1:9" x14ac:dyDescent="0.25">
      <c r="A38" s="24" t="s">
        <v>19</v>
      </c>
    </row>
    <row r="39" spans="1:9" x14ac:dyDescent="0.25">
      <c r="D39" s="5" t="s">
        <v>109</v>
      </c>
      <c r="E39" s="5">
        <f>1.05-0.05*B8/70</f>
        <v>0.8460564285714286</v>
      </c>
    </row>
    <row r="40" spans="1:9" x14ac:dyDescent="0.25">
      <c r="D40" s="5" t="s">
        <v>22</v>
      </c>
      <c r="E40" s="26">
        <f>15100*(B8)^(1/2)</f>
        <v>255150.23654701951</v>
      </c>
      <c r="F40" s="5" t="s">
        <v>11</v>
      </c>
    </row>
    <row r="43" spans="1:9" x14ac:dyDescent="0.25">
      <c r="A43" s="24" t="s">
        <v>20</v>
      </c>
    </row>
    <row r="44" spans="1:9" x14ac:dyDescent="0.25">
      <c r="D44" s="5" t="s">
        <v>23</v>
      </c>
      <c r="E44" s="10">
        <f>E3/(B5*B6*100*100)</f>
        <v>4.5454545454545452E-3</v>
      </c>
      <c r="I44" s="10"/>
    </row>
    <row r="45" spans="1:9" x14ac:dyDescent="0.25">
      <c r="D45" s="5" t="s">
        <v>24</v>
      </c>
      <c r="E45" s="27">
        <f>0.85*E39*(B8/B10)*((B11*E2)/(B11*E2+B10))</f>
        <v>1.645484959783753E-2</v>
      </c>
    </row>
    <row r="47" spans="1:9" x14ac:dyDescent="0.25">
      <c r="A47" s="24" t="s">
        <v>21</v>
      </c>
    </row>
    <row r="48" spans="1:9" x14ac:dyDescent="0.25">
      <c r="D48" s="5" t="s">
        <v>25</v>
      </c>
      <c r="E48" s="25">
        <v>1</v>
      </c>
    </row>
    <row r="49" spans="1:9" x14ac:dyDescent="0.25">
      <c r="D49" s="5" t="s">
        <v>28</v>
      </c>
      <c r="E49" s="25">
        <v>30</v>
      </c>
      <c r="F49" s="5" t="s">
        <v>14</v>
      </c>
    </row>
    <row r="50" spans="1:9" x14ac:dyDescent="0.25">
      <c r="D50" s="5" t="s">
        <v>26</v>
      </c>
      <c r="E50" s="5">
        <f>+E48*C14*E49</f>
        <v>3</v>
      </c>
      <c r="F50" s="5" t="s">
        <v>27</v>
      </c>
    </row>
    <row r="51" spans="1:9" x14ac:dyDescent="0.25">
      <c r="D51" s="5" t="s">
        <v>29</v>
      </c>
      <c r="E51" s="10">
        <f>+E50/(B5*B6*100*100)</f>
        <v>2.2727272727272726E-3</v>
      </c>
      <c r="I51" s="10"/>
    </row>
    <row r="52" spans="1:9" x14ac:dyDescent="0.25">
      <c r="A52" s="24" t="s">
        <v>33</v>
      </c>
    </row>
    <row r="53" spans="1:9" x14ac:dyDescent="0.25">
      <c r="C53" s="5" t="s">
        <v>34</v>
      </c>
      <c r="D53" s="5" t="s">
        <v>35</v>
      </c>
      <c r="E53" s="28">
        <f>+B11/B9</f>
        <v>7.8385190900320278</v>
      </c>
    </row>
    <row r="54" spans="1:9" x14ac:dyDescent="0.25">
      <c r="C54" s="5" t="s">
        <v>36</v>
      </c>
      <c r="D54" s="5" t="s">
        <v>23</v>
      </c>
      <c r="E54" s="10">
        <f>+E44</f>
        <v>4.5454545454545452E-3</v>
      </c>
    </row>
    <row r="55" spans="1:9" x14ac:dyDescent="0.25">
      <c r="D55" s="5" t="s">
        <v>37</v>
      </c>
      <c r="E55" s="28">
        <f>+(-E54*E53)+((E54*E53)^2+(2*E54*E53))^(1/2)</f>
        <v>0.23368196267242572</v>
      </c>
    </row>
    <row r="56" spans="1:9" x14ac:dyDescent="0.25">
      <c r="C56" s="5" t="s">
        <v>38</v>
      </c>
      <c r="D56" s="5" t="s">
        <v>39</v>
      </c>
      <c r="E56" s="26">
        <f>+(B5*100*((E55*B6*100)^3)/3)+(E53*E3*(((B6*100)-(E55*B6*100))^2))</f>
        <v>64339.921316057749</v>
      </c>
      <c r="F56" s="5" t="s">
        <v>40</v>
      </c>
    </row>
    <row r="57" spans="1:9" x14ac:dyDescent="0.25">
      <c r="D57" s="5" t="s">
        <v>110</v>
      </c>
      <c r="E57" s="10">
        <f>+E5*((B7*100)-(E55*B6*100))/(E56*B9)</f>
        <v>8.4622186843815123E-4</v>
      </c>
    </row>
    <row r="58" spans="1:9" x14ac:dyDescent="0.25">
      <c r="A58" s="29" t="s">
        <v>43</v>
      </c>
      <c r="B58" s="30"/>
      <c r="C58" s="30"/>
      <c r="D58" s="30"/>
      <c r="E58" s="30"/>
      <c r="F58" s="30"/>
      <c r="G58" s="30"/>
      <c r="H58" s="30"/>
    </row>
    <row r="59" spans="1:9" x14ac:dyDescent="0.25">
      <c r="A59" s="30"/>
      <c r="B59" s="30"/>
      <c r="C59" s="30" t="s">
        <v>44</v>
      </c>
      <c r="D59" s="5" t="s">
        <v>111</v>
      </c>
      <c r="E59" s="31">
        <f>0.132*(((B8/(E48*C17*C14)))^(1/2))</f>
        <v>7.136258110191405E-3</v>
      </c>
      <c r="F59" s="30"/>
      <c r="G59" s="30"/>
      <c r="H59" s="30"/>
    </row>
    <row r="60" spans="1:9" x14ac:dyDescent="0.25">
      <c r="A60" s="32" t="s">
        <v>46</v>
      </c>
      <c r="B60" s="30"/>
      <c r="C60" s="30" t="s">
        <v>45</v>
      </c>
      <c r="D60" s="30"/>
      <c r="E60" s="30"/>
      <c r="F60" s="30"/>
      <c r="G60" s="30"/>
      <c r="H60" s="30"/>
    </row>
    <row r="61" spans="1:9" x14ac:dyDescent="0.25">
      <c r="A61" s="30"/>
      <c r="B61" s="30"/>
      <c r="C61" s="30"/>
      <c r="D61" s="30"/>
      <c r="E61" s="30"/>
      <c r="F61" s="30"/>
      <c r="G61" s="30"/>
      <c r="H61" s="30"/>
    </row>
    <row r="62" spans="1:9" x14ac:dyDescent="0.25">
      <c r="A62" s="29" t="s">
        <v>47</v>
      </c>
      <c r="B62" s="30"/>
      <c r="C62" s="30"/>
      <c r="D62" s="30"/>
      <c r="E62" s="30"/>
      <c r="F62" s="30"/>
      <c r="G62" s="30"/>
      <c r="H62" s="30"/>
    </row>
    <row r="63" spans="1:9" x14ac:dyDescent="0.25">
      <c r="A63" s="30" t="s">
        <v>49</v>
      </c>
      <c r="B63" s="30"/>
      <c r="C63" s="30"/>
      <c r="D63" s="30" t="s">
        <v>48</v>
      </c>
      <c r="E63" s="33">
        <v>8.6616999999999997</v>
      </c>
      <c r="F63" s="30" t="s">
        <v>14</v>
      </c>
      <c r="G63" s="30"/>
      <c r="H63" s="30"/>
    </row>
    <row r="64" spans="1:9" x14ac:dyDescent="0.25">
      <c r="A64" s="30"/>
      <c r="B64" s="30"/>
      <c r="C64" s="30"/>
      <c r="D64" s="30"/>
      <c r="E64" s="30"/>
      <c r="F64" s="30"/>
      <c r="G64" s="30"/>
      <c r="H64" s="30"/>
    </row>
    <row r="65" spans="1:8" x14ac:dyDescent="0.25">
      <c r="A65" s="29" t="s">
        <v>50</v>
      </c>
      <c r="B65" s="30"/>
      <c r="C65" s="30"/>
      <c r="D65" s="30"/>
      <c r="E65" s="30"/>
      <c r="F65" s="30"/>
      <c r="G65" s="30"/>
      <c r="H65" s="30"/>
    </row>
    <row r="66" spans="1:8" x14ac:dyDescent="0.25">
      <c r="A66" s="30"/>
      <c r="B66" s="30"/>
      <c r="C66" s="30" t="s">
        <v>53</v>
      </c>
      <c r="D66" s="5" t="s">
        <v>112</v>
      </c>
      <c r="E66" s="31">
        <f>0.003*((B7*100)-E63)/(E63-E57)</f>
        <v>1.4319015558620158E-2</v>
      </c>
      <c r="F66" s="30"/>
      <c r="G66" s="30"/>
      <c r="H66" s="30"/>
    </row>
    <row r="67" spans="1:8" x14ac:dyDescent="0.25">
      <c r="A67" s="30"/>
      <c r="B67" s="30"/>
      <c r="C67" s="30" t="s">
        <v>54</v>
      </c>
      <c r="D67" s="5" t="s">
        <v>112</v>
      </c>
      <c r="E67" s="31">
        <f>+E59</f>
        <v>7.136258110191405E-3</v>
      </c>
      <c r="F67" s="30"/>
      <c r="G67" s="30"/>
      <c r="H67" s="30"/>
    </row>
    <row r="68" spans="1:8" x14ac:dyDescent="0.25">
      <c r="A68" s="30" t="s">
        <v>52</v>
      </c>
      <c r="B68" s="30"/>
      <c r="C68" s="30" t="s">
        <v>55</v>
      </c>
      <c r="D68" s="5" t="s">
        <v>112</v>
      </c>
      <c r="E68" s="34">
        <f>+E67</f>
        <v>7.136258110191405E-3</v>
      </c>
      <c r="F68" s="30"/>
      <c r="G68" s="30"/>
      <c r="H68" s="30"/>
    </row>
    <row r="69" spans="1:8" x14ac:dyDescent="0.25">
      <c r="A69" s="30"/>
      <c r="B69" s="30"/>
      <c r="C69" s="30" t="s">
        <v>56</v>
      </c>
      <c r="D69" s="5" t="s">
        <v>113</v>
      </c>
      <c r="E69" s="34">
        <f>+((E68+E57)*E63)/(B7*100-E63)</f>
        <v>1.6725856368282105E-3</v>
      </c>
      <c r="F69" s="30"/>
      <c r="G69" s="30"/>
      <c r="H69" s="30"/>
    </row>
    <row r="70" spans="1:8" x14ac:dyDescent="0.25">
      <c r="A70" s="30"/>
      <c r="B70" s="30"/>
      <c r="C70" s="30"/>
      <c r="D70" s="30"/>
      <c r="E70" s="30"/>
      <c r="F70" s="30"/>
      <c r="G70" s="30"/>
      <c r="H70" s="30"/>
    </row>
    <row r="71" spans="1:8" x14ac:dyDescent="0.25">
      <c r="A71" s="35" t="s">
        <v>57</v>
      </c>
    </row>
    <row r="72" spans="1:8" x14ac:dyDescent="0.25">
      <c r="A72" s="35" t="s">
        <v>58</v>
      </c>
    </row>
    <row r="73" spans="1:8" x14ac:dyDescent="0.25">
      <c r="C73" s="5" t="s">
        <v>59</v>
      </c>
      <c r="D73" s="5" t="s">
        <v>114</v>
      </c>
      <c r="E73" s="10">
        <f>+((E68+E57)*(B6-E63))/(B7-E63)</f>
        <v>8.041162458838064E-3</v>
      </c>
    </row>
    <row r="74" spans="1:8" x14ac:dyDescent="0.25">
      <c r="C74" s="5" t="s">
        <v>60</v>
      </c>
    </row>
    <row r="75" spans="1:8" x14ac:dyDescent="0.25">
      <c r="C75" s="5" t="s">
        <v>61</v>
      </c>
      <c r="D75" s="5" t="s">
        <v>115</v>
      </c>
      <c r="E75" s="36">
        <f>+B11*E73</f>
        <v>16082.324917676127</v>
      </c>
      <c r="F75" s="5" t="s">
        <v>62</v>
      </c>
      <c r="G75" s="37">
        <v>4200</v>
      </c>
      <c r="H75" s="5" t="s">
        <v>11</v>
      </c>
    </row>
    <row r="77" spans="1:8" x14ac:dyDescent="0.25">
      <c r="D77" s="5" t="s">
        <v>116</v>
      </c>
      <c r="E77" s="26">
        <f>+C17*E68</f>
        <v>6971.3256263744724</v>
      </c>
      <c r="F77" s="5" t="s">
        <v>11</v>
      </c>
    </row>
    <row r="79" spans="1:8" x14ac:dyDescent="0.25">
      <c r="A79" s="35" t="s">
        <v>63</v>
      </c>
    </row>
    <row r="80" spans="1:8" x14ac:dyDescent="0.25">
      <c r="A80" s="24"/>
      <c r="C80" s="5" t="s">
        <v>66</v>
      </c>
      <c r="D80" s="5" t="s">
        <v>117</v>
      </c>
      <c r="E80" s="10">
        <f>1.7*B8/B9</f>
        <v>1.9023525377392793E-3</v>
      </c>
    </row>
    <row r="81" spans="1:6" x14ac:dyDescent="0.25">
      <c r="C81" s="5" t="s">
        <v>64</v>
      </c>
    </row>
    <row r="82" spans="1:6" x14ac:dyDescent="0.25">
      <c r="D82" s="5" t="s">
        <v>65</v>
      </c>
      <c r="E82" s="28">
        <f>+((4*E80)-E69)/((6*E80)-(2*E69))</f>
        <v>0.73576226937157452</v>
      </c>
    </row>
    <row r="83" spans="1:6" x14ac:dyDescent="0.25">
      <c r="D83" s="5" t="s">
        <v>105</v>
      </c>
      <c r="E83" s="28">
        <f>+((3*E80*E69)-(E69^2))/(3*E82*E80^2)</f>
        <v>0.84476185324869058</v>
      </c>
    </row>
    <row r="84" spans="1:6" x14ac:dyDescent="0.25">
      <c r="A84" s="35" t="s">
        <v>67</v>
      </c>
    </row>
    <row r="85" spans="1:6" x14ac:dyDescent="0.25">
      <c r="C85" s="5" t="s">
        <v>68</v>
      </c>
      <c r="D85" s="5" t="s">
        <v>72</v>
      </c>
      <c r="E85" s="26">
        <f>+E83*B8*E82*E63*B5*100</f>
        <v>46114.155083441343</v>
      </c>
      <c r="F85" s="5" t="s">
        <v>73</v>
      </c>
    </row>
    <row r="86" spans="1:6" x14ac:dyDescent="0.25">
      <c r="C86" s="5" t="s">
        <v>69</v>
      </c>
      <c r="D86" s="5" t="s">
        <v>74</v>
      </c>
      <c r="E86" s="5">
        <f>+E3*G75</f>
        <v>25200</v>
      </c>
      <c r="F86" s="5" t="s">
        <v>73</v>
      </c>
    </row>
    <row r="87" spans="1:6" x14ac:dyDescent="0.25">
      <c r="C87" s="5" t="s">
        <v>70</v>
      </c>
      <c r="D87" s="5" t="s">
        <v>75</v>
      </c>
      <c r="E87" s="26">
        <f>+E50*E77</f>
        <v>20913.976879123416</v>
      </c>
      <c r="F87" s="5" t="s">
        <v>73</v>
      </c>
    </row>
    <row r="88" spans="1:6" x14ac:dyDescent="0.25">
      <c r="C88" s="5" t="s">
        <v>71</v>
      </c>
      <c r="D88" s="26">
        <f>+E85-E86-E87</f>
        <v>0.17820431792642921</v>
      </c>
    </row>
    <row r="89" spans="1:6" x14ac:dyDescent="0.25">
      <c r="C89" s="5" t="s">
        <v>76</v>
      </c>
    </row>
    <row r="90" spans="1:6" x14ac:dyDescent="0.25">
      <c r="A90" s="35" t="s">
        <v>77</v>
      </c>
    </row>
    <row r="91" spans="1:6" x14ac:dyDescent="0.25">
      <c r="C91" s="5" t="s">
        <v>78</v>
      </c>
      <c r="D91" s="5" t="s">
        <v>80</v>
      </c>
      <c r="E91" s="28">
        <f>(+E3*G75*((B6*100)-((E82*E63)/2)))/10^5</f>
        <v>10.285008041874413</v>
      </c>
      <c r="F91" s="5" t="s">
        <v>82</v>
      </c>
    </row>
    <row r="92" spans="1:6" x14ac:dyDescent="0.25">
      <c r="C92" s="5" t="s">
        <v>79</v>
      </c>
      <c r="D92" s="5" t="s">
        <v>81</v>
      </c>
      <c r="E92" s="28">
        <f>(+E50*E77*((B7*100)-(E82*E63/2)))/10^5</f>
        <v>9.7905695805791471</v>
      </c>
      <c r="F92" s="5" t="s">
        <v>82</v>
      </c>
    </row>
    <row r="94" spans="1:6" x14ac:dyDescent="0.25">
      <c r="A94" s="24" t="s">
        <v>83</v>
      </c>
    </row>
    <row r="95" spans="1:6" x14ac:dyDescent="0.25">
      <c r="A95" s="38" t="s">
        <v>84</v>
      </c>
    </row>
    <row r="96" spans="1:6" x14ac:dyDescent="0.25">
      <c r="D96" s="25" t="s">
        <v>118</v>
      </c>
      <c r="E96" s="25">
        <v>0.9</v>
      </c>
    </row>
    <row r="97" spans="1:7" x14ac:dyDescent="0.25">
      <c r="D97" s="25" t="s">
        <v>87</v>
      </c>
      <c r="E97" s="25">
        <v>0.85</v>
      </c>
    </row>
    <row r="98" spans="1:7" x14ac:dyDescent="0.25">
      <c r="D98" s="5" t="s">
        <v>88</v>
      </c>
      <c r="E98" s="39">
        <f>+E96*(E91+(E97*E92))</f>
        <v>16.746292966830019</v>
      </c>
      <c r="F98" s="5" t="s">
        <v>89</v>
      </c>
    </row>
    <row r="101" spans="1:7" x14ac:dyDescent="0.25">
      <c r="C101" s="1" t="s">
        <v>106</v>
      </c>
      <c r="D101" s="2">
        <f>+E48</f>
        <v>1</v>
      </c>
      <c r="E101" s="3" t="s">
        <v>103</v>
      </c>
      <c r="F101" s="2">
        <f>+E49</f>
        <v>30</v>
      </c>
      <c r="G101" s="4" t="s">
        <v>14</v>
      </c>
    </row>
    <row r="103" spans="1:7" x14ac:dyDescent="0.25">
      <c r="A103" s="38" t="s">
        <v>119</v>
      </c>
    </row>
    <row r="104" spans="1:7" x14ac:dyDescent="0.25">
      <c r="A104" s="40" t="s">
        <v>86</v>
      </c>
    </row>
    <row r="105" spans="1:7" x14ac:dyDescent="0.25">
      <c r="C105" s="5" t="s">
        <v>85</v>
      </c>
    </row>
    <row r="107" spans="1:7" x14ac:dyDescent="0.25">
      <c r="A107" s="35"/>
    </row>
    <row r="108" spans="1:7" x14ac:dyDescent="0.25">
      <c r="A108" s="38"/>
    </row>
    <row r="111" spans="1:7" x14ac:dyDescent="0.25">
      <c r="A111" s="38"/>
    </row>
  </sheetData>
  <mergeCells count="2">
    <mergeCell ref="A1:C1"/>
    <mergeCell ref="A13:C13"/>
  </mergeCells>
  <pageMargins left="0.7" right="0.7" top="0.75" bottom="0.75" header="0.3" footer="0.3"/>
  <pageSetup paperSize="9" scale="75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2CD4C-5B09-4679-BA6C-F9F6AA7E3403}">
  <dimension ref="A1:I111"/>
  <sheetViews>
    <sheetView view="pageBreakPreview" topLeftCell="A85" zoomScaleNormal="115" zoomScaleSheetLayoutView="100" workbookViewId="0">
      <selection activeCell="F73" sqref="F73"/>
    </sheetView>
  </sheetViews>
  <sheetFormatPr defaultColWidth="11.5703125" defaultRowHeight="15.75" x14ac:dyDescent="0.25"/>
  <cols>
    <col min="1" max="1" width="23.85546875" style="5" customWidth="1"/>
    <col min="2" max="2" width="12.28515625" style="5" customWidth="1"/>
    <col min="3" max="3" width="22.7109375" style="5" customWidth="1"/>
    <col min="4" max="4" width="10.85546875" style="5" customWidth="1"/>
    <col min="5" max="5" width="13.85546875" style="5" customWidth="1"/>
    <col min="6" max="16384" width="11.5703125" style="5"/>
  </cols>
  <sheetData>
    <row r="1" spans="1:6" ht="16.5" thickBot="1" x14ac:dyDescent="0.3">
      <c r="A1" s="41" t="s">
        <v>0</v>
      </c>
      <c r="B1" s="42"/>
      <c r="C1" s="43"/>
    </row>
    <row r="2" spans="1:6" x14ac:dyDescent="0.25">
      <c r="A2" s="6" t="s">
        <v>1</v>
      </c>
      <c r="B2" s="7">
        <v>6</v>
      </c>
      <c r="C2" s="8" t="s">
        <v>3</v>
      </c>
      <c r="D2" s="9" t="s">
        <v>107</v>
      </c>
      <c r="E2" s="10">
        <f>+B8/B9</f>
        <v>9.6910749387170837E-4</v>
      </c>
    </row>
    <row r="3" spans="1:6" x14ac:dyDescent="0.25">
      <c r="A3" s="11" t="s">
        <v>2</v>
      </c>
      <c r="B3" s="12">
        <v>8</v>
      </c>
      <c r="C3" s="13" t="s">
        <v>3</v>
      </c>
      <c r="D3" s="9" t="s">
        <v>30</v>
      </c>
      <c r="E3" s="5">
        <f>4*2.84</f>
        <v>11.36</v>
      </c>
      <c r="F3" s="5" t="s">
        <v>27</v>
      </c>
    </row>
    <row r="4" spans="1:6" x14ac:dyDescent="0.25">
      <c r="A4" s="11" t="s">
        <v>4</v>
      </c>
      <c r="B4" s="12">
        <v>5</v>
      </c>
      <c r="C4" s="13" t="s">
        <v>3</v>
      </c>
      <c r="D4" s="9"/>
    </row>
    <row r="5" spans="1:6" x14ac:dyDescent="0.25">
      <c r="A5" s="11" t="s">
        <v>5</v>
      </c>
      <c r="B5" s="12">
        <v>0.3</v>
      </c>
      <c r="C5" s="13" t="s">
        <v>3</v>
      </c>
      <c r="D5" s="5" t="s">
        <v>41</v>
      </c>
      <c r="E5" s="14">
        <v>599593.13</v>
      </c>
      <c r="F5" s="5" t="s">
        <v>42</v>
      </c>
    </row>
    <row r="6" spans="1:6" x14ac:dyDescent="0.25">
      <c r="A6" s="11" t="s">
        <v>6</v>
      </c>
      <c r="B6" s="12">
        <v>0.44</v>
      </c>
      <c r="C6" s="13" t="s">
        <v>3</v>
      </c>
      <c r="D6" s="5">
        <f>+B5*100*(E55*B6*100)^3/3</f>
        <v>29085.798916231786</v>
      </c>
    </row>
    <row r="7" spans="1:6" x14ac:dyDescent="0.25">
      <c r="A7" s="11" t="s">
        <v>51</v>
      </c>
      <c r="B7" s="12">
        <v>0.5</v>
      </c>
      <c r="C7" s="13" t="s">
        <v>3</v>
      </c>
      <c r="D7" s="5">
        <f>+E53*E3*((B6*100)-((E55*B6*100)))^2</f>
        <v>90853.438234462446</v>
      </c>
      <c r="E7" s="5">
        <f>+((B5*(B6*E55)^3/3)+(E53*E3*10^(-4)*(B6-(E55*B6))^2))*10^(8)</f>
        <v>119939.23715069427</v>
      </c>
    </row>
    <row r="8" spans="1:6" x14ac:dyDescent="0.25">
      <c r="A8" s="11" t="s">
        <v>7</v>
      </c>
      <c r="B8" s="12">
        <v>214.14</v>
      </c>
      <c r="C8" s="13" t="s">
        <v>11</v>
      </c>
      <c r="D8" s="5">
        <f>+D6+D7</f>
        <v>119939.23715069423</v>
      </c>
    </row>
    <row r="9" spans="1:6" x14ac:dyDescent="0.25">
      <c r="A9" s="11" t="s">
        <v>8</v>
      </c>
      <c r="B9" s="15">
        <f>15100*(B8)^(1/2)</f>
        <v>220966.19967768827</v>
      </c>
      <c r="C9" s="13" t="s">
        <v>11</v>
      </c>
    </row>
    <row r="10" spans="1:6" x14ac:dyDescent="0.25">
      <c r="A10" s="11" t="s">
        <v>9</v>
      </c>
      <c r="B10" s="15">
        <v>4282.8100000000004</v>
      </c>
      <c r="C10" s="13" t="s">
        <v>11</v>
      </c>
      <c r="E10" s="5">
        <f>625000*(65-(0.24*57))/(153355*252671)</f>
        <v>8.2777694339912153E-4</v>
      </c>
    </row>
    <row r="11" spans="1:6" ht="16.5" thickBot="1" x14ac:dyDescent="0.3">
      <c r="A11" s="16" t="s">
        <v>10</v>
      </c>
      <c r="B11" s="17">
        <v>2000000</v>
      </c>
      <c r="C11" s="18" t="s">
        <v>11</v>
      </c>
    </row>
    <row r="12" spans="1:6" ht="16.5" thickBot="1" x14ac:dyDescent="0.3"/>
    <row r="13" spans="1:6" ht="16.5" thickBot="1" x14ac:dyDescent="0.3">
      <c r="A13" s="44" t="s">
        <v>102</v>
      </c>
      <c r="B13" s="45"/>
      <c r="C13" s="45"/>
      <c r="D13" s="19"/>
    </row>
    <row r="14" spans="1:6" x14ac:dyDescent="0.25">
      <c r="A14" s="7" t="s">
        <v>12</v>
      </c>
      <c r="B14" s="8"/>
      <c r="C14" s="20">
        <v>0.1</v>
      </c>
      <c r="D14" s="13" t="s">
        <v>14</v>
      </c>
    </row>
    <row r="15" spans="1:6" x14ac:dyDescent="0.25">
      <c r="A15" s="12" t="s">
        <v>13</v>
      </c>
      <c r="B15" s="13"/>
      <c r="C15" s="20">
        <v>10054.4</v>
      </c>
      <c r="D15" s="13" t="s">
        <v>11</v>
      </c>
    </row>
    <row r="16" spans="1:6" x14ac:dyDescent="0.25">
      <c r="A16" s="12" t="s">
        <v>104</v>
      </c>
      <c r="B16" s="13"/>
      <c r="C16" s="20">
        <v>0.01</v>
      </c>
      <c r="D16" s="13"/>
      <c r="E16" s="5">
        <f>0.7*C16</f>
        <v>6.9999999999999993E-3</v>
      </c>
    </row>
    <row r="17" spans="1:4" ht="16.5" thickBot="1" x14ac:dyDescent="0.3">
      <c r="A17" s="17" t="s">
        <v>15</v>
      </c>
      <c r="B17" s="18"/>
      <c r="C17" s="21">
        <v>976888.1</v>
      </c>
      <c r="D17" s="18" t="s">
        <v>11</v>
      </c>
    </row>
    <row r="18" spans="1:4" x14ac:dyDescent="0.25">
      <c r="A18" s="20"/>
      <c r="B18" s="20"/>
      <c r="C18" s="20"/>
      <c r="D18" s="20"/>
    </row>
    <row r="19" spans="1:4" x14ac:dyDescent="0.25">
      <c r="A19" s="22" t="s">
        <v>90</v>
      </c>
      <c r="B19" s="22" t="s">
        <v>100</v>
      </c>
      <c r="C19" s="20"/>
      <c r="D19" s="20"/>
    </row>
    <row r="20" spans="1:4" x14ac:dyDescent="0.25">
      <c r="A20" s="20" t="s">
        <v>91</v>
      </c>
      <c r="B20" s="20">
        <v>24.5</v>
      </c>
      <c r="C20" s="20" t="s">
        <v>101</v>
      </c>
      <c r="D20" s="20"/>
    </row>
    <row r="21" spans="1:4" x14ac:dyDescent="0.25">
      <c r="A21" s="20" t="s">
        <v>92</v>
      </c>
      <c r="B21" s="20">
        <v>39.299999999999997</v>
      </c>
      <c r="C21" s="20" t="s">
        <v>101</v>
      </c>
      <c r="D21" s="20"/>
    </row>
    <row r="22" spans="1:4" x14ac:dyDescent="0.25">
      <c r="A22" s="20" t="s">
        <v>99</v>
      </c>
      <c r="B22" s="20">
        <v>34.299999999999997</v>
      </c>
      <c r="C22" s="20" t="s">
        <v>101</v>
      </c>
      <c r="D22" s="20"/>
    </row>
    <row r="23" spans="1:4" x14ac:dyDescent="0.25">
      <c r="A23" s="20" t="s">
        <v>93</v>
      </c>
      <c r="B23" s="20">
        <v>39.200000000000003</v>
      </c>
      <c r="C23" s="20" t="s">
        <v>101</v>
      </c>
      <c r="D23" s="20"/>
    </row>
    <row r="24" spans="1:4" x14ac:dyDescent="0.25">
      <c r="A24" s="20" t="s">
        <v>94</v>
      </c>
      <c r="B24" s="20">
        <f>+SUM(B20:B23)</f>
        <v>137.30000000000001</v>
      </c>
      <c r="C24" s="20" t="s">
        <v>101</v>
      </c>
      <c r="D24" s="20"/>
    </row>
    <row r="25" spans="1:4" x14ac:dyDescent="0.25">
      <c r="A25" s="20" t="s">
        <v>95</v>
      </c>
      <c r="B25" s="20">
        <f>1.1*(B20+B22)+0.75*(B21+B23)</f>
        <v>123.55500000000001</v>
      </c>
      <c r="C25" s="20" t="s">
        <v>101</v>
      </c>
      <c r="D25" s="20"/>
    </row>
    <row r="26" spans="1:4" x14ac:dyDescent="0.25">
      <c r="A26" s="20" t="s">
        <v>96</v>
      </c>
      <c r="B26" s="23">
        <f>+(1.2*(B20+B22)+1.6*(B21+B23))</f>
        <v>196.16</v>
      </c>
      <c r="C26" s="20" t="s">
        <v>101</v>
      </c>
      <c r="D26" s="20"/>
    </row>
    <row r="27" spans="1:4" x14ac:dyDescent="0.25">
      <c r="A27" s="20" t="s">
        <v>97</v>
      </c>
      <c r="B27" s="23">
        <f>+E96*B25</f>
        <v>111.19950000000001</v>
      </c>
      <c r="C27" s="20" t="s">
        <v>101</v>
      </c>
      <c r="D27" s="20"/>
    </row>
    <row r="28" spans="1:4" x14ac:dyDescent="0.25">
      <c r="A28" s="20" t="s">
        <v>98</v>
      </c>
      <c r="B28" s="23">
        <f>+B26-B27</f>
        <v>84.960499999999982</v>
      </c>
      <c r="C28" s="20" t="s">
        <v>101</v>
      </c>
      <c r="D28" s="20"/>
    </row>
    <row r="29" spans="1:4" x14ac:dyDescent="0.25">
      <c r="A29" s="20"/>
      <c r="B29" s="20"/>
      <c r="C29" s="20"/>
      <c r="D29" s="20"/>
    </row>
    <row r="31" spans="1:4" x14ac:dyDescent="0.25">
      <c r="A31" s="24" t="s">
        <v>32</v>
      </c>
    </row>
    <row r="33" spans="1:9" x14ac:dyDescent="0.25">
      <c r="D33" s="5" t="s">
        <v>16</v>
      </c>
      <c r="E33" s="25">
        <v>0.95</v>
      </c>
    </row>
    <row r="34" spans="1:9" x14ac:dyDescent="0.25">
      <c r="D34" s="5" t="s">
        <v>17</v>
      </c>
      <c r="E34" s="5">
        <f>+E33*C15</f>
        <v>9551.6799999999985</v>
      </c>
      <c r="F34" s="5" t="s">
        <v>11</v>
      </c>
    </row>
    <row r="35" spans="1:9" x14ac:dyDescent="0.25">
      <c r="D35" s="5" t="s">
        <v>108</v>
      </c>
      <c r="E35" s="5">
        <f>+E33*C16</f>
        <v>9.4999999999999998E-3</v>
      </c>
      <c r="F35" s="5" t="s">
        <v>18</v>
      </c>
    </row>
    <row r="37" spans="1:9" x14ac:dyDescent="0.25">
      <c r="A37" s="24" t="s">
        <v>31</v>
      </c>
    </row>
    <row r="38" spans="1:9" x14ac:dyDescent="0.25">
      <c r="A38" s="24" t="s">
        <v>19</v>
      </c>
    </row>
    <row r="39" spans="1:9" x14ac:dyDescent="0.25">
      <c r="D39" s="5" t="s">
        <v>109</v>
      </c>
      <c r="E39" s="5">
        <f>1.05-0.05*B8/70</f>
        <v>0.89704285714285714</v>
      </c>
    </row>
    <row r="40" spans="1:9" x14ac:dyDescent="0.25">
      <c r="D40" s="5" t="s">
        <v>22</v>
      </c>
      <c r="E40" s="26">
        <f>15100*(B8)^(1/2)</f>
        <v>220966.19967768827</v>
      </c>
      <c r="F40" s="5" t="s">
        <v>11</v>
      </c>
    </row>
    <row r="43" spans="1:9" x14ac:dyDescent="0.25">
      <c r="A43" s="24" t="s">
        <v>20</v>
      </c>
    </row>
    <row r="44" spans="1:9" x14ac:dyDescent="0.25">
      <c r="D44" s="5" t="s">
        <v>23</v>
      </c>
      <c r="E44" s="10">
        <f>E3/(B5*B6*100*100)</f>
        <v>8.6060606060606049E-3</v>
      </c>
      <c r="I44" s="10"/>
    </row>
    <row r="45" spans="1:9" x14ac:dyDescent="0.25">
      <c r="D45" s="5" t="s">
        <v>24</v>
      </c>
      <c r="E45" s="27">
        <f>0.85*E39*(B8/B10)*((B11*E2)/(B11*E2+B10))</f>
        <v>1.1877939535970484E-2</v>
      </c>
    </row>
    <row r="47" spans="1:9" x14ac:dyDescent="0.25">
      <c r="A47" s="24" t="s">
        <v>21</v>
      </c>
    </row>
    <row r="48" spans="1:9" x14ac:dyDescent="0.25">
      <c r="D48" s="5" t="s">
        <v>25</v>
      </c>
      <c r="E48" s="25">
        <v>2</v>
      </c>
    </row>
    <row r="49" spans="1:9" x14ac:dyDescent="0.25">
      <c r="D49" s="5" t="s">
        <v>28</v>
      </c>
      <c r="E49" s="25">
        <v>30</v>
      </c>
      <c r="F49" s="5" t="s">
        <v>14</v>
      </c>
    </row>
    <row r="50" spans="1:9" x14ac:dyDescent="0.25">
      <c r="D50" s="5" t="s">
        <v>26</v>
      </c>
      <c r="E50" s="5">
        <f>+E48*C14*E49</f>
        <v>6</v>
      </c>
      <c r="F50" s="5" t="s">
        <v>27</v>
      </c>
    </row>
    <row r="51" spans="1:9" x14ac:dyDescent="0.25">
      <c r="D51" s="5" t="s">
        <v>29</v>
      </c>
      <c r="E51" s="10">
        <f>+E50/(B5*B6*100*100)</f>
        <v>4.5454545454545452E-3</v>
      </c>
      <c r="I51" s="10"/>
    </row>
    <row r="52" spans="1:9" x14ac:dyDescent="0.25">
      <c r="A52" s="24" t="s">
        <v>33</v>
      </c>
    </row>
    <row r="53" spans="1:9" x14ac:dyDescent="0.25">
      <c r="C53" s="5" t="s">
        <v>34</v>
      </c>
      <c r="D53" s="5" t="s">
        <v>35</v>
      </c>
      <c r="E53" s="28">
        <f>+B11/B9</f>
        <v>9.0511580636192068</v>
      </c>
    </row>
    <row r="54" spans="1:9" x14ac:dyDescent="0.25">
      <c r="C54" s="5" t="s">
        <v>36</v>
      </c>
      <c r="D54" s="5" t="s">
        <v>23</v>
      </c>
      <c r="E54" s="10">
        <f>+E44</f>
        <v>8.6060606060606049E-3</v>
      </c>
    </row>
    <row r="55" spans="1:9" x14ac:dyDescent="0.25">
      <c r="D55" s="5" t="s">
        <v>37</v>
      </c>
      <c r="E55" s="28">
        <f>+(-E54*E53)+((E54*E53)^2+(2*E54*E53))^(1/2)</f>
        <v>0.32442002688622879</v>
      </c>
    </row>
    <row r="56" spans="1:9" x14ac:dyDescent="0.25">
      <c r="C56" s="5" t="s">
        <v>38</v>
      </c>
      <c r="D56" s="5" t="s">
        <v>39</v>
      </c>
      <c r="E56" s="26">
        <f>+(B5*100*((E55*B6*100)^3)/3)+(E53*E3*(((B6*100)-(E55*B6*100))^2))</f>
        <v>119939.23715069423</v>
      </c>
      <c r="F56" s="5" t="s">
        <v>40</v>
      </c>
    </row>
    <row r="57" spans="1:9" x14ac:dyDescent="0.25">
      <c r="D57" s="5" t="s">
        <v>110</v>
      </c>
      <c r="E57" s="10">
        <f>+E5*((B7*100)-(E55*B6*100))/(E56*B9)</f>
        <v>8.082543746507888E-4</v>
      </c>
    </row>
    <row r="58" spans="1:9" x14ac:dyDescent="0.25">
      <c r="A58" s="29" t="s">
        <v>43</v>
      </c>
      <c r="B58" s="30"/>
      <c r="C58" s="30"/>
      <c r="D58" s="30"/>
      <c r="E58" s="30"/>
      <c r="F58" s="30"/>
      <c r="G58" s="30"/>
      <c r="H58" s="30"/>
    </row>
    <row r="59" spans="1:9" x14ac:dyDescent="0.25">
      <c r="A59" s="30"/>
      <c r="B59" s="30"/>
      <c r="C59" s="30" t="s">
        <v>44</v>
      </c>
      <c r="D59" s="5" t="s">
        <v>111</v>
      </c>
      <c r="E59" s="31">
        <f>0.132*(((B8/(E48*C17*C14)))^(1/2))</f>
        <v>4.3700401079244042E-3</v>
      </c>
      <c r="F59" s="30"/>
      <c r="G59" s="30"/>
      <c r="H59" s="30"/>
    </row>
    <row r="60" spans="1:9" x14ac:dyDescent="0.25">
      <c r="A60" s="32" t="s">
        <v>46</v>
      </c>
      <c r="B60" s="30"/>
      <c r="C60" s="30" t="s">
        <v>45</v>
      </c>
      <c r="D60" s="30"/>
      <c r="E60" s="30"/>
      <c r="F60" s="30"/>
      <c r="G60" s="30"/>
      <c r="H60" s="30"/>
    </row>
    <row r="61" spans="1:9" x14ac:dyDescent="0.25">
      <c r="A61" s="30"/>
      <c r="B61" s="30"/>
      <c r="C61" s="30"/>
      <c r="D61" s="30"/>
      <c r="E61" s="30"/>
      <c r="F61" s="30"/>
      <c r="G61" s="30"/>
      <c r="H61" s="30"/>
    </row>
    <row r="62" spans="1:9" x14ac:dyDescent="0.25">
      <c r="A62" s="29" t="s">
        <v>47</v>
      </c>
      <c r="B62" s="30"/>
      <c r="C62" s="30"/>
      <c r="D62" s="30"/>
      <c r="E62" s="30"/>
      <c r="F62" s="30"/>
      <c r="G62" s="30"/>
      <c r="H62" s="30"/>
    </row>
    <row r="63" spans="1:9" x14ac:dyDescent="0.25">
      <c r="A63" s="30" t="s">
        <v>49</v>
      </c>
      <c r="B63" s="30"/>
      <c r="C63" s="30"/>
      <c r="D63" s="30" t="s">
        <v>48</v>
      </c>
      <c r="E63" s="33">
        <v>21.0792</v>
      </c>
      <c r="F63" s="30" t="s">
        <v>14</v>
      </c>
      <c r="G63" s="30"/>
      <c r="H63" s="30"/>
    </row>
    <row r="64" spans="1:9" x14ac:dyDescent="0.25">
      <c r="A64" s="30"/>
      <c r="B64" s="30"/>
      <c r="C64" s="30"/>
      <c r="D64" s="30"/>
      <c r="E64" s="30"/>
      <c r="F64" s="30"/>
      <c r="G64" s="30"/>
      <c r="H64" s="30"/>
    </row>
    <row r="65" spans="1:8" x14ac:dyDescent="0.25">
      <c r="A65" s="29" t="s">
        <v>50</v>
      </c>
      <c r="B65" s="30"/>
      <c r="C65" s="30"/>
      <c r="D65" s="30"/>
      <c r="E65" s="30"/>
      <c r="F65" s="30"/>
      <c r="G65" s="30"/>
      <c r="H65" s="30"/>
    </row>
    <row r="66" spans="1:8" x14ac:dyDescent="0.25">
      <c r="A66" s="30"/>
      <c r="B66" s="30"/>
      <c r="C66" s="30" t="s">
        <v>53</v>
      </c>
      <c r="D66" s="5" t="s">
        <v>112</v>
      </c>
      <c r="E66" s="31">
        <f>0.003*((B7*100)-E63)/(E63-E57)</f>
        <v>4.1161774127291681E-3</v>
      </c>
      <c r="F66" s="30"/>
      <c r="G66" s="30"/>
      <c r="H66" s="30"/>
    </row>
    <row r="67" spans="1:8" x14ac:dyDescent="0.25">
      <c r="A67" s="30"/>
      <c r="B67" s="30"/>
      <c r="C67" s="30" t="s">
        <v>54</v>
      </c>
      <c r="D67" s="5" t="s">
        <v>112</v>
      </c>
      <c r="E67" s="31">
        <f>+E59</f>
        <v>4.3700401079244042E-3</v>
      </c>
      <c r="F67" s="30"/>
      <c r="G67" s="30"/>
      <c r="H67" s="30"/>
    </row>
    <row r="68" spans="1:8" x14ac:dyDescent="0.25">
      <c r="A68" s="30" t="s">
        <v>52</v>
      </c>
      <c r="B68" s="30"/>
      <c r="C68" s="30" t="s">
        <v>55</v>
      </c>
      <c r="D68" s="5" t="s">
        <v>112</v>
      </c>
      <c r="E68" s="34">
        <f>+E67</f>
        <v>4.3700401079244042E-3</v>
      </c>
      <c r="F68" s="30"/>
      <c r="G68" s="30"/>
      <c r="H68" s="30"/>
    </row>
    <row r="69" spans="1:8" x14ac:dyDescent="0.25">
      <c r="A69" s="30"/>
      <c r="B69" s="30"/>
      <c r="C69" s="30" t="s">
        <v>56</v>
      </c>
      <c r="D69" s="5" t="s">
        <v>113</v>
      </c>
      <c r="E69" s="34">
        <f>+((E68+E57)*E63)/(B7*100-E63)</f>
        <v>3.7742491582908847E-3</v>
      </c>
      <c r="F69" s="30"/>
      <c r="G69" s="30"/>
      <c r="H69" s="30"/>
    </row>
    <row r="70" spans="1:8" x14ac:dyDescent="0.25">
      <c r="A70" s="30"/>
      <c r="B70" s="30"/>
      <c r="C70" s="30"/>
      <c r="D70" s="30"/>
      <c r="E70" s="30"/>
      <c r="F70" s="30"/>
      <c r="G70" s="30"/>
      <c r="H70" s="30"/>
    </row>
    <row r="71" spans="1:8" x14ac:dyDescent="0.25">
      <c r="A71" s="35" t="s">
        <v>57</v>
      </c>
    </row>
    <row r="72" spans="1:8" x14ac:dyDescent="0.25">
      <c r="A72" s="35" t="s">
        <v>58</v>
      </c>
    </row>
    <row r="73" spans="1:8" x14ac:dyDescent="0.25">
      <c r="C73" s="5" t="s">
        <v>59</v>
      </c>
      <c r="D73" s="5" t="s">
        <v>114</v>
      </c>
      <c r="E73" s="10">
        <f>+((E68+E57)*(B6-E63))/(B7-E63)</f>
        <v>5.1933921379240166E-3</v>
      </c>
    </row>
    <row r="74" spans="1:8" x14ac:dyDescent="0.25">
      <c r="C74" s="5" t="s">
        <v>60</v>
      </c>
    </row>
    <row r="75" spans="1:8" x14ac:dyDescent="0.25">
      <c r="C75" s="5" t="s">
        <v>61</v>
      </c>
      <c r="D75" s="5" t="s">
        <v>115</v>
      </c>
      <c r="E75" s="36">
        <f>+B11*E73</f>
        <v>10386.784275848033</v>
      </c>
      <c r="F75" s="5" t="s">
        <v>62</v>
      </c>
      <c r="G75" s="37">
        <v>4200</v>
      </c>
      <c r="H75" s="5" t="s">
        <v>11</v>
      </c>
    </row>
    <row r="77" spans="1:8" x14ac:dyDescent="0.25">
      <c r="D77" s="5" t="s">
        <v>116</v>
      </c>
      <c r="E77" s="26">
        <f>+C17*E68</f>
        <v>4269.0401779540662</v>
      </c>
      <c r="F77" s="5" t="s">
        <v>11</v>
      </c>
    </row>
    <row r="79" spans="1:8" x14ac:dyDescent="0.25">
      <c r="A79" s="35" t="s">
        <v>63</v>
      </c>
    </row>
    <row r="80" spans="1:8" x14ac:dyDescent="0.25">
      <c r="A80" s="24"/>
      <c r="C80" s="5" t="s">
        <v>66</v>
      </c>
      <c r="D80" s="5" t="s">
        <v>117</v>
      </c>
      <c r="E80" s="10">
        <f>1.7*B8/B9</f>
        <v>1.6474827395819042E-3</v>
      </c>
    </row>
    <row r="81" spans="1:6" x14ac:dyDescent="0.25">
      <c r="C81" s="5" t="s">
        <v>64</v>
      </c>
    </row>
    <row r="82" spans="1:6" x14ac:dyDescent="0.25">
      <c r="D82" s="5" t="s">
        <v>65</v>
      </c>
      <c r="E82" s="28">
        <f>+((4*E80)-E69)/((6*E80)-(2*E69))</f>
        <v>1.205137846515846</v>
      </c>
    </row>
    <row r="83" spans="1:6" x14ac:dyDescent="0.25">
      <c r="D83" s="5" t="s">
        <v>105</v>
      </c>
      <c r="E83" s="28">
        <f>+((3*E80*E69)-(E69^2))/(3*E82*E80^2)</f>
        <v>0.44931166397258621</v>
      </c>
    </row>
    <row r="84" spans="1:6" x14ac:dyDescent="0.25">
      <c r="A84" s="35" t="s">
        <v>67</v>
      </c>
    </row>
    <row r="85" spans="1:6" x14ac:dyDescent="0.25">
      <c r="C85" s="5" t="s">
        <v>68</v>
      </c>
      <c r="D85" s="5" t="s">
        <v>72</v>
      </c>
      <c r="E85" s="26">
        <f>+E83*B8*E82*E63*B5*100</f>
        <v>73325.932682562343</v>
      </c>
      <c r="F85" s="5" t="s">
        <v>73</v>
      </c>
    </row>
    <row r="86" spans="1:6" x14ac:dyDescent="0.25">
      <c r="C86" s="5" t="s">
        <v>69</v>
      </c>
      <c r="D86" s="5" t="s">
        <v>74</v>
      </c>
      <c r="E86" s="5">
        <f>+E3*G75</f>
        <v>47712</v>
      </c>
      <c r="F86" s="5" t="s">
        <v>73</v>
      </c>
    </row>
    <row r="87" spans="1:6" x14ac:dyDescent="0.25">
      <c r="C87" s="5" t="s">
        <v>70</v>
      </c>
      <c r="D87" s="5" t="s">
        <v>75</v>
      </c>
      <c r="E87" s="26">
        <f>+E50*E77</f>
        <v>25614.241067724397</v>
      </c>
      <c r="F87" s="5" t="s">
        <v>73</v>
      </c>
    </row>
    <row r="88" spans="1:6" x14ac:dyDescent="0.25">
      <c r="C88" s="5" t="s">
        <v>71</v>
      </c>
      <c r="D88" s="26">
        <f>+E85-E86-E87</f>
        <v>-0.30838516205403721</v>
      </c>
    </row>
    <row r="89" spans="1:6" x14ac:dyDescent="0.25">
      <c r="C89" s="5" t="s">
        <v>76</v>
      </c>
    </row>
    <row r="90" spans="1:6" x14ac:dyDescent="0.25">
      <c r="A90" s="35" t="s">
        <v>77</v>
      </c>
    </row>
    <row r="91" spans="1:6" x14ac:dyDescent="0.25">
      <c r="C91" s="5" t="s">
        <v>78</v>
      </c>
      <c r="D91" s="5" t="s">
        <v>80</v>
      </c>
      <c r="E91" s="28">
        <f>(+E3*G75*((B6*100)-((E82*E63)/2)))/10^5</f>
        <v>14.933058805413323</v>
      </c>
      <c r="F91" s="5" t="s">
        <v>82</v>
      </c>
    </row>
    <row r="92" spans="1:6" x14ac:dyDescent="0.25">
      <c r="C92" s="5" t="s">
        <v>79</v>
      </c>
      <c r="D92" s="5" t="s">
        <v>81</v>
      </c>
      <c r="E92" s="28">
        <f>(+E50*E77*((B7*100)-(E82*E63/2)))/10^5</f>
        <v>9.5536839434472949</v>
      </c>
      <c r="F92" s="5" t="s">
        <v>82</v>
      </c>
    </row>
    <row r="94" spans="1:6" x14ac:dyDescent="0.25">
      <c r="A94" s="24" t="s">
        <v>83</v>
      </c>
    </row>
    <row r="95" spans="1:6" x14ac:dyDescent="0.25">
      <c r="A95" s="38" t="s">
        <v>84</v>
      </c>
    </row>
    <row r="96" spans="1:6" x14ac:dyDescent="0.25">
      <c r="D96" s="25" t="s">
        <v>118</v>
      </c>
      <c r="E96" s="25">
        <v>0.9</v>
      </c>
    </row>
    <row r="97" spans="1:7" x14ac:dyDescent="0.25">
      <c r="D97" s="25" t="s">
        <v>87</v>
      </c>
      <c r="E97" s="25">
        <v>0.85</v>
      </c>
    </row>
    <row r="98" spans="1:7" x14ac:dyDescent="0.25">
      <c r="D98" s="5" t="s">
        <v>88</v>
      </c>
      <c r="E98" s="39">
        <f>+E96*(E91+(E97*E92))</f>
        <v>20.748321141609171</v>
      </c>
      <c r="F98" s="5" t="s">
        <v>89</v>
      </c>
    </row>
    <row r="101" spans="1:7" x14ac:dyDescent="0.25">
      <c r="C101" s="1" t="s">
        <v>106</v>
      </c>
      <c r="D101" s="2">
        <f>+E48</f>
        <v>2</v>
      </c>
      <c r="E101" s="3" t="s">
        <v>103</v>
      </c>
      <c r="F101" s="2">
        <f>+E49</f>
        <v>30</v>
      </c>
      <c r="G101" s="4" t="s">
        <v>14</v>
      </c>
    </row>
    <row r="103" spans="1:7" x14ac:dyDescent="0.25">
      <c r="A103" s="38" t="s">
        <v>119</v>
      </c>
    </row>
    <row r="104" spans="1:7" x14ac:dyDescent="0.25">
      <c r="A104" s="40" t="s">
        <v>86</v>
      </c>
    </row>
    <row r="105" spans="1:7" x14ac:dyDescent="0.25">
      <c r="C105" s="5" t="s">
        <v>85</v>
      </c>
    </row>
    <row r="107" spans="1:7" x14ac:dyDescent="0.25">
      <c r="A107" s="35"/>
    </row>
    <row r="108" spans="1:7" x14ac:dyDescent="0.25">
      <c r="A108" s="38"/>
    </row>
    <row r="111" spans="1:7" x14ac:dyDescent="0.25">
      <c r="A111" s="38"/>
    </row>
  </sheetData>
  <mergeCells count="2">
    <mergeCell ref="A1:C1"/>
    <mergeCell ref="A13:C13"/>
  </mergeCells>
  <pageMargins left="0.7" right="0.7" top="0.75" bottom="0.75" header="0.3" footer="0.3"/>
  <pageSetup paperSize="9" scale="73" orientation="portrait" r:id="rId1"/>
  <rowBreaks count="1" manualBreakCount="1">
    <brk id="64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Ejercicio 1</vt:lpstr>
      <vt:lpstr>Ejercicio 2</vt:lpstr>
      <vt:lpstr>'Ejercicio 1'!Print_Area</vt:lpstr>
      <vt:lpstr>'Ejercicio 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VICTUS</dc:creator>
  <cp:lastModifiedBy>Andy</cp:lastModifiedBy>
  <cp:lastPrinted>2024-01-07T02:24:34Z</cp:lastPrinted>
  <dcterms:created xsi:type="dcterms:W3CDTF">2024-01-03T19:15:00Z</dcterms:created>
  <dcterms:modified xsi:type="dcterms:W3CDTF">2024-01-07T02:32:41Z</dcterms:modified>
</cp:coreProperties>
</file>