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3.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drawings/drawing4.xml" ContentType="application/vnd.openxmlformats-officedocument.drawing+xml"/>
  <Override PartName="/xl/tables/table1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johnmika\Desktop\MyExcelOnline\000 - 101 EXCEL TEMPLATES\Templates v0.2\Budget\"/>
    </mc:Choice>
  </mc:AlternateContent>
  <bookViews>
    <workbookView xWindow="0" yWindow="0" windowWidth="28800" windowHeight="12435" tabRatio="756" activeTab="1"/>
  </bookViews>
  <sheets>
    <sheet name="START" sheetId="6" r:id="rId1"/>
    <sheet name="PLANNED EXPENSES" sheetId="2" r:id="rId2"/>
    <sheet name="ACTUAL EXPENSES" sheetId="3" r:id="rId3"/>
    <sheet name="EXPENSE VARIANCES" sheetId="4" r:id="rId4"/>
    <sheet name="EXPENSE ANALYSIS" sheetId="5" r:id="rId5"/>
  </sheets>
  <definedNames>
    <definedName name="worksheet_title">'PLANNED EXPENSES'!$K$2</definedName>
  </definedNames>
  <calcPr calcId="1790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 i="3" l="1"/>
  <c r="K2" i="4"/>
  <c r="E3" i="5"/>
  <c r="B2" i="3" l="1"/>
  <c r="B2" i="5" l="1"/>
  <c r="B2" i="4"/>
  <c r="I7" i="3" l="1"/>
  <c r="J7" i="3"/>
  <c r="K7" i="3"/>
  <c r="L7" i="3"/>
  <c r="M7" i="3"/>
  <c r="N7" i="3"/>
  <c r="C32" i="4"/>
  <c r="D32" i="4"/>
  <c r="E32" i="4"/>
  <c r="F32" i="4"/>
  <c r="G32" i="4"/>
  <c r="H32" i="4"/>
  <c r="I32" i="4"/>
  <c r="J32" i="4"/>
  <c r="K32" i="4"/>
  <c r="L32" i="4"/>
  <c r="M32" i="4"/>
  <c r="N32" i="4"/>
  <c r="D31" i="4"/>
  <c r="E31" i="4"/>
  <c r="F31" i="4"/>
  <c r="G31" i="4"/>
  <c r="H31" i="4"/>
  <c r="I31" i="4"/>
  <c r="J31" i="4"/>
  <c r="K31" i="4"/>
  <c r="L31" i="4"/>
  <c r="M31" i="4"/>
  <c r="N31" i="4"/>
  <c r="C31" i="4"/>
  <c r="C23" i="4"/>
  <c r="D23" i="4"/>
  <c r="E23" i="4"/>
  <c r="F23" i="4"/>
  <c r="G23" i="4"/>
  <c r="H23" i="4"/>
  <c r="I23" i="4"/>
  <c r="J23" i="4"/>
  <c r="K23" i="4"/>
  <c r="L23" i="4"/>
  <c r="M23" i="4"/>
  <c r="N23" i="4"/>
  <c r="C24" i="4"/>
  <c r="D24" i="4"/>
  <c r="E24" i="4"/>
  <c r="F24" i="4"/>
  <c r="G24" i="4"/>
  <c r="H24" i="4"/>
  <c r="I24" i="4"/>
  <c r="J24" i="4"/>
  <c r="K24" i="4"/>
  <c r="L24" i="4"/>
  <c r="M24" i="4"/>
  <c r="N24" i="4"/>
  <c r="C25" i="4"/>
  <c r="D25" i="4"/>
  <c r="E25" i="4"/>
  <c r="F25" i="4"/>
  <c r="G25" i="4"/>
  <c r="H25" i="4"/>
  <c r="I25" i="4"/>
  <c r="J25" i="4"/>
  <c r="K25" i="4"/>
  <c r="L25" i="4"/>
  <c r="M25" i="4"/>
  <c r="N25" i="4"/>
  <c r="C26" i="4"/>
  <c r="D26" i="4"/>
  <c r="E26" i="4"/>
  <c r="F26" i="4"/>
  <c r="G26" i="4"/>
  <c r="H26" i="4"/>
  <c r="I26" i="4"/>
  <c r="J26" i="4"/>
  <c r="K26" i="4"/>
  <c r="L26" i="4"/>
  <c r="M26" i="4"/>
  <c r="N26" i="4"/>
  <c r="C27" i="4"/>
  <c r="D27" i="4"/>
  <c r="E27" i="4"/>
  <c r="F27" i="4"/>
  <c r="G27" i="4"/>
  <c r="H27" i="4"/>
  <c r="I27" i="4"/>
  <c r="J27" i="4"/>
  <c r="K27" i="4"/>
  <c r="L27" i="4"/>
  <c r="M27" i="4"/>
  <c r="N27" i="4"/>
  <c r="D22" i="4"/>
  <c r="E22" i="4"/>
  <c r="F22" i="4"/>
  <c r="G22" i="4"/>
  <c r="H22" i="4"/>
  <c r="I22" i="4"/>
  <c r="J22" i="4"/>
  <c r="K22" i="4"/>
  <c r="L22" i="4"/>
  <c r="M22" i="4"/>
  <c r="N22" i="4"/>
  <c r="C22" i="4"/>
  <c r="D6" i="4"/>
  <c r="E6" i="4"/>
  <c r="F6" i="4"/>
  <c r="G6" i="4"/>
  <c r="H6" i="4"/>
  <c r="I6" i="4"/>
  <c r="J6" i="4"/>
  <c r="K6" i="4"/>
  <c r="L6" i="4"/>
  <c r="M6" i="4"/>
  <c r="N6" i="4"/>
  <c r="C6" i="4"/>
  <c r="C12" i="4"/>
  <c r="D12" i="4"/>
  <c r="E12" i="4"/>
  <c r="F12" i="4"/>
  <c r="G12" i="4"/>
  <c r="H12" i="4"/>
  <c r="I12" i="4"/>
  <c r="J12" i="4"/>
  <c r="K12" i="4"/>
  <c r="L12" i="4"/>
  <c r="M12" i="4"/>
  <c r="N12" i="4"/>
  <c r="C13" i="4"/>
  <c r="D13" i="4"/>
  <c r="E13" i="4"/>
  <c r="F13" i="4"/>
  <c r="G13" i="4"/>
  <c r="H13" i="4"/>
  <c r="I13" i="4"/>
  <c r="J13" i="4"/>
  <c r="K13" i="4"/>
  <c r="L13" i="4"/>
  <c r="M13" i="4"/>
  <c r="N13" i="4"/>
  <c r="C14" i="4"/>
  <c r="D14" i="4"/>
  <c r="E14" i="4"/>
  <c r="F14" i="4"/>
  <c r="G14" i="4"/>
  <c r="H14" i="4"/>
  <c r="I14" i="4"/>
  <c r="J14" i="4"/>
  <c r="K14" i="4"/>
  <c r="L14" i="4"/>
  <c r="M14" i="4"/>
  <c r="N14" i="4"/>
  <c r="C15" i="4"/>
  <c r="D15" i="4"/>
  <c r="E15" i="4"/>
  <c r="F15" i="4"/>
  <c r="G15" i="4"/>
  <c r="H15" i="4"/>
  <c r="I15" i="4"/>
  <c r="J15" i="4"/>
  <c r="K15" i="4"/>
  <c r="L15" i="4"/>
  <c r="M15" i="4"/>
  <c r="N15" i="4"/>
  <c r="C16" i="4"/>
  <c r="D16" i="4"/>
  <c r="E16" i="4"/>
  <c r="F16" i="4"/>
  <c r="G16" i="4"/>
  <c r="H16" i="4"/>
  <c r="I16" i="4"/>
  <c r="J16" i="4"/>
  <c r="K16" i="4"/>
  <c r="L16" i="4"/>
  <c r="M16" i="4"/>
  <c r="N16" i="4"/>
  <c r="C17" i="4"/>
  <c r="D17" i="4"/>
  <c r="E17" i="4"/>
  <c r="F17" i="4"/>
  <c r="G17" i="4"/>
  <c r="H17" i="4"/>
  <c r="I17" i="4"/>
  <c r="J17" i="4"/>
  <c r="K17" i="4"/>
  <c r="L17" i="4"/>
  <c r="M17" i="4"/>
  <c r="N17" i="4"/>
  <c r="C18" i="4"/>
  <c r="D18" i="4"/>
  <c r="E18" i="4"/>
  <c r="F18" i="4"/>
  <c r="G18" i="4"/>
  <c r="H18" i="4"/>
  <c r="I18" i="4"/>
  <c r="J18" i="4"/>
  <c r="K18" i="4"/>
  <c r="L18" i="4"/>
  <c r="M18" i="4"/>
  <c r="N18" i="4"/>
  <c r="D11" i="4"/>
  <c r="E11" i="4"/>
  <c r="F11" i="4"/>
  <c r="G11" i="4"/>
  <c r="H11" i="4"/>
  <c r="I11" i="4"/>
  <c r="J11" i="4"/>
  <c r="K11" i="4"/>
  <c r="L11" i="4"/>
  <c r="M11" i="4"/>
  <c r="N11" i="4"/>
  <c r="C11" i="4"/>
  <c r="D19" i="3"/>
  <c r="E19" i="3"/>
  <c r="F19" i="3"/>
  <c r="G19" i="3"/>
  <c r="H19" i="3"/>
  <c r="I19" i="3"/>
  <c r="J19" i="3"/>
  <c r="K19" i="3"/>
  <c r="L19" i="3"/>
  <c r="M19" i="3"/>
  <c r="N19" i="3"/>
  <c r="D28" i="3"/>
  <c r="E28" i="3"/>
  <c r="F28" i="3"/>
  <c r="G28" i="3"/>
  <c r="H28" i="3"/>
  <c r="I28" i="3"/>
  <c r="J28" i="3"/>
  <c r="K28" i="3"/>
  <c r="L28" i="3"/>
  <c r="M28" i="3"/>
  <c r="N28" i="3"/>
  <c r="D33" i="3"/>
  <c r="E33" i="3"/>
  <c r="F33" i="3"/>
  <c r="G33" i="3"/>
  <c r="H33" i="3"/>
  <c r="I33" i="3"/>
  <c r="J33" i="3"/>
  <c r="K33" i="3"/>
  <c r="L33" i="3"/>
  <c r="M33" i="3"/>
  <c r="N33" i="3"/>
  <c r="C33" i="3"/>
  <c r="C28" i="3"/>
  <c r="C19" i="3"/>
  <c r="D33" i="2"/>
  <c r="E33" i="2"/>
  <c r="F33" i="2"/>
  <c r="G33" i="2"/>
  <c r="H33" i="2"/>
  <c r="I33" i="2"/>
  <c r="J33" i="2"/>
  <c r="K33" i="2"/>
  <c r="L33" i="2"/>
  <c r="M33" i="2"/>
  <c r="N33" i="2"/>
  <c r="C33" i="2"/>
  <c r="D28" i="2"/>
  <c r="E28" i="2"/>
  <c r="F28" i="2"/>
  <c r="G28" i="2"/>
  <c r="H28" i="2"/>
  <c r="I28" i="2"/>
  <c r="J28" i="2"/>
  <c r="K28" i="2"/>
  <c r="L28" i="2"/>
  <c r="M28" i="2"/>
  <c r="N28" i="2"/>
  <c r="C28" i="2"/>
  <c r="D19" i="2"/>
  <c r="E19" i="2"/>
  <c r="F19" i="2"/>
  <c r="G19" i="2"/>
  <c r="H19" i="2"/>
  <c r="I19" i="2"/>
  <c r="J19" i="2"/>
  <c r="K19" i="2"/>
  <c r="L19" i="2"/>
  <c r="M19" i="2"/>
  <c r="N19" i="2"/>
  <c r="C19" i="2"/>
  <c r="O22" i="4" l="1"/>
  <c r="O24" i="4"/>
  <c r="O6" i="4"/>
  <c r="O23" i="4"/>
  <c r="O32" i="4"/>
  <c r="O27" i="4"/>
  <c r="O26" i="4"/>
  <c r="O25" i="4"/>
  <c r="O31" i="4"/>
  <c r="O17" i="4"/>
  <c r="O16" i="4"/>
  <c r="O15" i="4"/>
  <c r="O14" i="4"/>
  <c r="O12" i="4"/>
  <c r="O18" i="4"/>
  <c r="O13" i="4"/>
  <c r="O11" i="4"/>
  <c r="B10" i="5"/>
  <c r="B9" i="5"/>
  <c r="B8" i="5"/>
  <c r="B7" i="5"/>
  <c r="N33" i="4"/>
  <c r="M33" i="4"/>
  <c r="L33" i="4"/>
  <c r="K33" i="4"/>
  <c r="J33" i="4"/>
  <c r="I33" i="4"/>
  <c r="H33" i="4"/>
  <c r="G33" i="4"/>
  <c r="F33" i="4"/>
  <c r="E33" i="4"/>
  <c r="D33" i="4"/>
  <c r="C33" i="4"/>
  <c r="N28" i="4"/>
  <c r="M28" i="4"/>
  <c r="L28" i="4"/>
  <c r="K28" i="4"/>
  <c r="J28" i="4"/>
  <c r="I28" i="4"/>
  <c r="H28" i="4"/>
  <c r="G28" i="4"/>
  <c r="F28" i="4"/>
  <c r="E28" i="4"/>
  <c r="D28" i="4"/>
  <c r="C28" i="4"/>
  <c r="N19" i="4"/>
  <c r="M19" i="4"/>
  <c r="L19" i="4"/>
  <c r="K19" i="4"/>
  <c r="J19" i="4"/>
  <c r="I19" i="4"/>
  <c r="H19" i="4"/>
  <c r="G19" i="4"/>
  <c r="F19" i="4"/>
  <c r="E19" i="4"/>
  <c r="D19" i="4"/>
  <c r="C19" i="4"/>
  <c r="O32" i="3"/>
  <c r="O31" i="3"/>
  <c r="O27" i="3"/>
  <c r="O26" i="3"/>
  <c r="O25" i="3"/>
  <c r="O24" i="3"/>
  <c r="O23" i="3"/>
  <c r="O22" i="3"/>
  <c r="O18" i="3"/>
  <c r="O17" i="3"/>
  <c r="O16" i="3"/>
  <c r="O15" i="3"/>
  <c r="O14" i="3"/>
  <c r="O13" i="3"/>
  <c r="O12" i="3"/>
  <c r="O11" i="3"/>
  <c r="N8" i="3"/>
  <c r="N36" i="3" s="1"/>
  <c r="M8" i="3"/>
  <c r="M36" i="3" s="1"/>
  <c r="L8" i="3"/>
  <c r="L36" i="3" s="1"/>
  <c r="K8" i="3"/>
  <c r="K36" i="3" s="1"/>
  <c r="J8" i="3"/>
  <c r="J36" i="3" s="1"/>
  <c r="I8" i="3"/>
  <c r="I36" i="3" s="1"/>
  <c r="H7" i="3"/>
  <c r="H8" i="3" s="1"/>
  <c r="H36" i="3" s="1"/>
  <c r="G7" i="3"/>
  <c r="G8" i="3" s="1"/>
  <c r="G36" i="3" s="1"/>
  <c r="F7" i="3"/>
  <c r="F8" i="3" s="1"/>
  <c r="F36" i="3" s="1"/>
  <c r="E7" i="3"/>
  <c r="E8" i="3" s="1"/>
  <c r="E36" i="3" s="1"/>
  <c r="D7" i="3"/>
  <c r="D8" i="3" s="1"/>
  <c r="D36" i="3" s="1"/>
  <c r="C7" i="3"/>
  <c r="C8" i="3" s="1"/>
  <c r="C36" i="3" s="1"/>
  <c r="O6" i="3"/>
  <c r="O32" i="2"/>
  <c r="O31" i="2"/>
  <c r="O33" i="2" s="1"/>
  <c r="O27" i="2"/>
  <c r="O26" i="2"/>
  <c r="O25" i="2"/>
  <c r="O24" i="2"/>
  <c r="O23" i="2"/>
  <c r="O22" i="2"/>
  <c r="O18" i="2"/>
  <c r="O17" i="2"/>
  <c r="O16" i="2"/>
  <c r="O15" i="2"/>
  <c r="O14" i="2"/>
  <c r="O13" i="2"/>
  <c r="O12" i="2"/>
  <c r="O11" i="2"/>
  <c r="N7" i="2"/>
  <c r="M7" i="2"/>
  <c r="L7" i="2"/>
  <c r="K7" i="2"/>
  <c r="J7" i="2"/>
  <c r="I7" i="2"/>
  <c r="H7" i="2"/>
  <c r="G7" i="2"/>
  <c r="F7" i="2"/>
  <c r="E7" i="2"/>
  <c r="D7" i="2"/>
  <c r="C7" i="2"/>
  <c r="O6" i="2"/>
  <c r="J8" i="2" l="1"/>
  <c r="J36" i="2" s="1"/>
  <c r="J7" i="4"/>
  <c r="J8" i="4" s="1"/>
  <c r="J36" i="4" s="1"/>
  <c r="L8" i="2"/>
  <c r="L36" i="2" s="1"/>
  <c r="L7" i="4"/>
  <c r="L8" i="4" s="1"/>
  <c r="L36" i="4" s="1"/>
  <c r="G8" i="2"/>
  <c r="G36" i="2" s="1"/>
  <c r="G7" i="4"/>
  <c r="G8" i="4" s="1"/>
  <c r="G36" i="4" s="1"/>
  <c r="H8" i="2"/>
  <c r="H36" i="2" s="1"/>
  <c r="H7" i="4"/>
  <c r="H8" i="4" s="1"/>
  <c r="H36" i="4" s="1"/>
  <c r="N8" i="2"/>
  <c r="N36" i="2" s="1"/>
  <c r="N7" i="4"/>
  <c r="N8" i="4" s="1"/>
  <c r="N36" i="4" s="1"/>
  <c r="D8" i="2"/>
  <c r="D36" i="2" s="1"/>
  <c r="D7" i="4"/>
  <c r="D8" i="4" s="1"/>
  <c r="D36" i="4" s="1"/>
  <c r="E7" i="4"/>
  <c r="E8" i="4" s="1"/>
  <c r="E36" i="4" s="1"/>
  <c r="E8" i="2"/>
  <c r="E36" i="2" s="1"/>
  <c r="K8" i="2"/>
  <c r="K36" i="2" s="1"/>
  <c r="K7" i="4"/>
  <c r="K8" i="4" s="1"/>
  <c r="K36" i="4" s="1"/>
  <c r="F7" i="4"/>
  <c r="F8" i="4" s="1"/>
  <c r="F36" i="4" s="1"/>
  <c r="F8" i="2"/>
  <c r="F36" i="2" s="1"/>
  <c r="M8" i="2"/>
  <c r="M36" i="2" s="1"/>
  <c r="M7" i="4"/>
  <c r="M8" i="4" s="1"/>
  <c r="M36" i="4" s="1"/>
  <c r="C7" i="4"/>
  <c r="C8" i="4" s="1"/>
  <c r="C36" i="4" s="1"/>
  <c r="C8" i="2"/>
  <c r="C36" i="2" s="1"/>
  <c r="I7" i="4"/>
  <c r="I8" i="4" s="1"/>
  <c r="I36" i="4" s="1"/>
  <c r="I8" i="2"/>
  <c r="I36" i="2" s="1"/>
  <c r="O33" i="3"/>
  <c r="O28" i="3"/>
  <c r="D8" i="5" s="1"/>
  <c r="O19" i="3"/>
  <c r="D7" i="5" s="1"/>
  <c r="C9" i="5"/>
  <c r="O28" i="2"/>
  <c r="C8" i="5" s="1"/>
  <c r="O19" i="2"/>
  <c r="C7" i="5" s="1"/>
  <c r="O7" i="3"/>
  <c r="O8" i="3" s="1"/>
  <c r="D6" i="5" s="1"/>
  <c r="O33" i="4"/>
  <c r="O7" i="2"/>
  <c r="O8" i="2" s="1"/>
  <c r="C6" i="5" s="1"/>
  <c r="E37" i="2" l="1"/>
  <c r="D37" i="2"/>
  <c r="J37" i="2"/>
  <c r="O7" i="4"/>
  <c r="O8" i="4" s="1"/>
  <c r="O36" i="2"/>
  <c r="C10" i="5" s="1"/>
  <c r="I37" i="2"/>
  <c r="C37" i="2"/>
  <c r="F37" i="2"/>
  <c r="E8" i="5"/>
  <c r="F8" i="5" s="1"/>
  <c r="D37" i="4"/>
  <c r="J37" i="4"/>
  <c r="M37" i="4"/>
  <c r="H37" i="4"/>
  <c r="N37" i="4"/>
  <c r="C37" i="4"/>
  <c r="E37" i="4"/>
  <c r="K37" i="4"/>
  <c r="F37" i="4"/>
  <c r="L37" i="4"/>
  <c r="G37" i="4"/>
  <c r="I37" i="4"/>
  <c r="O19" i="4"/>
  <c r="O28" i="4"/>
  <c r="D9" i="5"/>
  <c r="E9" i="5" s="1"/>
  <c r="F9" i="5" s="1"/>
  <c r="O36" i="3"/>
  <c r="D10" i="5" s="1"/>
  <c r="K37" i="2"/>
  <c r="G37" i="3"/>
  <c r="M37" i="3"/>
  <c r="J37" i="3"/>
  <c r="F37" i="3"/>
  <c r="H37" i="3"/>
  <c r="N37" i="3"/>
  <c r="I37" i="3"/>
  <c r="C37" i="3"/>
  <c r="D37" i="3"/>
  <c r="E37" i="3"/>
  <c r="K37" i="3"/>
  <c r="L37" i="3"/>
  <c r="E7" i="5"/>
  <c r="F7" i="5" s="1"/>
  <c r="N37" i="2"/>
  <c r="H37" i="2"/>
  <c r="M37" i="2"/>
  <c r="L37" i="2"/>
  <c r="G37" i="2"/>
  <c r="E6" i="5"/>
  <c r="F6" i="5" s="1"/>
  <c r="O36" i="4" l="1"/>
  <c r="E10" i="5"/>
  <c r="F10" i="5" s="1"/>
</calcChain>
</file>

<file path=xl/sharedStrings.xml><?xml version="1.0" encoding="utf-8"?>
<sst xmlns="http://schemas.openxmlformats.org/spreadsheetml/2006/main" count="388" uniqueCount="108">
  <si>
    <t>ABOUT THIS TEMPLATE</t>
  </si>
  <si>
    <t>Use this Business Expense Budget workbook to track Planned and Actual Expenses and Variances.</t>
  </si>
  <si>
    <t>Fill in Company Name and add Logo.</t>
  </si>
  <si>
    <t>Enter details in tables in Planned Expenses worksheet and Actual Expenses worksheet.</t>
  </si>
  <si>
    <t>Tables are auto-updated in Expense Variances worksheet and charts in Expense Analysis worksheet</t>
  </si>
  <si>
    <t>Note: </t>
  </si>
  <si>
    <t>Additional instructions have been provided in column A in each worksheet. This text has been intentionally hidden. To remove text, select column A, then select DELETE. To unhide text, select column A, then change font colour.</t>
  </si>
  <si>
    <t>To learn more about tables, press SHIFT and then F10 within a table, select the TABLE option, then select ALTERNATIVE TEXT</t>
  </si>
  <si>
    <t>Enter Planned Employee Costs, Office Costs, Marketing Costs and Training or Travel Cost in the respective tables in this worksheet. Totals are auto-calculated. Helpful instructions on how to use this worksheet are in cells in this column. Arrow-down to get started.</t>
  </si>
  <si>
    <t>Enter Company Name in cell to the right and Logo in cell N2. Title of this worksheet is in cell K2.</t>
  </si>
  <si>
    <t>Tip is in cell K3.</t>
  </si>
  <si>
    <t>Planned Expenses label is in cell to the right, months in cells C4 to N4, Year label in O4, and How to use this template instructions in cell R4.</t>
  </si>
  <si>
    <t>Enter Employee Costs in Employee Plan table starting in cell to the right. Next instruction is in cell A10.</t>
  </si>
  <si>
    <t>Enter Office Costs in Office Plan table starting in cell to the right. Next instruction is in cell A21.</t>
  </si>
  <si>
    <t>Enter Marketing Costs in Marketing Plan table starting in cell to the right. Next instruction is in cell A30.</t>
  </si>
  <si>
    <t>Enter Training and Travel Costs in Training and Travel Plan table starting in cell to the right. Next instruction is in cell A35.</t>
  </si>
  <si>
    <t>Totals are auto-calculated in Planned Total table starting in cell to the right.</t>
  </si>
  <si>
    <t>Company Name</t>
  </si>
  <si>
    <t>PLANNED EXPENSES</t>
  </si>
  <si>
    <t>Employee Costs</t>
  </si>
  <si>
    <t>Wages</t>
  </si>
  <si>
    <t>Benefits</t>
  </si>
  <si>
    <t>Subtotal</t>
  </si>
  <si>
    <t>Office Costs</t>
  </si>
  <si>
    <t>Office lease</t>
  </si>
  <si>
    <t>Gas</t>
  </si>
  <si>
    <t>Electricity</t>
  </si>
  <si>
    <t>Water</t>
  </si>
  <si>
    <t>Telephone</t>
  </si>
  <si>
    <t>Internet access</t>
  </si>
  <si>
    <t>Office supplies</t>
  </si>
  <si>
    <t>Security</t>
  </si>
  <si>
    <t>Marketing Costs</t>
  </si>
  <si>
    <t>Website hosting</t>
  </si>
  <si>
    <t>Website updates</t>
  </si>
  <si>
    <t>Collateral preparation</t>
  </si>
  <si>
    <t>Collateral printing</t>
  </si>
  <si>
    <t>Marketing events</t>
  </si>
  <si>
    <t>Miscellaneous expenses</t>
  </si>
  <si>
    <t>Training/Travel</t>
  </si>
  <si>
    <t>Training classes</t>
  </si>
  <si>
    <t>Training-related travel costs</t>
  </si>
  <si>
    <t>TOTALS</t>
  </si>
  <si>
    <t>Monthly Planned Expenses</t>
  </si>
  <si>
    <t>TOTAL Planned Expenses</t>
  </si>
  <si>
    <t>JAN</t>
  </si>
  <si>
    <t>Jan</t>
  </si>
  <si>
    <t>FEB</t>
  </si>
  <si>
    <t>Feb</t>
  </si>
  <si>
    <t>MAR</t>
  </si>
  <si>
    <t>Mar</t>
  </si>
  <si>
    <t>APR</t>
  </si>
  <si>
    <t>Apr</t>
  </si>
  <si>
    <t>MAY</t>
  </si>
  <si>
    <t>May</t>
  </si>
  <si>
    <t>JUN</t>
  </si>
  <si>
    <t>Jun</t>
  </si>
  <si>
    <t>JUL</t>
  </si>
  <si>
    <t>Jul</t>
  </si>
  <si>
    <t>AUG</t>
  </si>
  <si>
    <t>Aug</t>
  </si>
  <si>
    <t>Detailed Expense Estimates</t>
  </si>
  <si>
    <t>Shaded cells are calculations.</t>
  </si>
  <si>
    <t>SEPT</t>
  </si>
  <si>
    <t>Sep</t>
  </si>
  <si>
    <t>OCT</t>
  </si>
  <si>
    <t>Oct</t>
  </si>
  <si>
    <t>NOV</t>
  </si>
  <si>
    <t>Nov</t>
  </si>
  <si>
    <t>Logo placeholder is in this cell.</t>
  </si>
  <si>
    <t>DEC</t>
  </si>
  <si>
    <t>Dec</t>
  </si>
  <si>
    <t>YEAR</t>
  </si>
  <si>
    <t>Year</t>
  </si>
  <si>
    <t xml:space="preserve"> </t>
  </si>
  <si>
    <t>Tip: HOW TO USE THIS TEMPLATE
Input data in the white cells on the PLANNED EXPENSES and ACTUAL EXPENSES worksheets, and the EXPENSE VARIANCES and EXPENSE ANALYSIS will be calculated for you. If you add a row on one sheet, the other sheets need to match.</t>
  </si>
  <si>
    <t>Enter Actual Employee Costs, Office Costs, Marketing Costs and Training or Travel Cost in the respective tables in this worksheet. Totals are auto-calculated. Helpful instructions on how to use this worksheet are in cells in this column. Arrow-down to get started.</t>
  </si>
  <si>
    <t>Company Name is auto-updated in cell to the right. Title of this worksheet is in cell K2. Enter Logo in cell N2.</t>
  </si>
  <si>
    <t>Actual Expenses label is in cell to the right, months in cells C4 to N4, and Year label in O4.</t>
  </si>
  <si>
    <t>Enter Employee Costs in Employee Actual table starting in cell to the right. Next instruction is in cell A10.</t>
  </si>
  <si>
    <t>Enter Office Costs in Office Actual table starting in cell to the right. Next instruction is in cell A21.</t>
  </si>
  <si>
    <t>Enter Marketing Costs in Marketing Actual table starting in cell to the right. Next instruction is in cell A30.</t>
  </si>
  <si>
    <t>Enter Training or Travel Costs in Training and Travel Actual table starting in cell to the right. Next instruction is in cell A35.</t>
  </si>
  <si>
    <t>Total Actual Expenses are auto-calculated in Total Actual table starting in cell to the right.</t>
  </si>
  <si>
    <t>ACTUAL EXPENSES</t>
  </si>
  <si>
    <t>Monthly Actual Expenses</t>
  </si>
  <si>
    <t>TOTAL Actual Expenses</t>
  </si>
  <si>
    <t>Expense Variances are auto-calculated in this worksheet for Employee Costs, Office Costs, Marketing Costs and Training or Travel Cost in the respective tables in this worksheet. Helpful instructions on how to use this worksheet are in cells in this column. Arrow-down to get started.</t>
  </si>
  <si>
    <t>Expense Variances label is in cell to the right, months in cells C4 to N4, and Year label in O4.</t>
  </si>
  <si>
    <t>Variance in Employee Costs is auto-calculated in Employee Variances table starting in cell to the right. Next instruction is in cell A10.</t>
  </si>
  <si>
    <t>Variance in Office Costs is auto-calculated in Office Variances table starting in cell to the right. Next instruction is in cell A21.</t>
  </si>
  <si>
    <t>Variance in Marketing Costs is auto-calculated in Marketing Variances table starting in cell to the right. Next instruction is in cell A30.</t>
  </si>
  <si>
    <t>Variance in Training or Travel Costs is auto-calculated in Training and Travel Variances table starting in cell to the right. Next instruction is in cell A35.</t>
  </si>
  <si>
    <t>Expense Variances are auto-calculated in Total Variance table starting in cell to the right.</t>
  </si>
  <si>
    <t>EXPENSE VARIANCES</t>
  </si>
  <si>
    <t xml:space="preserve">Annual Planned and Actual Expenses, Expense Variances and Variance Percentage are auto-updated for each Expense Category in this worksheet. Helpful instructions on how to use this worksheet are in cells in this column. Arrow-down to get started. </t>
  </si>
  <si>
    <t>Company Name is auto-updated in cell to the right. Enter Logo in cell F2.</t>
  </si>
  <si>
    <t>Title of this worksheet is in cell E3. Next instruction is in cell A5.</t>
  </si>
  <si>
    <t>Planned Expenses, Actual Expenses, Expense Variance and Variance Percentage are auto-calculated in Analysis table starting in cell to the right. Next instruction is in cell A12.</t>
  </si>
  <si>
    <t>Planned Expenses pie chart is in cell to the right and Actual Expenses pie chart in cell D12. Next instruction is in cell A14.</t>
  </si>
  <si>
    <t>Chart showing Planned, Actual and Variance in Monthly Expenses is in cell to the right.</t>
  </si>
  <si>
    <t>Expense Category</t>
  </si>
  <si>
    <t>Pie chart showing planned expenses for various categories is in this cell.</t>
  </si>
  <si>
    <t>Planned Expenses</t>
  </si>
  <si>
    <t>Actual Expenses</t>
  </si>
  <si>
    <t>Pie chart showing actual expenses incurred for various categories is in this cell.</t>
  </si>
  <si>
    <t>Expense Variances</t>
  </si>
  <si>
    <t>Variance Percentage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</si>
</sst>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quot;£&quot;#,##0.00;[Red]&quot;£&quot;#,##0.00"/>
    <numFmt numFmtId="167" formatCode="#,##0_ ;\-#,##0\ "/>
  </numFmts>
  <fonts count="54" x14ac:knownFonts="1">
    <font>
      <sz val="9"/>
      <color theme="1" tint="0.24994659260841701"/>
      <name val="Microsoft Sans Serif"/>
      <family val="2"/>
      <scheme val="minor"/>
    </font>
    <font>
      <sz val="11"/>
      <color theme="1"/>
      <name val="Microsoft Sans Serif"/>
      <family val="2"/>
      <scheme val="minor"/>
    </font>
    <font>
      <sz val="14"/>
      <color theme="1"/>
      <name val="Microsoft Sans Serif"/>
      <family val="2"/>
      <scheme val="minor"/>
    </font>
    <font>
      <b/>
      <sz val="14"/>
      <color theme="1"/>
      <name val="Microsoft Sans Serif"/>
      <family val="2"/>
      <scheme val="minor"/>
    </font>
    <font>
      <sz val="10"/>
      <color theme="1"/>
      <name val="Microsoft Sans Serif"/>
      <family val="2"/>
      <scheme val="minor"/>
    </font>
    <font>
      <b/>
      <u/>
      <sz val="10"/>
      <color theme="1"/>
      <name val="Microsoft Sans Serif"/>
      <family val="2"/>
      <scheme val="minor"/>
    </font>
    <font>
      <b/>
      <sz val="10"/>
      <color theme="1"/>
      <name val="Microsoft Sans Serif"/>
      <family val="2"/>
      <scheme val="minor"/>
    </font>
    <font>
      <b/>
      <i/>
      <sz val="10"/>
      <color theme="1"/>
      <name val="Microsoft Sans Serif"/>
      <family val="2"/>
      <scheme val="minor"/>
    </font>
    <font>
      <b/>
      <sz val="22"/>
      <color theme="1" tint="0.24994659260841701"/>
      <name val="Franklin Gothic Book"/>
      <family val="2"/>
      <scheme val="major"/>
    </font>
    <font>
      <sz val="11"/>
      <color theme="1" tint="0.24994659260841701"/>
      <name val="Franklin Gothic Book"/>
      <family val="2"/>
      <scheme val="major"/>
    </font>
    <font>
      <b/>
      <sz val="10"/>
      <color theme="2"/>
      <name val="Franklin Gothic Book"/>
      <family val="2"/>
      <scheme val="major"/>
    </font>
    <font>
      <b/>
      <sz val="14"/>
      <color theme="0"/>
      <name val="Franklin Gothic Book"/>
      <family val="2"/>
      <scheme val="major"/>
    </font>
    <font>
      <i/>
      <sz val="11"/>
      <color theme="3" tint="0.79998168889431442"/>
      <name val="Microsoft Sans Serif"/>
      <family val="2"/>
      <scheme val="minor"/>
    </font>
    <font>
      <b/>
      <sz val="36"/>
      <color theme="0"/>
      <name val="Franklin Gothic Book"/>
      <family val="2"/>
      <scheme val="major"/>
    </font>
    <font>
      <sz val="9"/>
      <color theme="1"/>
      <name val="Microsoft Sans Serif"/>
      <family val="2"/>
      <scheme val="minor"/>
    </font>
    <font>
      <b/>
      <sz val="9"/>
      <color theme="1"/>
      <name val="Microsoft Sans Serif"/>
      <family val="2"/>
      <scheme val="minor"/>
    </font>
    <font>
      <b/>
      <sz val="10"/>
      <color theme="0"/>
      <name val="Microsoft Sans Serif"/>
      <family val="2"/>
      <scheme val="minor"/>
    </font>
    <font>
      <b/>
      <sz val="16"/>
      <color theme="0"/>
      <name val="Franklin Gothic Book"/>
      <family val="2"/>
      <scheme val="major"/>
    </font>
    <font>
      <sz val="10"/>
      <color theme="1" tint="0.24994659260841701"/>
      <name val="Microsoft Sans Serif"/>
      <family val="2"/>
      <scheme val="minor"/>
    </font>
    <font>
      <b/>
      <sz val="10"/>
      <color theme="1" tint="0.24994659260841701"/>
      <name val="Microsoft Sans Serif"/>
      <family val="2"/>
      <scheme val="minor"/>
    </font>
    <font>
      <sz val="9"/>
      <color theme="6" tint="0.39997558519241921"/>
      <name val="Microsoft Sans Serif"/>
      <family val="2"/>
      <scheme val="minor"/>
    </font>
    <font>
      <b/>
      <sz val="14"/>
      <color theme="2"/>
      <name val="Franklin Gothic Book"/>
      <family val="2"/>
      <scheme val="major"/>
    </font>
    <font>
      <sz val="14"/>
      <color theme="3"/>
      <name val="Microsoft Sans Serif"/>
      <family val="2"/>
      <scheme val="minor"/>
    </font>
    <font>
      <b/>
      <sz val="13"/>
      <color theme="3"/>
      <name val="Franklin Gothic Book"/>
      <family val="2"/>
      <scheme val="major"/>
    </font>
    <font>
      <b/>
      <sz val="14"/>
      <color theme="0"/>
      <name val="Microsoft Sans Serif"/>
      <family val="2"/>
      <scheme val="minor"/>
    </font>
    <font>
      <sz val="9"/>
      <name val="Microsoft Sans Serif"/>
      <family val="2"/>
      <scheme val="minor"/>
    </font>
    <font>
      <b/>
      <sz val="9"/>
      <name val="Microsoft Sans Serif"/>
      <family val="2"/>
      <scheme val="minor"/>
    </font>
    <font>
      <b/>
      <sz val="10"/>
      <name val="Microsoft Sans Serif"/>
      <family val="2"/>
      <scheme val="minor"/>
    </font>
    <font>
      <b/>
      <sz val="10"/>
      <color theme="3" tint="-0.499984740745262"/>
      <name val="Franklin Gothic Book"/>
      <family val="2"/>
      <scheme val="major"/>
    </font>
    <font>
      <b/>
      <sz val="14"/>
      <color theme="3"/>
      <name val="Microsoft Sans Serif"/>
      <family val="2"/>
      <scheme val="minor"/>
    </font>
    <font>
      <b/>
      <sz val="14"/>
      <color theme="3" tint="-0.499984740745262"/>
      <name val="Franklin Gothic Book"/>
      <family val="2"/>
      <scheme val="major"/>
    </font>
    <font>
      <sz val="10"/>
      <color theme="5" tint="0.79998168889431442"/>
      <name val="Microsoft Sans Serif"/>
      <family val="2"/>
      <scheme val="minor"/>
    </font>
    <font>
      <b/>
      <sz val="16"/>
      <color theme="0"/>
      <name val="Arial"/>
      <family val="2"/>
    </font>
    <font>
      <sz val="14"/>
      <color theme="3" tint="-0.249977111117893"/>
      <name val="Microsoft Sans Serif"/>
      <family val="2"/>
      <scheme val="minor"/>
    </font>
    <font>
      <sz val="14"/>
      <color theme="6" tint="0.39997558519241921"/>
      <name val="Microsoft Sans Serif"/>
      <family val="2"/>
      <scheme val="minor"/>
    </font>
    <font>
      <sz val="11"/>
      <color theme="6" tint="0.39997558519241921"/>
      <name val="Calibri"/>
      <family val="2"/>
    </font>
    <font>
      <sz val="11"/>
      <color theme="1" tint="4.9989318521683403E-2"/>
      <name val="Calibri"/>
      <family val="2"/>
    </font>
    <font>
      <b/>
      <sz val="11"/>
      <color theme="1" tint="4.9989318521683403E-2"/>
      <name val="Calibri"/>
      <family val="2"/>
    </font>
    <font>
      <i/>
      <sz val="11"/>
      <color theme="0"/>
      <name val="Microsoft Sans Serif"/>
      <family val="2"/>
      <scheme val="minor"/>
    </font>
    <font>
      <b/>
      <sz val="16"/>
      <color theme="3"/>
      <name val="Franklin Gothic Book"/>
      <family val="2"/>
      <scheme val="major"/>
    </font>
    <font>
      <sz val="14"/>
      <color theme="0"/>
      <name val="Microsoft Sans Serif"/>
      <family val="2"/>
      <scheme val="minor"/>
    </font>
    <font>
      <sz val="9"/>
      <color theme="1" tint="0.24994659260841701"/>
      <name val="Microsoft Sans Serif"/>
      <family val="2"/>
      <scheme val="minor"/>
    </font>
    <font>
      <sz val="18"/>
      <color theme="3"/>
      <name val="Franklin Gothic Book"/>
      <family val="2"/>
      <scheme val="major"/>
    </font>
    <font>
      <sz val="11"/>
      <color rgb="FF006100"/>
      <name val="Microsoft Sans Serif"/>
      <family val="2"/>
      <scheme val="minor"/>
    </font>
    <font>
      <sz val="11"/>
      <color rgb="FF9C0006"/>
      <name val="Microsoft Sans Serif"/>
      <family val="2"/>
      <scheme val="minor"/>
    </font>
    <font>
      <sz val="11"/>
      <color rgb="FF9C5700"/>
      <name val="Microsoft Sans Serif"/>
      <family val="2"/>
      <scheme val="minor"/>
    </font>
    <font>
      <sz val="11"/>
      <color rgb="FF3F3F76"/>
      <name val="Microsoft Sans Serif"/>
      <family val="2"/>
      <scheme val="minor"/>
    </font>
    <font>
      <b/>
      <sz val="11"/>
      <color rgb="FF3F3F3F"/>
      <name val="Microsoft Sans Serif"/>
      <family val="2"/>
      <scheme val="minor"/>
    </font>
    <font>
      <b/>
      <sz val="11"/>
      <color rgb="FFFA7D00"/>
      <name val="Microsoft Sans Serif"/>
      <family val="2"/>
      <scheme val="minor"/>
    </font>
    <font>
      <sz val="11"/>
      <color rgb="FFFA7D00"/>
      <name val="Microsoft Sans Serif"/>
      <family val="2"/>
      <scheme val="minor"/>
    </font>
    <font>
      <b/>
      <sz val="11"/>
      <color theme="0"/>
      <name val="Microsoft Sans Serif"/>
      <family val="2"/>
      <scheme val="minor"/>
    </font>
    <font>
      <sz val="11"/>
      <color rgb="FFFF0000"/>
      <name val="Microsoft Sans Serif"/>
      <family val="2"/>
      <scheme val="minor"/>
    </font>
    <font>
      <b/>
      <sz val="11"/>
      <color theme="1"/>
      <name val="Microsoft Sans Serif"/>
      <family val="2"/>
      <scheme val="minor"/>
    </font>
    <font>
      <sz val="11"/>
      <color theme="0"/>
      <name val="Microsoft Sans Serif"/>
      <family val="2"/>
      <scheme val="minor"/>
    </font>
  </fonts>
  <fills count="45">
    <fill>
      <patternFill patternType="none"/>
    </fill>
    <fill>
      <patternFill patternType="gray125"/>
    </fill>
    <fill>
      <patternFill patternType="solid">
        <fgColor theme="5" tint="-0.499984740745262"/>
        <bgColor indexed="64"/>
      </patternFill>
    </fill>
    <fill>
      <patternFill patternType="solid">
        <fgColor theme="3" tint="0.89996032593768116"/>
        <bgColor indexed="64"/>
      </patternFill>
    </fill>
    <fill>
      <patternFill patternType="solid">
        <fgColor theme="3"/>
        <bgColor indexed="64"/>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theme="6" tint="0.39994506668294322"/>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9">
    <border>
      <left/>
      <right/>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medium">
        <color theme="6" tint="0.39997558519241921"/>
      </left>
      <right style="medium">
        <color theme="6" tint="0.39997558519241921"/>
      </right>
      <top style="medium">
        <color theme="6" tint="0.39997558519241921"/>
      </top>
      <bottom style="medium">
        <color theme="6" tint="0.39997558519241921"/>
      </bottom>
      <diagonal/>
    </border>
    <border>
      <left/>
      <right/>
      <top/>
      <bottom style="medium">
        <color theme="6" tint="0.39997558519241921"/>
      </bottom>
      <diagonal/>
    </border>
    <border>
      <left/>
      <right/>
      <top style="medium">
        <color theme="6" tint="0.39997558519241921"/>
      </top>
      <bottom/>
      <diagonal/>
    </border>
    <border>
      <left style="medium">
        <color theme="6" tint="0.39997558519241921"/>
      </left>
      <right style="medium">
        <color theme="6" tint="0.39997558519241921"/>
      </right>
      <top style="medium">
        <color theme="6" tint="0.39997558519241921"/>
      </top>
      <bottom/>
      <diagonal/>
    </border>
    <border>
      <left/>
      <right style="medium">
        <color theme="6" tint="0.39997558519241921"/>
      </right>
      <top/>
      <bottom/>
      <diagonal/>
    </border>
    <border>
      <left/>
      <right style="medium">
        <color theme="6" tint="0.39997558519241921"/>
      </right>
      <top style="medium">
        <color theme="6" tint="0.39997558519241921"/>
      </top>
      <bottom/>
      <diagonal/>
    </border>
    <border>
      <left style="medium">
        <color theme="6" tint="0.39997558519241921"/>
      </left>
      <right style="medium">
        <color theme="6" tint="0.39997558519241921"/>
      </right>
      <top/>
      <bottom/>
      <diagonal/>
    </border>
    <border>
      <left/>
      <right/>
      <top/>
      <bottom style="medium">
        <color theme="6" tint="0.39994506668294322"/>
      </bottom>
      <diagonal/>
    </border>
    <border>
      <left/>
      <right/>
      <top style="medium">
        <color theme="6" tint="0.39994506668294322"/>
      </top>
      <bottom style="medium">
        <color theme="6" tint="0.39994506668294322"/>
      </bottom>
      <diagonal/>
    </border>
    <border>
      <left/>
      <right/>
      <top style="medium">
        <color theme="6" tint="0.39994506668294322"/>
      </top>
      <bottom/>
      <diagonal/>
    </border>
    <border>
      <left/>
      <right style="medium">
        <color theme="6" tint="0.39991454817346722"/>
      </right>
      <top style="medium">
        <color theme="6" tint="0.39994506668294322"/>
      </top>
      <bottom/>
      <diagonal/>
    </border>
    <border>
      <left style="medium">
        <color theme="6" tint="0.39994506668294322"/>
      </left>
      <right style="medium">
        <color theme="6" tint="0.39994506668294322"/>
      </right>
      <top style="medium">
        <color theme="6" tint="0.39994506668294322"/>
      </top>
      <bottom style="medium">
        <color theme="6" tint="0.39994506668294322"/>
      </bottom>
      <diagonal/>
    </border>
    <border>
      <left/>
      <right style="medium">
        <color theme="6" tint="0.39994506668294322"/>
      </right>
      <top/>
      <bottom style="medium">
        <color theme="6" tint="0.39994506668294322"/>
      </bottom>
      <diagonal/>
    </border>
    <border>
      <left style="medium">
        <color theme="6" tint="0.39994506668294322"/>
      </left>
      <right style="medium">
        <color theme="6" tint="0.39994506668294322"/>
      </right>
      <top/>
      <bottom style="medium">
        <color theme="6" tint="0.39994506668294322"/>
      </bottom>
      <diagonal/>
    </border>
    <border>
      <left style="medium">
        <color theme="6" tint="0.39994506668294322"/>
      </left>
      <right/>
      <top/>
      <bottom style="medium">
        <color theme="6" tint="0.39994506668294322"/>
      </bottom>
      <diagonal/>
    </border>
    <border>
      <left/>
      <right style="medium">
        <color theme="6" tint="0.39994506668294322"/>
      </right>
      <top style="medium">
        <color theme="6" tint="0.39994506668294322"/>
      </top>
      <bottom style="medium">
        <color theme="6" tint="0.39994506668294322"/>
      </bottom>
      <diagonal/>
    </border>
    <border>
      <left style="medium">
        <color theme="6" tint="0.39994506668294322"/>
      </left>
      <right/>
      <top style="medium">
        <color theme="6" tint="0.39994506668294322"/>
      </top>
      <bottom style="medium">
        <color theme="6" tint="0.39994506668294322"/>
      </bottom>
      <diagonal/>
    </border>
    <border>
      <left/>
      <right style="medium">
        <color theme="6" tint="0.39994506668294322"/>
      </right>
      <top style="medium">
        <color theme="6" tint="0.39994506668294322"/>
      </top>
      <bottom/>
      <diagonal/>
    </border>
    <border>
      <left style="medium">
        <color theme="6" tint="0.39994506668294322"/>
      </left>
      <right style="medium">
        <color theme="6" tint="0.39994506668294322"/>
      </right>
      <top style="medium">
        <color theme="6" tint="0.39994506668294322"/>
      </top>
      <bottom/>
      <diagonal/>
    </border>
    <border>
      <left style="medium">
        <color theme="6" tint="0.39994506668294322"/>
      </left>
      <right/>
      <top style="medium">
        <color theme="6" tint="0.39994506668294322"/>
      </top>
      <bottom/>
      <diagonal/>
    </border>
    <border>
      <left/>
      <right style="medium">
        <color theme="6" tint="0.39994506668294322"/>
      </right>
      <top style="medium">
        <color theme="6" tint="0.39991454817346722"/>
      </top>
      <bottom style="medium">
        <color theme="6" tint="0.39994506668294322"/>
      </bottom>
      <diagonal/>
    </border>
    <border>
      <left style="medium">
        <color theme="6" tint="0.39994506668294322"/>
      </left>
      <right style="medium">
        <color theme="6" tint="0.39994506668294322"/>
      </right>
      <top style="medium">
        <color theme="6" tint="0.39991454817346722"/>
      </top>
      <bottom style="medium">
        <color theme="6" tint="0.39994506668294322"/>
      </bottom>
      <diagonal/>
    </border>
    <border>
      <left style="medium">
        <color theme="6" tint="0.39994506668294322"/>
      </left>
      <right/>
      <top style="medium">
        <color theme="6" tint="0.39991454817346722"/>
      </top>
      <bottom style="medium">
        <color theme="6" tint="0.39994506668294322"/>
      </bottom>
      <diagonal/>
    </border>
    <border>
      <left style="medium">
        <color theme="6" tint="0.39988402966399123"/>
      </left>
      <right/>
      <top style="medium">
        <color theme="6" tint="0.39991454817346722"/>
      </top>
      <bottom style="medium">
        <color theme="6" tint="0.39994506668294322"/>
      </bottom>
      <diagonal/>
    </border>
    <border>
      <left style="medium">
        <color theme="6" tint="0.39988402966399123"/>
      </left>
      <right/>
      <top style="medium">
        <color theme="6" tint="0.39994506668294322"/>
      </top>
      <bottom style="medium">
        <color theme="6" tint="0.39994506668294322"/>
      </bottom>
      <diagonal/>
    </border>
    <border>
      <left/>
      <right style="medium">
        <color theme="6" tint="0.39994506668294322"/>
      </right>
      <top style="medium">
        <color theme="6" tint="0.39994506668294322"/>
      </top>
      <bottom style="medium">
        <color theme="6" tint="0.39985351115451523"/>
      </bottom>
      <diagonal/>
    </border>
    <border>
      <left style="medium">
        <color theme="6" tint="0.39994506668294322"/>
      </left>
      <right style="medium">
        <color theme="6" tint="0.39994506668294322"/>
      </right>
      <top style="medium">
        <color theme="6" tint="0.39994506668294322"/>
      </top>
      <bottom style="medium">
        <color theme="6" tint="0.39985351115451523"/>
      </bottom>
      <diagonal/>
    </border>
    <border>
      <left style="medium">
        <color theme="6" tint="0.39994506668294322"/>
      </left>
      <right/>
      <top style="medium">
        <color theme="6" tint="0.39994506668294322"/>
      </top>
      <bottom style="medium">
        <color theme="6" tint="0.39985351115451523"/>
      </bottom>
      <diagonal/>
    </border>
    <border>
      <left style="medium">
        <color theme="6" tint="0.39988402966399123"/>
      </left>
      <right style="medium">
        <color theme="6" tint="0.39985351115451523"/>
      </right>
      <top style="medium">
        <color theme="6" tint="0.39994506668294322"/>
      </top>
      <bottom style="medium">
        <color theme="6" tint="0.39985351115451523"/>
      </bottom>
      <diagonal/>
    </border>
    <border>
      <left/>
      <right style="medium">
        <color theme="6" tint="0.39997558519241921"/>
      </right>
      <top style="medium">
        <color theme="6" tint="0.39997558519241921"/>
      </top>
      <bottom style="medium">
        <color theme="6" tint="0.39997558519241921"/>
      </bottom>
      <diagonal/>
    </border>
    <border>
      <left/>
      <right style="medium">
        <color theme="6" tint="0.39994506668294322"/>
      </right>
      <top/>
      <bottom style="medium">
        <color theme="6"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10" borderId="0"/>
    <xf numFmtId="0" fontId="8" fillId="0" borderId="0" applyNumberFormat="0" applyFill="0" applyProtection="0">
      <alignment vertical="center"/>
    </xf>
    <xf numFmtId="0" fontId="17" fillId="4" borderId="0" applyNumberFormat="0" applyProtection="0">
      <alignment vertical="center"/>
    </xf>
    <xf numFmtId="0" fontId="10" fillId="2" borderId="0" applyNumberFormat="0" applyProtection="0">
      <alignment vertical="center"/>
    </xf>
    <xf numFmtId="0" fontId="9" fillId="3" borderId="1" applyNumberFormat="0" applyProtection="0">
      <alignment horizontal="left" vertical="center" indent="1"/>
    </xf>
    <xf numFmtId="0" fontId="12" fillId="0" borderId="0" applyNumberFormat="0" applyFill="0" applyBorder="0" applyAlignment="0" applyProtection="0"/>
    <xf numFmtId="165" fontId="41" fillId="0" borderId="0" applyFont="0" applyFill="0" applyBorder="0" applyAlignment="0" applyProtection="0"/>
    <xf numFmtId="164" fontId="41" fillId="0" borderId="0" applyFont="0" applyFill="0" applyBorder="0" applyAlignment="0" applyProtection="0"/>
    <xf numFmtId="44" fontId="41" fillId="0" borderId="0" applyFont="0" applyFill="0" applyBorder="0" applyAlignment="0" applyProtection="0"/>
    <xf numFmtId="42" fontId="41" fillId="0" borderId="0" applyFont="0" applyFill="0" applyBorder="0" applyAlignment="0" applyProtection="0"/>
    <xf numFmtId="9" fontId="41" fillId="0" borderId="0" applyFont="0" applyFill="0" applyBorder="0" applyAlignment="0" applyProtection="0"/>
    <xf numFmtId="0" fontId="42" fillId="0" borderId="0" applyNumberFormat="0" applyFill="0" applyBorder="0" applyAlignment="0" applyProtection="0"/>
    <xf numFmtId="0" fontId="43" fillId="14" borderId="0" applyNumberFormat="0" applyBorder="0" applyAlignment="0" applyProtection="0"/>
    <xf numFmtId="0" fontId="44" fillId="15" borderId="0" applyNumberFormat="0" applyBorder="0" applyAlignment="0" applyProtection="0"/>
    <xf numFmtId="0" fontId="45" fillId="16" borderId="0" applyNumberFormat="0" applyBorder="0" applyAlignment="0" applyProtection="0"/>
    <xf numFmtId="0" fontId="46" fillId="17" borderId="33" applyNumberFormat="0" applyAlignment="0" applyProtection="0"/>
    <xf numFmtId="0" fontId="47" fillId="18" borderId="34" applyNumberFormat="0" applyAlignment="0" applyProtection="0"/>
    <xf numFmtId="0" fontId="48" fillId="18" borderId="33" applyNumberFormat="0" applyAlignment="0" applyProtection="0"/>
    <xf numFmtId="0" fontId="49" fillId="0" borderId="35" applyNumberFormat="0" applyFill="0" applyAlignment="0" applyProtection="0"/>
    <xf numFmtId="0" fontId="50" fillId="19" borderId="36" applyNumberFormat="0" applyAlignment="0" applyProtection="0"/>
    <xf numFmtId="0" fontId="51" fillId="0" borderId="0" applyNumberFormat="0" applyFill="0" applyBorder="0" applyAlignment="0" applyProtection="0"/>
    <xf numFmtId="0" fontId="41" fillId="20" borderId="37" applyNumberFormat="0" applyFont="0" applyAlignment="0" applyProtection="0"/>
    <xf numFmtId="0" fontId="52" fillId="0" borderId="38" applyNumberFormat="0" applyFill="0" applyAlignment="0" applyProtection="0"/>
    <xf numFmtId="0" fontId="5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5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5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5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53"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53"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46">
    <xf numFmtId="0" fontId="0" fillId="10" borderId="0" xfId="0"/>
    <xf numFmtId="0" fontId="2" fillId="10" borderId="0" xfId="0" applyFont="1"/>
    <xf numFmtId="0" fontId="4" fillId="10" borderId="0" xfId="0" applyNumberFormat="1" applyFont="1" applyAlignment="1"/>
    <xf numFmtId="0" fontId="2" fillId="10" borderId="0" xfId="0" applyFont="1" applyBorder="1"/>
    <xf numFmtId="0" fontId="4" fillId="10" borderId="0" xfId="0" applyFont="1"/>
    <xf numFmtId="0" fontId="4" fillId="10" borderId="0" xfId="0" applyFont="1" applyBorder="1"/>
    <xf numFmtId="9" fontId="0" fillId="10" borderId="0" xfId="0" applyNumberFormat="1" applyFont="1" applyBorder="1" applyAlignment="1">
      <alignment horizontal="right"/>
    </xf>
    <xf numFmtId="0" fontId="2" fillId="4" borderId="0" xfId="0" applyFont="1" applyFill="1" applyAlignment="1">
      <alignment horizontal="left" vertical="top" indent="1"/>
    </xf>
    <xf numFmtId="0" fontId="3" fillId="4" borderId="0" xfId="0" applyNumberFormat="1" applyFont="1" applyFill="1" applyAlignment="1">
      <alignment horizontal="left" vertical="top" indent="1"/>
    </xf>
    <xf numFmtId="0" fontId="5" fillId="4" borderId="0" xfId="0" applyNumberFormat="1" applyFont="1" applyFill="1" applyAlignment="1">
      <alignment horizontal="left" vertical="top" indent="1"/>
    </xf>
    <xf numFmtId="0" fontId="2" fillId="8" borderId="0" xfId="0" applyFont="1" applyFill="1" applyAlignment="1">
      <alignment horizontal="left" vertical="top" indent="1"/>
    </xf>
    <xf numFmtId="0" fontId="22" fillId="10" borderId="0" xfId="0" applyFont="1"/>
    <xf numFmtId="0" fontId="21" fillId="9" borderId="0" xfId="3" applyNumberFormat="1" applyFont="1" applyFill="1" applyAlignment="1">
      <alignment horizontal="left" vertical="center" indent="1"/>
    </xf>
    <xf numFmtId="0" fontId="16" fillId="4" borderId="5" xfId="0" applyNumberFormat="1" applyFont="1" applyFill="1" applyBorder="1" applyAlignment="1">
      <alignment horizontal="left" vertical="center" indent="1"/>
    </xf>
    <xf numFmtId="0" fontId="4" fillId="10" borderId="4" xfId="0" applyNumberFormat="1" applyFont="1" applyBorder="1" applyAlignment="1"/>
    <xf numFmtId="0" fontId="17" fillId="4" borderId="0" xfId="2" applyNumberFormat="1" applyFont="1" applyFill="1" applyAlignment="1"/>
    <xf numFmtId="0" fontId="10" fillId="6" borderId="0" xfId="3" applyNumberFormat="1" applyFill="1" applyAlignment="1">
      <alignment horizontal="left" vertical="center" indent="2"/>
    </xf>
    <xf numFmtId="0" fontId="10" fillId="5" borderId="0" xfId="3" applyNumberFormat="1" applyFill="1" applyAlignment="1">
      <alignment horizontal="left" vertical="center" indent="2"/>
    </xf>
    <xf numFmtId="0" fontId="10" fillId="7" borderId="0" xfId="3" applyNumberFormat="1" applyFill="1" applyAlignment="1">
      <alignment horizontal="left" vertical="center" indent="2"/>
    </xf>
    <xf numFmtId="0" fontId="10" fillId="4" borderId="0" xfId="3" applyNumberFormat="1" applyFill="1" applyAlignment="1">
      <alignment horizontal="left" vertical="center" indent="2"/>
    </xf>
    <xf numFmtId="0" fontId="0" fillId="11" borderId="2" xfId="0" applyNumberFormat="1" applyFont="1" applyFill="1" applyBorder="1" applyAlignment="1">
      <alignment horizontal="left" vertical="center" indent="2"/>
    </xf>
    <xf numFmtId="9" fontId="0" fillId="11" borderId="2" xfId="0" applyNumberFormat="1" applyFont="1" applyFill="1" applyBorder="1" applyAlignment="1">
      <alignment horizontal="right" vertical="center" indent="2"/>
    </xf>
    <xf numFmtId="0" fontId="22" fillId="10" borderId="0" xfId="0" applyFont="1" applyAlignment="1"/>
    <xf numFmtId="0" fontId="23" fillId="12" borderId="0" xfId="3" applyNumberFormat="1" applyFont="1" applyFill="1" applyAlignment="1">
      <alignment horizontal="left"/>
    </xf>
    <xf numFmtId="0" fontId="23" fillId="12" borderId="0" xfId="3" applyNumberFormat="1" applyFont="1" applyFill="1" applyAlignment="1">
      <alignment horizontal="center"/>
    </xf>
    <xf numFmtId="0" fontId="11" fillId="9" borderId="3" xfId="3" applyNumberFormat="1" applyFont="1" applyFill="1" applyBorder="1" applyAlignment="1">
      <alignment horizontal="left" vertical="center" indent="1"/>
    </xf>
    <xf numFmtId="0" fontId="16" fillId="4" borderId="7" xfId="0" applyNumberFormat="1" applyFont="1" applyFill="1" applyBorder="1" applyAlignment="1">
      <alignment horizontal="left" vertical="center" indent="1"/>
    </xf>
    <xf numFmtId="0" fontId="28" fillId="9" borderId="3" xfId="3" applyNumberFormat="1" applyFont="1" applyFill="1" applyBorder="1" applyAlignment="1">
      <alignment vertical="center"/>
    </xf>
    <xf numFmtId="0" fontId="20" fillId="10" borderId="0" xfId="0" applyFont="1" applyAlignment="1">
      <alignment wrapText="1"/>
    </xf>
    <xf numFmtId="0" fontId="21" fillId="9" borderId="3" xfId="3" applyNumberFormat="1" applyFont="1" applyFill="1" applyBorder="1" applyAlignment="1">
      <alignment horizontal="left" vertical="center" indent="1"/>
    </xf>
    <xf numFmtId="0" fontId="30" fillId="9" borderId="0" xfId="3" applyNumberFormat="1" applyFont="1" applyFill="1" applyAlignment="1">
      <alignment vertical="center"/>
    </xf>
    <xf numFmtId="0" fontId="0" fillId="10" borderId="0" xfId="0" applyAlignment="1">
      <alignment vertical="center"/>
    </xf>
    <xf numFmtId="0" fontId="32" fillId="8" borderId="0" xfId="2" applyFont="1" applyFill="1" applyBorder="1" applyAlignment="1">
      <alignment horizontal="center" vertical="center"/>
    </xf>
    <xf numFmtId="0" fontId="33" fillId="8" borderId="0" xfId="0" applyFont="1" applyFill="1" applyAlignment="1">
      <alignment horizontal="left" vertical="top" indent="1"/>
    </xf>
    <xf numFmtId="0" fontId="34" fillId="10" borderId="0" xfId="0" applyFont="1"/>
    <xf numFmtId="0" fontId="33" fillId="8" borderId="0" xfId="0" applyFont="1" applyFill="1" applyAlignment="1">
      <alignment horizontal="left" vertical="top" wrapText="1" indent="1"/>
    </xf>
    <xf numFmtId="0" fontId="34" fillId="10" borderId="0" xfId="0" applyFont="1" applyAlignment="1"/>
    <xf numFmtId="0" fontId="33" fillId="8" borderId="0" xfId="0" applyFont="1" applyFill="1" applyAlignment="1">
      <alignment horizontal="left" vertical="top" wrapText="1"/>
    </xf>
    <xf numFmtId="0" fontId="34" fillId="10" borderId="0" xfId="0" applyFont="1" applyAlignment="1">
      <alignment wrapText="1"/>
    </xf>
    <xf numFmtId="0" fontId="35" fillId="10" borderId="0" xfId="0" applyFont="1" applyAlignment="1">
      <alignment vertical="center" wrapText="1"/>
    </xf>
    <xf numFmtId="0" fontId="2" fillId="10" borderId="0" xfId="0" applyFont="1" applyAlignment="1">
      <alignment wrapText="1"/>
    </xf>
    <xf numFmtId="0" fontId="0" fillId="11" borderId="5" xfId="0" applyNumberFormat="1" applyFont="1" applyFill="1" applyBorder="1" applyAlignment="1">
      <alignment horizontal="left" vertical="center" indent="2"/>
    </xf>
    <xf numFmtId="9" fontId="0" fillId="11" borderId="5" xfId="0" applyNumberFormat="1" applyFont="1" applyFill="1" applyBorder="1" applyAlignment="1">
      <alignment horizontal="right" vertical="center" indent="2"/>
    </xf>
    <xf numFmtId="0" fontId="34" fillId="10" borderId="0" xfId="0" applyFont="1" applyBorder="1"/>
    <xf numFmtId="0" fontId="34" fillId="10" borderId="6" xfId="0" applyFont="1" applyBorder="1"/>
    <xf numFmtId="0" fontId="36" fillId="10" borderId="0" xfId="0" applyFont="1" applyAlignment="1">
      <alignment vertical="center" wrapText="1"/>
    </xf>
    <xf numFmtId="0" fontId="36" fillId="10" borderId="0" xfId="0" applyFont="1" applyAlignment="1">
      <alignment wrapText="1"/>
    </xf>
    <xf numFmtId="0" fontId="37" fillId="10" borderId="0" xfId="0" applyFont="1" applyAlignment="1">
      <alignment vertical="center" wrapText="1"/>
    </xf>
    <xf numFmtId="0" fontId="24" fillId="6" borderId="9" xfId="4" applyNumberFormat="1" applyFont="1" applyFill="1" applyBorder="1" applyAlignment="1">
      <alignment horizontal="left" vertical="center" indent="1"/>
    </xf>
    <xf numFmtId="0" fontId="16" fillId="4" borderId="10" xfId="0" applyNumberFormat="1" applyFont="1" applyFill="1" applyBorder="1" applyAlignment="1">
      <alignment horizontal="left" vertical="center" indent="1"/>
    </xf>
    <xf numFmtId="0" fontId="6" fillId="11" borderId="12" xfId="0" applyFont="1" applyFill="1" applyBorder="1" applyAlignment="1">
      <alignment horizontal="left" vertical="center" indent="1"/>
    </xf>
    <xf numFmtId="0" fontId="6" fillId="11" borderId="12" xfId="0" applyFont="1" applyFill="1" applyBorder="1" applyAlignment="1">
      <alignment horizontal="left" vertical="center" indent="2"/>
    </xf>
    <xf numFmtId="0" fontId="24" fillId="5" borderId="14" xfId="4" applyNumberFormat="1" applyFont="1" applyFill="1" applyBorder="1">
      <alignment horizontal="left" vertical="center" indent="1"/>
    </xf>
    <xf numFmtId="0" fontId="20" fillId="12" borderId="15" xfId="4" applyNumberFormat="1" applyFont="1" applyFill="1" applyBorder="1">
      <alignment horizontal="left" vertical="center" indent="1"/>
    </xf>
    <xf numFmtId="0" fontId="20" fillId="12" borderId="16" xfId="4" applyNumberFormat="1" applyFont="1" applyFill="1" applyBorder="1">
      <alignment horizontal="left" vertical="center" indent="1"/>
    </xf>
    <xf numFmtId="0" fontId="24" fillId="5" borderId="9" xfId="4" applyNumberFormat="1" applyFont="1" applyFill="1" applyBorder="1">
      <alignment horizontal="left" vertical="center" indent="1"/>
    </xf>
    <xf numFmtId="0" fontId="20" fillId="12" borderId="22" xfId="4" applyNumberFormat="1" applyFont="1" applyFill="1" applyBorder="1">
      <alignment horizontal="left" vertical="center" indent="1"/>
    </xf>
    <xf numFmtId="0" fontId="20" fillId="12" borderId="23" xfId="4" applyNumberFormat="1" applyFont="1" applyFill="1" applyBorder="1">
      <alignment horizontal="left" vertical="center" indent="1"/>
    </xf>
    <xf numFmtId="0" fontId="20" fillId="12" borderId="24" xfId="4" applyNumberFormat="1" applyFont="1" applyFill="1" applyBorder="1">
      <alignment horizontal="left" vertical="center" indent="1"/>
    </xf>
    <xf numFmtId="0" fontId="24" fillId="5" borderId="25" xfId="4" applyNumberFormat="1" applyFont="1" applyFill="1" applyBorder="1">
      <alignment horizontal="left" vertical="center" indent="1"/>
    </xf>
    <xf numFmtId="0" fontId="24" fillId="7" borderId="14" xfId="4" applyNumberFormat="1" applyFont="1" applyFill="1" applyBorder="1">
      <alignment horizontal="left" vertical="center" indent="1"/>
    </xf>
    <xf numFmtId="0" fontId="24" fillId="6" borderId="14" xfId="4" applyNumberFormat="1" applyFont="1" applyFill="1" applyBorder="1">
      <alignment horizontal="left" vertical="center" indent="1"/>
    </xf>
    <xf numFmtId="0" fontId="24" fillId="6" borderId="14" xfId="4" applyNumberFormat="1" applyFont="1" applyFill="1" applyBorder="1" applyAlignment="1">
      <alignment horizontal="left" vertical="center" indent="1"/>
    </xf>
    <xf numFmtId="0" fontId="20" fillId="12" borderId="15" xfId="4" applyNumberFormat="1" applyFont="1" applyFill="1" applyBorder="1" applyAlignment="1">
      <alignment horizontal="center" vertical="center"/>
    </xf>
    <xf numFmtId="0" fontId="20" fillId="12" borderId="16" xfId="4" applyNumberFormat="1" applyFont="1" applyFill="1" applyBorder="1" applyAlignment="1">
      <alignment horizontal="center" vertical="center"/>
    </xf>
    <xf numFmtId="0" fontId="20" fillId="12" borderId="14" xfId="4" applyNumberFormat="1" applyFont="1" applyFill="1" applyBorder="1" applyAlignment="1">
      <alignment horizontal="center" vertical="center"/>
    </xf>
    <xf numFmtId="0" fontId="6" fillId="11" borderId="30" xfId="0" applyFont="1" applyFill="1" applyBorder="1" applyAlignment="1">
      <alignment horizontal="left" vertical="center" indent="2"/>
    </xf>
    <xf numFmtId="0" fontId="40" fillId="4" borderId="0" xfId="0" applyFont="1" applyFill="1" applyAlignment="1">
      <alignment horizontal="left" vertical="top" indent="1"/>
    </xf>
    <xf numFmtId="0" fontId="20" fillId="12" borderId="15" xfId="4" applyNumberFormat="1" applyFont="1" applyFill="1" applyBorder="1" applyAlignment="1">
      <alignment horizontal="left" vertical="center" indent="1"/>
    </xf>
    <xf numFmtId="0" fontId="20" fillId="12" borderId="16" xfId="4" applyNumberFormat="1" applyFont="1" applyFill="1" applyBorder="1" applyAlignment="1">
      <alignment horizontal="left" vertical="center" indent="1"/>
    </xf>
    <xf numFmtId="0" fontId="16" fillId="4" borderId="17" xfId="0" applyNumberFormat="1" applyFont="1" applyFill="1" applyBorder="1" applyAlignment="1">
      <alignment horizontal="left" vertical="center" indent="1"/>
    </xf>
    <xf numFmtId="0" fontId="27" fillId="11" borderId="19" xfId="0" applyFont="1" applyFill="1" applyBorder="1" applyAlignment="1">
      <alignment horizontal="left" vertical="center" indent="1"/>
    </xf>
    <xf numFmtId="0" fontId="20" fillId="12" borderId="14" xfId="4" applyNumberFormat="1" applyFont="1" applyFill="1" applyBorder="1" applyAlignment="1">
      <alignment horizontal="left" vertical="center" indent="1"/>
    </xf>
    <xf numFmtId="0" fontId="27" fillId="11" borderId="11" xfId="0" applyFont="1" applyFill="1" applyBorder="1" applyAlignment="1">
      <alignment horizontal="left" vertical="center" indent="1"/>
    </xf>
    <xf numFmtId="0" fontId="27" fillId="11" borderId="19" xfId="0" applyFont="1" applyFill="1" applyBorder="1" applyAlignment="1">
      <alignment horizontal="left" vertical="center" indent="2"/>
    </xf>
    <xf numFmtId="0" fontId="24" fillId="7" borderId="9" xfId="4" applyNumberFormat="1" applyFont="1" applyFill="1" applyBorder="1">
      <alignment horizontal="left" vertical="center" indent="1"/>
    </xf>
    <xf numFmtId="0" fontId="16" fillId="4" borderId="4" xfId="0" applyNumberFormat="1" applyFont="1" applyFill="1" applyBorder="1" applyAlignment="1">
      <alignment horizontal="left" vertical="center" indent="1"/>
    </xf>
    <xf numFmtId="0" fontId="30" fillId="9" borderId="32" xfId="3" applyNumberFormat="1" applyFont="1" applyFill="1" applyBorder="1" applyAlignment="1">
      <alignment vertical="center"/>
    </xf>
    <xf numFmtId="0" fontId="20" fillId="12" borderId="15" xfId="4" applyNumberFormat="1" applyFont="1" applyFill="1" applyBorder="1" applyAlignment="1">
      <alignment horizontal="left"/>
    </xf>
    <xf numFmtId="0" fontId="20" fillId="12" borderId="16" xfId="4" applyNumberFormat="1" applyFont="1" applyFill="1" applyBorder="1" applyAlignment="1">
      <alignment horizontal="left"/>
    </xf>
    <xf numFmtId="0" fontId="19" fillId="11" borderId="19" xfId="0" applyNumberFormat="1" applyFont="1" applyFill="1" applyBorder="1" applyAlignment="1">
      <alignment horizontal="left" vertical="center" indent="1"/>
    </xf>
    <xf numFmtId="0" fontId="18" fillId="11" borderId="19" xfId="0" applyNumberFormat="1" applyFont="1" applyFill="1" applyBorder="1" applyAlignment="1">
      <alignment horizontal="left" vertical="center" indent="2"/>
    </xf>
    <xf numFmtId="0" fontId="6" fillId="11" borderId="19" xfId="0" applyNumberFormat="1" applyFont="1" applyFill="1" applyBorder="1" applyAlignment="1">
      <alignment horizontal="left" vertical="center" indent="1"/>
    </xf>
    <xf numFmtId="0" fontId="19" fillId="11" borderId="19" xfId="0" applyNumberFormat="1" applyFont="1" applyFill="1" applyBorder="1" applyAlignment="1">
      <alignment horizontal="left" vertical="center" indent="2"/>
    </xf>
    <xf numFmtId="0" fontId="0" fillId="11" borderId="2" xfId="0" applyNumberFormat="1" applyFont="1" applyFill="1" applyBorder="1" applyAlignment="1">
      <alignment horizontal="left" vertical="center" indent="1"/>
    </xf>
    <xf numFmtId="0" fontId="16" fillId="4" borderId="26" xfId="0" applyNumberFormat="1" applyFont="1" applyFill="1" applyBorder="1" applyAlignment="1">
      <alignment horizontal="left" vertical="center" indent="1"/>
    </xf>
    <xf numFmtId="0" fontId="0" fillId="10" borderId="0" xfId="0" applyNumberFormat="1" applyFont="1" applyBorder="1" applyAlignment="1">
      <alignment horizontal="left" indent="1"/>
    </xf>
    <xf numFmtId="0" fontId="4" fillId="10" borderId="0" xfId="0" applyFont="1" applyAlignment="1">
      <alignment horizontal="left"/>
    </xf>
    <xf numFmtId="166" fontId="14" fillId="13" borderId="17" xfId="0" applyNumberFormat="1" applyFont="1" applyFill="1" applyBorder="1" applyAlignment="1">
      <alignment horizontal="right" vertical="center"/>
    </xf>
    <xf numFmtId="166" fontId="14" fillId="13" borderId="13" xfId="0" applyNumberFormat="1" applyFont="1" applyFill="1" applyBorder="1" applyAlignment="1">
      <alignment horizontal="right" vertical="center"/>
    </xf>
    <xf numFmtId="166" fontId="14" fillId="11" borderId="18" xfId="0" applyNumberFormat="1" applyFont="1" applyFill="1" applyBorder="1" applyAlignment="1">
      <alignment horizontal="right" vertical="center"/>
    </xf>
    <xf numFmtId="166" fontId="14" fillId="11" borderId="19" xfId="0" applyNumberFormat="1" applyFont="1" applyFill="1" applyBorder="1" applyAlignment="1">
      <alignment horizontal="right" vertical="center"/>
    </xf>
    <xf numFmtId="166" fontId="14" fillId="11" borderId="20" xfId="0" applyNumberFormat="1" applyFont="1" applyFill="1" applyBorder="1" applyAlignment="1">
      <alignment horizontal="right" vertical="center"/>
    </xf>
    <xf numFmtId="166" fontId="14" fillId="11" borderId="21" xfId="0" applyNumberFormat="1" applyFont="1" applyFill="1" applyBorder="1" applyAlignment="1">
      <alignment horizontal="right" vertical="center"/>
    </xf>
    <xf numFmtId="42" fontId="20" fillId="12" borderId="23" xfId="4" applyNumberFormat="1" applyFont="1" applyFill="1" applyBorder="1">
      <alignment horizontal="left" vertical="center" indent="1"/>
    </xf>
    <xf numFmtId="166" fontId="14" fillId="11" borderId="27" xfId="0" applyNumberFormat="1" applyFont="1" applyFill="1" applyBorder="1" applyAlignment="1">
      <alignment horizontal="right" vertical="center"/>
    </xf>
    <xf numFmtId="166" fontId="14" fillId="11" borderId="28" xfId="0" applyNumberFormat="1" applyFont="1" applyFill="1" applyBorder="1" applyAlignment="1">
      <alignment horizontal="right" vertical="center"/>
    </xf>
    <xf numFmtId="166" fontId="14" fillId="11" borderId="29" xfId="0" applyNumberFormat="1" applyFont="1" applyFill="1" applyBorder="1" applyAlignment="1">
      <alignment horizontal="right" vertical="center"/>
    </xf>
    <xf numFmtId="42" fontId="20" fillId="12" borderId="15" xfId="4" applyNumberFormat="1" applyFont="1" applyFill="1" applyBorder="1">
      <alignment horizontal="left" vertical="center" indent="1"/>
    </xf>
    <xf numFmtId="166" fontId="0" fillId="13" borderId="17" xfId="0" applyNumberFormat="1" applyFont="1" applyFill="1" applyBorder="1" applyAlignment="1">
      <alignment horizontal="right" vertical="center"/>
    </xf>
    <xf numFmtId="166" fontId="0" fillId="13" borderId="13" xfId="0" applyNumberFormat="1" applyFont="1" applyFill="1" applyBorder="1" applyAlignment="1">
      <alignment horizontal="right" vertical="center"/>
    </xf>
    <xf numFmtId="166" fontId="0" fillId="11" borderId="18" xfId="0" applyNumberFormat="1" applyFont="1" applyFill="1" applyBorder="1" applyAlignment="1">
      <alignment horizontal="right" vertical="center"/>
    </xf>
    <xf numFmtId="166" fontId="0" fillId="11" borderId="19" xfId="0" applyNumberFormat="1" applyFont="1" applyFill="1" applyBorder="1" applyAlignment="1">
      <alignment horizontal="right" vertical="center"/>
    </xf>
    <xf numFmtId="166" fontId="0" fillId="11" borderId="20" xfId="0" applyNumberFormat="1" applyFont="1" applyFill="1" applyBorder="1" applyAlignment="1">
      <alignment horizontal="right" vertical="center"/>
    </xf>
    <xf numFmtId="166" fontId="0" fillId="11" borderId="21" xfId="0" applyNumberFormat="1" applyFont="1" applyFill="1" applyBorder="1" applyAlignment="1">
      <alignment horizontal="right" vertical="center"/>
    </xf>
    <xf numFmtId="166" fontId="15" fillId="11" borderId="5" xfId="0" applyNumberFormat="1" applyFont="1" applyFill="1" applyBorder="1" applyAlignment="1">
      <alignment horizontal="right" vertical="center"/>
    </xf>
    <xf numFmtId="166" fontId="15" fillId="11" borderId="2" xfId="0" applyNumberFormat="1" applyFont="1" applyFill="1" applyBorder="1" applyAlignment="1">
      <alignment horizontal="right" vertical="center"/>
    </xf>
    <xf numFmtId="42" fontId="20" fillId="12" borderId="15" xfId="4" applyNumberFormat="1" applyFont="1" applyFill="1" applyBorder="1" applyAlignment="1">
      <alignment horizontal="left" vertical="center" indent="1"/>
    </xf>
    <xf numFmtId="166" fontId="0" fillId="11" borderId="19" xfId="0" applyNumberFormat="1" applyFont="1" applyFill="1" applyBorder="1" applyAlignment="1">
      <alignment vertical="center"/>
    </xf>
    <xf numFmtId="166" fontId="0" fillId="11" borderId="20" xfId="0" applyNumberFormat="1" applyFont="1" applyFill="1" applyBorder="1" applyAlignment="1">
      <alignment vertical="center"/>
    </xf>
    <xf numFmtId="166" fontId="0" fillId="11" borderId="21" xfId="0" applyNumberFormat="1" applyFont="1" applyFill="1" applyBorder="1" applyAlignment="1">
      <alignment vertical="center"/>
    </xf>
    <xf numFmtId="166" fontId="25" fillId="11" borderId="20" xfId="0" applyNumberFormat="1" applyFont="1" applyFill="1" applyBorder="1" applyAlignment="1">
      <alignment horizontal="right" vertical="center"/>
    </xf>
    <xf numFmtId="166" fontId="15" fillId="11" borderId="31" xfId="0" applyNumberFormat="1" applyFont="1" applyFill="1" applyBorder="1" applyAlignment="1">
      <alignment horizontal="right"/>
    </xf>
    <xf numFmtId="166" fontId="15" fillId="11" borderId="2" xfId="0" applyNumberFormat="1" applyFont="1" applyFill="1" applyBorder="1" applyAlignment="1">
      <alignment horizontal="right"/>
    </xf>
    <xf numFmtId="166" fontId="15" fillId="11" borderId="6" xfId="0" applyNumberFormat="1" applyFont="1" applyFill="1" applyBorder="1" applyAlignment="1">
      <alignment horizontal="right"/>
    </xf>
    <xf numFmtId="166" fontId="15" fillId="11" borderId="8" xfId="0" applyNumberFormat="1" applyFont="1" applyFill="1" applyBorder="1" applyAlignment="1">
      <alignment horizontal="right"/>
    </xf>
    <xf numFmtId="166" fontId="15" fillId="11" borderId="5" xfId="0" applyNumberFormat="1" applyFont="1" applyFill="1" applyBorder="1" applyAlignment="1">
      <alignment horizontal="right"/>
    </xf>
    <xf numFmtId="166" fontId="14" fillId="11" borderId="20" xfId="0" applyNumberFormat="1" applyFont="1" applyFill="1" applyBorder="1" applyAlignment="1">
      <alignment vertical="center"/>
    </xf>
    <xf numFmtId="166" fontId="26" fillId="11" borderId="2" xfId="0" applyNumberFormat="1" applyFont="1" applyFill="1" applyBorder="1" applyAlignment="1">
      <alignment horizontal="right"/>
    </xf>
    <xf numFmtId="166" fontId="26" fillId="11" borderId="8" xfId="0" applyNumberFormat="1" applyFont="1" applyFill="1" applyBorder="1" applyAlignment="1">
      <alignment horizontal="right"/>
    </xf>
    <xf numFmtId="166" fontId="0" fillId="11" borderId="2" xfId="0" applyNumberFormat="1" applyFont="1" applyFill="1" applyBorder="1" applyAlignment="1">
      <alignment horizontal="right" vertical="center" indent="2"/>
    </xf>
    <xf numFmtId="166" fontId="0" fillId="11" borderId="5" xfId="0" applyNumberFormat="1" applyFont="1" applyFill="1" applyBorder="1" applyAlignment="1">
      <alignment horizontal="right" vertical="center" indent="2"/>
    </xf>
    <xf numFmtId="166" fontId="0" fillId="10" borderId="0" xfId="0" applyNumberFormat="1" applyFont="1" applyBorder="1" applyAlignment="1">
      <alignment horizontal="right"/>
    </xf>
    <xf numFmtId="0" fontId="3" fillId="8" borderId="0" xfId="0" applyNumberFormat="1" applyFont="1" applyFill="1" applyAlignment="1">
      <alignment horizontal="left" vertical="top" indent="1"/>
    </xf>
    <xf numFmtId="0" fontId="5" fillId="8" borderId="0" xfId="0" applyNumberFormat="1" applyFont="1" applyFill="1" applyAlignment="1">
      <alignment horizontal="left" vertical="top" indent="1"/>
    </xf>
    <xf numFmtId="167" fontId="6" fillId="10" borderId="0" xfId="0" applyNumberFormat="1" applyFont="1" applyAlignment="1">
      <alignment horizontal="right"/>
    </xf>
    <xf numFmtId="167" fontId="7" fillId="10" borderId="0" xfId="0" applyNumberFormat="1" applyFont="1" applyAlignment="1">
      <alignment horizontal="right"/>
    </xf>
    <xf numFmtId="167" fontId="4" fillId="10" borderId="0" xfId="0" applyNumberFormat="1" applyFont="1" applyAlignment="1">
      <alignment horizontal="right"/>
    </xf>
    <xf numFmtId="0" fontId="20" fillId="10" borderId="0" xfId="0" applyFont="1" applyAlignment="1">
      <alignment wrapText="1"/>
    </xf>
    <xf numFmtId="0" fontId="20" fillId="10" borderId="0" xfId="0" applyFont="1"/>
    <xf numFmtId="0" fontId="29" fillId="4" borderId="0" xfId="0" applyNumberFormat="1" applyFont="1" applyFill="1" applyAlignment="1">
      <alignment horizontal="center" vertical="top"/>
    </xf>
    <xf numFmtId="0" fontId="17" fillId="4" borderId="0" xfId="2" applyNumberFormat="1" applyFont="1" applyFill="1" applyAlignment="1">
      <alignment horizontal="left" indent="1"/>
    </xf>
    <xf numFmtId="0" fontId="6" fillId="10" borderId="0" xfId="0" applyNumberFormat="1" applyFont="1" applyBorder="1" applyAlignment="1">
      <alignment horizontal="center"/>
    </xf>
    <xf numFmtId="0" fontId="4" fillId="10" borderId="0" xfId="0" applyNumberFormat="1" applyFont="1" applyBorder="1" applyAlignment="1">
      <alignment horizontal="center"/>
    </xf>
    <xf numFmtId="0" fontId="13" fillId="8" borderId="0" xfId="1" applyNumberFormat="1" applyFont="1" applyFill="1" applyAlignment="1">
      <alignment horizontal="left" vertical="top" indent="1"/>
    </xf>
    <xf numFmtId="0" fontId="12" fillId="4" borderId="0" xfId="5" applyNumberFormat="1" applyFill="1" applyAlignment="1">
      <alignment horizontal="left" vertical="top" indent="1"/>
    </xf>
    <xf numFmtId="0" fontId="38" fillId="4" borderId="0" xfId="5" applyNumberFormat="1" applyFont="1" applyFill="1" applyAlignment="1">
      <alignment horizontal="left" vertical="top" indent="1"/>
    </xf>
    <xf numFmtId="0" fontId="6" fillId="10" borderId="0" xfId="0" applyNumberFormat="1" applyFont="1" applyAlignment="1">
      <alignment horizontal="center"/>
    </xf>
    <xf numFmtId="0" fontId="4" fillId="10" borderId="0" xfId="0" applyNumberFormat="1" applyFont="1" applyAlignment="1">
      <alignment horizontal="center"/>
    </xf>
    <xf numFmtId="0" fontId="31" fillId="11" borderId="0" xfId="0" applyFont="1" applyFill="1" applyAlignment="1">
      <alignment horizontal="center"/>
    </xf>
    <xf numFmtId="0" fontId="31" fillId="11" borderId="0" xfId="0" applyFont="1" applyFill="1" applyAlignment="1">
      <alignment horizontal="left"/>
    </xf>
    <xf numFmtId="0" fontId="4" fillId="10" borderId="0" xfId="0" applyFont="1" applyAlignment="1">
      <alignment horizontal="left"/>
    </xf>
    <xf numFmtId="0" fontId="4" fillId="10" borderId="0" xfId="0" applyFont="1" applyAlignment="1">
      <alignment horizontal="center"/>
    </xf>
    <xf numFmtId="0" fontId="4" fillId="10" borderId="0" xfId="0" applyFont="1" applyAlignment="1">
      <alignment horizontal="left" indent="1"/>
    </xf>
    <xf numFmtId="0" fontId="17" fillId="4" borderId="0" xfId="2" applyNumberFormat="1" applyFont="1" applyFill="1" applyAlignment="1">
      <alignment horizontal="right" vertical="center" indent="3"/>
    </xf>
    <xf numFmtId="0" fontId="39" fillId="4" borderId="0" xfId="2" applyNumberFormat="1" applyFont="1" applyFill="1" applyAlignment="1">
      <alignment horizontal="center" wrapText="1"/>
    </xf>
  </cellXfs>
  <cellStyles count="47">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heck Cell" xfId="19" builtinId="23" customBuiltin="1"/>
    <cellStyle name="Comma" xfId="6" builtinId="3" customBuiltin="1"/>
    <cellStyle name="Comma [0]" xfId="7" builtinId="6" customBuiltin="1"/>
    <cellStyle name="Currency" xfId="8" builtinId="4" customBuiltin="1"/>
    <cellStyle name="Currency [0]" xfId="9" builtinId="7" customBuiltin="1"/>
    <cellStyle name="Explanatory Text" xfId="5" builtinId="53" customBuiltin="1"/>
    <cellStyle name="Good" xfId="12"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15" builtinId="20" customBuiltin="1"/>
    <cellStyle name="Linked Cell" xfId="18" builtinId="24" customBuiltin="1"/>
    <cellStyle name="Neutral" xfId="14" builtinId="28" customBuiltin="1"/>
    <cellStyle name="Normal" xfId="0" builtinId="0" customBuiltin="1"/>
    <cellStyle name="Note" xfId="21" builtinId="10" customBuiltin="1"/>
    <cellStyle name="Output" xfId="16" builtinId="21" customBuiltin="1"/>
    <cellStyle name="Percent" xfId="10" builtinId="5" customBuiltin="1"/>
    <cellStyle name="Title" xfId="11" builtinId="15" customBuiltin="1"/>
    <cellStyle name="Total" xfId="22" builtinId="25" customBuiltin="1"/>
    <cellStyle name="Warning Text" xfId="20" builtinId="11" customBuiltin="1"/>
  </cellStyles>
  <dxfs count="451">
    <dxf>
      <font>
        <b val="0"/>
        <i val="0"/>
        <strike val="0"/>
        <condense val="0"/>
        <extend val="0"/>
        <outline val="0"/>
        <shadow val="0"/>
        <u val="none"/>
        <vertAlign val="baseline"/>
        <sz val="9"/>
        <color theme="1" tint="0.24994659260841701"/>
        <name val="Microsoft Sans Serif"/>
        <scheme val="minor"/>
      </font>
      <numFmt numFmtId="13" formatCode="0%"/>
      <fill>
        <patternFill patternType="solid">
          <fgColor indexed="64"/>
          <bgColor theme="6" tint="0.79998168889431442"/>
        </patternFill>
      </fill>
      <alignment horizontal="right" vertical="center" textRotation="0" wrapText="0" indent="2"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val="0"/>
        <i val="0"/>
        <strike val="0"/>
        <condense val="0"/>
        <extend val="0"/>
        <outline val="0"/>
        <shadow val="0"/>
        <u val="none"/>
        <vertAlign val="baseline"/>
        <sz val="9"/>
        <color theme="1" tint="0.24994659260841701"/>
        <name val="Microsoft Sans Serif"/>
        <scheme val="minor"/>
      </font>
      <numFmt numFmtId="168" formatCode="&quot;$&quot;#,##0.00_);[Red]\(&quot;$&quot;#,##0.00\)"/>
      <fill>
        <patternFill patternType="solid">
          <fgColor indexed="64"/>
          <bgColor theme="6" tint="0.79998168889431442"/>
        </patternFill>
      </fill>
      <alignment horizontal="right" vertical="center" textRotation="0" wrapText="0" indent="2"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val="0"/>
        <i val="0"/>
        <strike val="0"/>
        <condense val="0"/>
        <extend val="0"/>
        <outline val="0"/>
        <shadow val="0"/>
        <u val="none"/>
        <vertAlign val="baseline"/>
        <sz val="9"/>
        <color theme="1" tint="0.24994659260841701"/>
        <name val="Microsoft Sans Serif"/>
        <scheme val="minor"/>
      </font>
      <numFmt numFmtId="168" formatCode="&quot;$&quot;#,##0.00_);[Red]\(&quot;$&quot;#,##0.00\)"/>
      <fill>
        <patternFill patternType="solid">
          <fgColor indexed="64"/>
          <bgColor theme="6" tint="0.79998168889431442"/>
        </patternFill>
      </fill>
      <alignment horizontal="right" vertical="center" textRotation="0" wrapText="0" indent="2"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val="0"/>
        <i val="0"/>
        <strike val="0"/>
        <condense val="0"/>
        <extend val="0"/>
        <outline val="0"/>
        <shadow val="0"/>
        <u val="none"/>
        <vertAlign val="baseline"/>
        <sz val="9"/>
        <color theme="1" tint="0.24994659260841701"/>
        <name val="Microsoft Sans Serif"/>
        <scheme val="minor"/>
      </font>
      <numFmt numFmtId="168" formatCode="&quot;$&quot;#,##0.00_);[Red]\(&quot;$&quot;#,##0.00\)"/>
      <fill>
        <patternFill patternType="solid">
          <fgColor indexed="64"/>
          <bgColor theme="6" tint="0.79998168889431442"/>
        </patternFill>
      </fill>
      <alignment horizontal="right" vertical="center" textRotation="0" wrapText="0" indent="2"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val="0"/>
        <i val="0"/>
        <strike val="0"/>
        <condense val="0"/>
        <extend val="0"/>
        <outline val="0"/>
        <shadow val="0"/>
        <u val="none"/>
        <vertAlign val="baseline"/>
        <sz val="9"/>
        <color theme="1" tint="0.24994659260841701"/>
        <name val="Microsoft Sans Serif"/>
        <scheme val="minor"/>
      </font>
      <numFmt numFmtId="0" formatCode="General"/>
      <fill>
        <patternFill patternType="solid">
          <fgColor indexed="64"/>
          <bgColor theme="6" tint="0.79998168889431442"/>
        </patternFill>
      </fill>
      <alignment horizontal="left" vertical="center" textRotation="0" wrapText="0" indent="2"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border outline="0">
        <bottom style="medium">
          <color theme="6" tint="0.39997558519241921"/>
        </bottom>
      </border>
    </dxf>
    <dxf>
      <font>
        <b val="0"/>
        <i val="0"/>
        <strike val="0"/>
        <condense val="0"/>
        <extend val="0"/>
        <outline val="0"/>
        <shadow val="0"/>
        <u val="none"/>
        <vertAlign val="baseline"/>
        <sz val="9"/>
        <color theme="1" tint="0.24994659260841701"/>
        <name val="Microsoft Sans Serif"/>
        <scheme val="minor"/>
      </font>
      <fill>
        <patternFill patternType="solid">
          <fgColor indexed="64"/>
          <bgColor theme="6" tint="0.79998168889431442"/>
        </patternFill>
      </fill>
      <alignment horizontal="right" vertical="center" textRotation="0" wrapText="0" indent="2" justifyLastLine="0" shrinkToFit="0" readingOrder="0"/>
    </dxf>
    <dxf>
      <font>
        <b/>
        <i val="0"/>
        <strike val="0"/>
        <condense val="0"/>
        <extend val="0"/>
        <outline val="0"/>
        <shadow val="0"/>
        <u val="none"/>
        <vertAlign val="baseline"/>
        <sz val="9"/>
        <color auto="1"/>
        <name val="Microsoft Sans Serif"/>
        <scheme val="minor"/>
      </font>
      <numFmt numFmtId="168"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scheme val="minor"/>
      </font>
      <numFmt numFmtId="168"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scheme val="minor"/>
      </font>
      <numFmt numFmtId="168"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scheme val="minor"/>
      </font>
      <numFmt numFmtId="168"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scheme val="minor"/>
      </font>
      <numFmt numFmtId="168"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scheme val="minor"/>
      </font>
      <numFmt numFmtId="168"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scheme val="minor"/>
      </font>
      <numFmt numFmtId="168"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scheme val="minor"/>
      </font>
      <numFmt numFmtId="168"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scheme val="minor"/>
      </font>
      <numFmt numFmtId="168"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scheme val="minor"/>
      </font>
      <numFmt numFmtId="168"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scheme val="minor"/>
      </font>
      <numFmt numFmtId="168"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scheme val="minor"/>
      </font>
      <numFmt numFmtId="168"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scheme val="minor"/>
      </font>
      <numFmt numFmtId="168"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right style="medium">
          <color theme="6" tint="0.39997558519241921"/>
        </right>
        <top style="medium">
          <color theme="6" tint="0.39997558519241921"/>
        </top>
        <bottom style="medium">
          <color theme="6" tint="0.39997558519241921"/>
        </bottom>
      </border>
    </dxf>
    <dxf>
      <font>
        <b/>
        <i val="0"/>
        <strike val="0"/>
        <condense val="0"/>
        <extend val="0"/>
        <outline val="0"/>
        <shadow val="0"/>
        <u val="none"/>
        <vertAlign val="baseline"/>
        <sz val="10"/>
        <color theme="0"/>
        <name val="Microsoft Sans Serif"/>
        <scheme val="minor"/>
      </font>
      <numFmt numFmtId="0" formatCode="General"/>
      <fill>
        <patternFill patternType="solid">
          <fgColor indexed="64"/>
          <bgColor theme="3"/>
        </patternFill>
      </fill>
      <alignment horizontal="left" vertical="center" textRotation="0" wrapText="0" relativeIndent="1" justifyLastLine="0" shrinkToFit="0" readingOrder="0"/>
      <border diagonalUp="0" diagonalDown="0" outline="0">
        <left style="medium">
          <color theme="6" tint="0.39997558519241921"/>
        </left>
        <right style="medium">
          <color theme="6" tint="0.39997558519241921"/>
        </right>
        <top style="medium">
          <color theme="6" tint="0.39997558519241921"/>
        </top>
        <bottom/>
      </border>
    </dxf>
    <dxf>
      <border outline="0">
        <bottom style="medium">
          <color theme="6" tint="0.39997558519241921"/>
        </bottom>
      </border>
    </dxf>
    <dxf>
      <font>
        <b/>
        <i val="0"/>
        <strike val="0"/>
        <condense val="0"/>
        <extend val="0"/>
        <outline val="0"/>
        <shadow val="0"/>
        <u val="none"/>
        <vertAlign val="baseline"/>
        <sz val="9"/>
        <color auto="1"/>
        <name val="Microsoft Sans Serif"/>
        <scheme val="minor"/>
      </font>
      <fill>
        <patternFill patternType="solid">
          <fgColor indexed="64"/>
          <bgColor theme="6" tint="0.79998168889431442"/>
        </patternFill>
      </fill>
      <alignment horizontal="right" vertical="bottom" textRotation="0" wrapText="0" indent="0" justifyLastLine="0" shrinkToFit="0" readingOrder="0"/>
    </dxf>
    <dxf>
      <font>
        <b/>
        <i val="0"/>
        <strike val="0"/>
        <condense val="0"/>
        <extend val="0"/>
        <outline val="0"/>
        <shadow val="0"/>
        <u val="none"/>
        <vertAlign val="baseline"/>
        <sz val="14"/>
        <color theme="2"/>
        <name val="Franklin Gothic Book"/>
        <scheme val="major"/>
      </font>
      <numFmt numFmtId="0" formatCode="General"/>
      <fill>
        <patternFill patternType="solid">
          <fgColor indexed="64"/>
          <bgColor theme="3" tint="-0.499984740745262"/>
        </patternFill>
      </fill>
      <alignment horizontal="general" vertical="center" textRotation="0" wrapText="0" indent="0" justifyLastLine="0" shrinkToFit="0" readingOrder="0"/>
    </dxf>
    <dxf>
      <numFmt numFmtId="166" formatCode="&quot;£&quot;#,##0.00;[Red]&quot;£&quot;#,##0.00"/>
      <fill>
        <patternFill patternType="solid">
          <fgColor indexed="64"/>
          <bgColor theme="6" tint="0.79998168889431442"/>
        </patternFill>
      </fill>
      <border diagonalUp="0" diagonalDown="0" outline="0">
        <left style="medium">
          <color theme="6" tint="0.39994506668294322"/>
        </left>
        <right/>
        <top/>
        <bottom/>
      </border>
    </dxf>
    <dxf>
      <fill>
        <patternFill patternType="solid">
          <fgColor indexed="64"/>
          <bgColor theme="6" tint="0.79998168889431442"/>
        </patternFill>
      </fill>
      <alignment vertical="center" textRotation="0" wrapText="0" indent="0" justifyLastLine="0" shrinkToFit="0" readingOrder="0"/>
      <border diagonalUp="0" diagonalDown="0">
        <left style="medium">
          <color theme="6" tint="0.39994506668294322"/>
        </left>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right style="medium">
          <color theme="6" tint="0.39994506668294322"/>
        </right>
        <top/>
        <bottom/>
      </border>
    </dxf>
    <dxf>
      <font>
        <b/>
        <strike val="0"/>
        <outline val="0"/>
        <shadow val="0"/>
        <u val="none"/>
        <vertAlign val="baseline"/>
        <sz val="10"/>
        <color theme="0"/>
        <name val="Microsoft Sans Serif"/>
        <scheme val="minor"/>
      </font>
      <fill>
        <patternFill patternType="solid">
          <fgColor indexed="64"/>
          <bgColor theme="3"/>
        </patternFill>
      </fill>
      <alignment horizontal="left" vertical="center" textRotation="0" wrapText="0" relativeIndent="-1"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border>
        <top style="medium">
          <color theme="6" tint="0.39994506668294322"/>
        </top>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top/>
        <bottom/>
      </border>
    </dxf>
    <dxf>
      <fill>
        <patternFill patternType="solid">
          <fgColor indexed="64"/>
          <bgColor theme="6" tint="0.79998168889431442"/>
        </patternFill>
      </fill>
      <alignment vertical="center" textRotation="0" wrapText="0" indent="0" justifyLastLine="0" shrinkToFit="0" readingOrder="0"/>
      <border diagonalUp="0" diagonalDown="0">
        <left style="medium">
          <color theme="6" tint="0.39994506668294322"/>
        </left>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right style="medium">
          <color theme="6" tint="0.39994506668294322"/>
        </right>
        <top/>
        <bottom/>
      </border>
    </dxf>
    <dxf>
      <font>
        <b/>
        <strike val="0"/>
        <outline val="0"/>
        <shadow val="0"/>
        <u val="none"/>
        <vertAlign val="baseline"/>
        <sz val="10"/>
        <color theme="0"/>
        <name val="Microsoft Sans Serif"/>
        <scheme val="minor"/>
      </font>
      <fill>
        <patternFill patternType="solid">
          <fgColor indexed="64"/>
          <bgColor theme="3"/>
        </patternFill>
      </fill>
      <alignment horizontal="left" vertical="center" textRotation="0" wrapText="0" relativeIndent="-1"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border>
        <top style="medium">
          <color theme="6" tint="0.39994506668294322"/>
        </top>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top/>
        <bottom/>
      </border>
    </dxf>
    <dxf>
      <fill>
        <patternFill patternType="solid">
          <fgColor indexed="64"/>
          <bgColor theme="6" tint="0.79998168889431442"/>
        </patternFill>
      </fill>
      <alignment vertical="center" textRotation="0" wrapText="0" indent="0" justifyLastLine="0" shrinkToFit="0" readingOrder="0"/>
      <border diagonalUp="0" diagonalDown="0">
        <left style="medium">
          <color theme="6" tint="0.39994506668294322"/>
        </left>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color theme="1"/>
        <name val="Microsoft Sans Serif"/>
        <scheme val="minor"/>
      </font>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right style="medium">
          <color theme="6" tint="0.39994506668294322"/>
        </right>
        <top style="medium">
          <color theme="6" tint="0.39994506668294322"/>
        </top>
        <bottom style="medium">
          <color theme="6" tint="0.39994506668294322"/>
        </bottom>
      </border>
    </dxf>
    <dxf>
      <font>
        <strike val="0"/>
        <outline val="0"/>
        <shadow val="0"/>
        <u val="none"/>
        <vertAlign val="baseline"/>
        <color theme="1"/>
        <name val="Microsoft Sans Serif"/>
        <scheme val="minor"/>
      </font>
      <fill>
        <patternFill patternType="solid">
          <fgColor indexed="64"/>
          <bgColor theme="6" tint="0.79998168889431442"/>
        </patternFill>
      </fill>
      <alignment vertical="center" textRotation="0" wrapText="0" indent="0" justifyLastLine="0" shrinkToFit="0" readingOrder="0"/>
      <border diagonalUp="0" diagonalDown="0" outline="0">
        <left/>
        <right style="medium">
          <color theme="6" tint="0.39994506668294322"/>
        </right>
        <top/>
        <bottom/>
      </border>
    </dxf>
    <dxf>
      <font>
        <b/>
        <strike val="0"/>
        <outline val="0"/>
        <shadow val="0"/>
        <u val="none"/>
        <vertAlign val="baseline"/>
        <sz val="10"/>
        <color theme="0"/>
        <name val="Microsoft Sans Serif"/>
        <scheme val="minor"/>
      </font>
      <fill>
        <patternFill patternType="solid">
          <fgColor indexed="64"/>
          <bgColor theme="3"/>
        </patternFill>
      </fill>
      <alignment horizontal="left" vertical="center" textRotation="0" wrapText="0" relativeIndent="-1"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border>
        <top style="medium">
          <color theme="6" tint="0.39994506668294322"/>
        </top>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quot;£&quot;#,##0.00;[Red]&quot;£&quot;#,##0.00"/>
    </dxf>
    <dxf>
      <font>
        <b val="0"/>
      </font>
      <fill>
        <patternFill patternType="solid">
          <fgColor indexed="64"/>
          <bgColor theme="6" tint="0.79998168889431442"/>
        </patternFill>
      </fill>
      <border diagonalUp="0" diagonalDown="0">
        <left style="medium">
          <color theme="6" tint="0.39994506668294322"/>
        </left>
        <right/>
        <top style="medium">
          <color theme="6" tint="0.39994506668294322"/>
        </top>
        <bottom style="medium">
          <color theme="6" tint="0.39994506668294322"/>
        </bottom>
      </border>
    </dxf>
    <dxf>
      <numFmt numFmtId="166" formatCode="&quot;£&quot;#,##0.00;[Red]&quot;£&quot;#,##0.00"/>
    </dxf>
    <dxf>
      <numFmt numFmtId="166" formatCode="&quot;£&quot;#,##0.00;[Red]&quot;£&quot;#,##0.00"/>
    </dxf>
    <dxf>
      <numFmt numFmtId="166" formatCode="&quot;£&quot;#,##0.00;[Red]&quot;£&quot;#,##0.00"/>
    </dxf>
    <dxf>
      <numFmt numFmtId="166" formatCode="&quot;£&quot;#,##0.00;[Red]&quot;£&quot;#,##0.00"/>
    </dxf>
    <dxf>
      <numFmt numFmtId="166" formatCode="&quot;£&quot;#,##0.00;[Red]&quot;£&quot;#,##0.00"/>
    </dxf>
    <dxf>
      <numFmt numFmtId="166" formatCode="&quot;£&quot;#,##0.00;[Red]&quot;£&quot;#,##0.00"/>
    </dxf>
    <dxf>
      <numFmt numFmtId="166" formatCode="&quot;£&quot;#,##0.00;[Red]&quot;£&quot;#,##0.00"/>
    </dxf>
    <dxf>
      <numFmt numFmtId="166" formatCode="&quot;£&quot;#,##0.00;[Red]&quot;£&quot;#,##0.00"/>
    </dxf>
    <dxf>
      <numFmt numFmtId="166" formatCode="&quot;£&quot;#,##0.00;[Red]&quot;£&quot;#,##0.00"/>
    </dxf>
    <dxf>
      <numFmt numFmtId="166" formatCode="&quot;£&quot;#,##0.00;[Red]&quot;£&quot;#,##0.00"/>
    </dxf>
    <dxf>
      <numFmt numFmtId="166" formatCode="&quot;£&quot;#,##0.00;[Red]&quot;£&quot;#,##0.00"/>
    </dxf>
    <dxf>
      <numFmt numFmtId="166" formatCode="&quot;£&quot;#,##0.00;[Red]&quot;£&quot;#,##0.00"/>
    </dxf>
    <dxf>
      <fill>
        <patternFill patternType="solid">
          <fgColor indexed="64"/>
          <bgColor theme="6" tint="0.79998168889431442"/>
        </patternFill>
      </fill>
      <alignment horizontal="left" vertical="center" textRotation="0" wrapText="0" justifyLastLine="0" shrinkToFit="0" readingOrder="0"/>
      <border diagonalUp="0" diagonalDown="0">
        <left/>
        <right style="medium">
          <color theme="6" tint="0.39994506668294322"/>
        </right>
        <top/>
        <bottom/>
        <vertical style="medium">
          <color theme="6" tint="0.39994506668294322"/>
        </vertical>
        <horizontal style="medium">
          <color theme="6" tint="0.39994506668294322"/>
        </horizontal>
      </border>
    </dxf>
    <dxf>
      <alignment horizontal="left" vertical="center" textRotation="0" wrapText="0" relativeIndent="1" justifyLastLine="0" shrinkToFit="0" readingOrder="0"/>
    </dxf>
    <dxf>
      <border>
        <top style="medium">
          <color theme="6" tint="0.39994506668294322"/>
        </top>
      </border>
    </dxf>
    <dxf>
      <fill>
        <patternFill patternType="solid">
          <fgColor indexed="64"/>
          <bgColor theme="6" tint="0.79998168889431442"/>
        </patternFill>
      </fill>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ont>
        <b/>
        <i val="0"/>
        <strike val="0"/>
        <condense val="0"/>
        <extend val="0"/>
        <outline val="0"/>
        <shadow val="0"/>
        <u val="none"/>
        <vertAlign val="baseline"/>
        <sz val="9"/>
        <color theme="1"/>
        <name val="Microsoft Sans Serif"/>
        <scheme val="minor"/>
      </font>
      <numFmt numFmtId="168"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scheme val="minor"/>
      </font>
      <numFmt numFmtId="168"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scheme val="minor"/>
      </font>
      <numFmt numFmtId="168"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scheme val="minor"/>
      </font>
      <numFmt numFmtId="168"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scheme val="minor"/>
      </font>
      <numFmt numFmtId="168"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scheme val="minor"/>
      </font>
      <numFmt numFmtId="168"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scheme val="minor"/>
      </font>
      <numFmt numFmtId="168"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scheme val="minor"/>
      </font>
      <numFmt numFmtId="168"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scheme val="minor"/>
      </font>
      <numFmt numFmtId="168"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scheme val="minor"/>
      </font>
      <numFmt numFmtId="168"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scheme val="minor"/>
      </font>
      <numFmt numFmtId="168"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scheme val="minor"/>
      </font>
      <numFmt numFmtId="168"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scheme val="minor"/>
      </font>
      <numFmt numFmtId="168"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right style="medium">
          <color theme="6" tint="0.39997558519241921"/>
        </right>
        <top style="medium">
          <color theme="6" tint="0.39997558519241921"/>
        </top>
        <bottom style="medium">
          <color theme="6" tint="0.39997558519241921"/>
        </bottom>
      </border>
    </dxf>
    <dxf>
      <font>
        <b/>
        <i val="0"/>
        <strike val="0"/>
        <condense val="0"/>
        <extend val="0"/>
        <outline val="0"/>
        <shadow val="0"/>
        <u val="none"/>
        <vertAlign val="baseline"/>
        <sz val="10"/>
        <color theme="0"/>
        <name val="Microsoft Sans Serif"/>
        <scheme val="minor"/>
      </font>
      <numFmt numFmtId="0" formatCode="General"/>
      <fill>
        <patternFill patternType="solid">
          <fgColor indexed="64"/>
          <bgColor theme="3"/>
        </patternFill>
      </fill>
      <alignment horizontal="left" vertical="center" textRotation="0" wrapText="0" relativeIndent="1" justifyLastLine="0" shrinkToFit="0" readingOrder="0"/>
      <border diagonalUp="0" diagonalDown="0" outline="0">
        <left/>
        <right/>
        <top style="medium">
          <color theme="6" tint="0.39997558519241921"/>
        </top>
        <bottom/>
      </border>
    </dxf>
    <dxf>
      <border outline="0">
        <left style="medium">
          <color theme="6" tint="0.39997558519241921"/>
        </left>
        <bottom style="medium">
          <color theme="6" tint="0.39997558519241921"/>
        </bottom>
      </border>
    </dxf>
    <dxf>
      <font>
        <b/>
        <i val="0"/>
        <strike val="0"/>
        <condense val="0"/>
        <extend val="0"/>
        <outline val="0"/>
        <shadow val="0"/>
        <u val="none"/>
        <vertAlign val="baseline"/>
        <sz val="9"/>
        <color theme="1"/>
        <name val="Microsoft Sans Serif"/>
        <scheme val="minor"/>
      </font>
      <fill>
        <patternFill patternType="solid">
          <fgColor indexed="64"/>
          <bgColor theme="6" tint="0.79998168889431442"/>
        </patternFill>
      </fill>
      <alignment horizontal="right" vertical="bottom" textRotation="0" wrapText="0" indent="0" justifyLastLine="0" shrinkToFit="0" readingOrder="0"/>
    </dxf>
    <dxf>
      <font>
        <b/>
        <i val="0"/>
        <strike val="0"/>
        <condense val="0"/>
        <extend val="0"/>
        <outline val="0"/>
        <shadow val="0"/>
        <u val="none"/>
        <vertAlign val="baseline"/>
        <sz val="14"/>
        <color theme="2"/>
        <name val="Franklin Gothic Book"/>
        <scheme val="major"/>
      </font>
      <numFmt numFmtId="0" formatCode="General"/>
      <fill>
        <patternFill patternType="solid">
          <fgColor indexed="64"/>
          <bgColor theme="3" tint="-0.499984740745262"/>
        </patternFill>
      </fill>
      <alignment horizontal="general" vertical="center" textRotation="0" wrapText="0" indent="0" justifyLastLine="0" shrinkToFit="0" readingOrder="0"/>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top/>
        <bottom/>
      </border>
    </dxf>
    <dxf>
      <alignment vertical="center" textRotation="0" wrapText="0" indent="0" justifyLastLine="0" shrinkToFit="0" readingOrder="0"/>
      <border diagonalUp="0" diagonalDown="0">
        <left style="medium">
          <color theme="6" tint="0.39994506668294322"/>
        </left>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border diagonalUp="0" diagonalDown="0">
        <left/>
        <right style="medium">
          <color theme="6" tint="0.39994506668294322"/>
        </right>
        <top style="medium">
          <color theme="6" tint="0.39994506668294322"/>
        </top>
        <bottom style="medium">
          <color theme="6" tint="0.39994506668294322"/>
        </bottom>
      </border>
    </dxf>
    <dxf>
      <font>
        <b/>
        <strike val="0"/>
        <outline val="0"/>
        <shadow val="0"/>
        <u val="none"/>
        <vertAlign val="baseline"/>
        <sz val="10"/>
        <color auto="1"/>
        <name val="Microsoft Sans Serif"/>
        <scheme val="minor"/>
      </font>
      <fill>
        <patternFill patternType="solid">
          <fgColor indexed="64"/>
          <bgColor theme="6" tint="0.79998168889431442"/>
        </patternFill>
      </fill>
      <alignment horizontal="left" vertical="center" textRotation="0" wrapText="0" indent="0" justifyLastLine="0" shrinkToFit="0" readingOrder="0"/>
      <border diagonalUp="0" diagonalDown="0">
        <left/>
        <right/>
        <top style="medium">
          <color theme="6" tint="0.39994506668294322"/>
        </top>
        <bottom style="medium">
          <color theme="6" tint="0.39994506668294322"/>
        </bottom>
        <vertical/>
        <horizontal style="medium">
          <color theme="6" tint="0.39994506668294322"/>
        </horizontal>
      </border>
    </dxf>
    <dxf>
      <alignment horizontal="left" vertical="center" textRotation="0" wrapText="0" relativeIndent="1" justifyLastLine="0" shrinkToFit="0" readingOrder="0"/>
      <border diagonalUp="0" diagonalDown="0" outline="0">
        <left/>
        <right/>
        <top style="medium">
          <color theme="6" tint="0.39994506668294322"/>
        </top>
        <bottom style="medium">
          <color theme="6" tint="0.39994506668294322"/>
        </bottom>
      </border>
    </dxf>
    <dxf>
      <border>
        <top style="medium">
          <color theme="6" tint="0.39994506668294322"/>
        </top>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top/>
        <bottom/>
      </border>
    </dxf>
    <dxf>
      <alignment horizontal="right" vertical="center" textRotation="0" wrapText="0" indent="0" justifyLastLine="0" shrinkToFit="0" readingOrder="0"/>
      <border diagonalUp="0" diagonalDown="0">
        <left style="medium">
          <color theme="6" tint="0.39994506668294322"/>
        </left>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right style="medium">
          <color theme="6" tint="0.39994506668294322"/>
        </right>
        <top style="medium">
          <color theme="6" tint="0.39994506668294322"/>
        </top>
        <bottom style="medium">
          <color theme="6" tint="0.39994506668294322"/>
        </bottom>
      </border>
    </dxf>
    <dxf>
      <font>
        <b/>
        <strike val="0"/>
        <outline val="0"/>
        <shadow val="0"/>
        <u val="none"/>
        <vertAlign val="baseline"/>
        <sz val="10"/>
        <color auto="1"/>
        <name val="Microsoft Sans Serif"/>
        <scheme val="minor"/>
      </font>
      <fill>
        <patternFill patternType="solid">
          <fgColor indexed="64"/>
          <bgColor theme="6" tint="0.79998168889431442"/>
        </patternFill>
      </fill>
      <alignment horizontal="left" vertical="center" textRotation="0" wrapText="0" justifyLastLine="0" shrinkToFit="0" readingOrder="0"/>
      <border diagonalUp="0" diagonalDown="0" outline="0">
        <left/>
        <right style="medium">
          <color theme="6" tint="0.39994506668294322"/>
        </right>
        <top/>
        <bottom/>
      </border>
    </dxf>
    <dxf>
      <font>
        <b/>
        <strike val="0"/>
        <outline val="0"/>
        <shadow val="0"/>
        <u val="none"/>
        <vertAlign val="baseline"/>
        <sz val="10"/>
        <color theme="0"/>
        <name val="Microsoft Sans Serif"/>
        <scheme val="minor"/>
      </font>
      <fill>
        <patternFill patternType="solid">
          <fgColor indexed="64"/>
          <bgColor theme="3"/>
        </patternFill>
      </fill>
      <alignment horizontal="left" vertical="center" textRotation="0" wrapText="0" relativeIndent="-1"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border>
        <top style="medium">
          <color theme="6" tint="0.39994506668294322"/>
        </top>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top/>
        <bottom/>
      </border>
    </dxf>
    <dxf>
      <fill>
        <patternFill patternType="solid">
          <fgColor indexed="64"/>
          <bgColor theme="6" tint="0.79998168889431442"/>
        </patternFill>
      </fill>
      <alignment vertical="center" textRotation="0" wrapText="0" indent="0" justifyLastLine="0" shrinkToFit="0" readingOrder="0"/>
      <border diagonalUp="0" diagonalDown="0">
        <left style="medium">
          <color theme="6" tint="0.39994506668294322"/>
        </left>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color auto="1"/>
        <name val="Microsoft Sans Serif"/>
        <scheme val="minor"/>
      </font>
      <numFmt numFmtId="166" formatCode="&quot;£&quot;#,##0.00;[Red]&quot;£&quot;#,##0.00"/>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left/>
        <right style="medium">
          <color theme="6" tint="0.39994506668294322"/>
        </right>
        <top style="medium">
          <color theme="6" tint="0.39994506668294322"/>
        </top>
        <bottom style="medium">
          <color theme="6" tint="0.39994506668294322"/>
        </bottom>
      </border>
    </dxf>
    <dxf>
      <font>
        <b/>
        <strike val="0"/>
        <outline val="0"/>
        <shadow val="0"/>
        <u val="none"/>
        <vertAlign val="baseline"/>
        <sz val="10"/>
        <color auto="1"/>
        <name val="Microsoft Sans Serif"/>
        <scheme val="minor"/>
      </font>
      <fill>
        <patternFill patternType="solid">
          <fgColor indexed="64"/>
          <bgColor theme="6" tint="0.79998168889431442"/>
        </patternFill>
      </fill>
      <alignment vertical="center" textRotation="0" wrapText="0" indent="0" justifyLastLine="0" shrinkToFit="0" readingOrder="0"/>
      <border diagonalUp="0" diagonalDown="0">
        <left/>
        <right style="medium">
          <color theme="6" tint="0.39994506668294322"/>
        </right>
        <top/>
        <bottom/>
        <vertical style="medium">
          <color theme="6" tint="0.39994506668294322"/>
        </vertical>
        <horizontal style="medium">
          <color theme="6" tint="0.39994506668294322"/>
        </horizontal>
      </border>
    </dxf>
    <dxf>
      <alignment horizontal="left" vertical="center" textRotation="0" wrapText="0" relativeIndent="-1" justifyLastLine="0" shrinkToFit="0" readingOrder="0"/>
      <border diagonalUp="0" diagonalDown="0" outline="0">
        <left/>
        <right/>
        <top style="medium">
          <color theme="6" tint="0.39994506668294322"/>
        </top>
        <bottom style="medium">
          <color theme="6" tint="0.39994506668294322"/>
        </bottom>
      </border>
    </dxf>
    <dxf>
      <border>
        <top style="medium">
          <color theme="6" tint="0.39994506668294322"/>
        </top>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top/>
        <bottom/>
      </border>
    </dxf>
    <dxf>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4506668294322"/>
        </left>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right style="medium">
          <color theme="6" tint="0.39994506668294322"/>
        </right>
        <top style="medium">
          <color theme="6" tint="0.39994506668294322"/>
        </top>
        <bottom style="medium">
          <color theme="6" tint="0.39994506668294322"/>
        </bottom>
      </border>
    </dxf>
    <dxf>
      <font>
        <strike val="0"/>
        <outline val="0"/>
        <shadow val="0"/>
        <u val="none"/>
        <vertAlign val="baseline"/>
        <sz val="10"/>
        <color auto="1"/>
        <name val="Microsoft Sans Serif"/>
        <scheme val="minor"/>
      </font>
      <fill>
        <patternFill patternType="solid">
          <fgColor indexed="64"/>
          <bgColor theme="6" tint="0.79998168889431442"/>
        </patternFill>
      </fill>
      <border diagonalUp="0" diagonalDown="0">
        <left/>
        <right style="medium">
          <color theme="6" tint="0.39994506668294322"/>
        </right>
        <top/>
        <bottom/>
        <vertical style="medium">
          <color theme="6" tint="0.39994506668294322"/>
        </vertical>
        <horizontal style="medium">
          <color theme="6" tint="0.39994506668294322"/>
        </horizontal>
      </border>
    </dxf>
    <dxf>
      <font>
        <b/>
        <strike val="0"/>
        <outline val="0"/>
        <shadow val="0"/>
        <u val="none"/>
        <vertAlign val="baseline"/>
        <sz val="10"/>
        <color theme="0"/>
        <name val="Microsoft Sans Serif"/>
        <scheme val="minor"/>
      </font>
      <fill>
        <patternFill patternType="solid">
          <fgColor indexed="64"/>
          <bgColor theme="3"/>
        </patternFill>
      </fill>
      <alignment horizontal="left" vertical="center" textRotation="0" wrapText="0" relativeIndent="-1" justifyLastLine="0" shrinkToFit="0" readingOrder="0"/>
      <border diagonalUp="0" diagonalDown="0" outline="0">
        <left/>
        <right/>
        <top style="medium">
          <color theme="6" tint="0.39994506668294322"/>
        </top>
        <bottom style="medium">
          <color theme="6" tint="0.39994506668294322"/>
        </bottom>
      </border>
    </dxf>
    <dxf>
      <border>
        <top style="medium">
          <color theme="6" tint="0.39994506668294322"/>
        </top>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ont>
        <b/>
        <i val="0"/>
        <strike val="0"/>
        <condense val="0"/>
        <extend val="0"/>
        <outline val="0"/>
        <shadow val="0"/>
        <u val="none"/>
        <vertAlign val="baseline"/>
        <sz val="9"/>
        <color theme="1"/>
        <name val="Microsoft Sans Serif"/>
        <scheme val="minor"/>
      </font>
      <numFmt numFmtId="168"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scheme val="minor"/>
      </font>
      <numFmt numFmtId="168"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scheme val="minor"/>
      </font>
      <numFmt numFmtId="168"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scheme val="minor"/>
      </font>
      <numFmt numFmtId="168"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scheme val="minor"/>
      </font>
      <numFmt numFmtId="168"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scheme val="minor"/>
      </font>
      <numFmt numFmtId="168"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scheme val="minor"/>
      </font>
      <numFmt numFmtId="168"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scheme val="minor"/>
      </font>
      <numFmt numFmtId="168"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scheme val="minor"/>
      </font>
      <numFmt numFmtId="168"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scheme val="minor"/>
      </font>
      <numFmt numFmtId="168"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scheme val="minor"/>
      </font>
      <numFmt numFmtId="168"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scheme val="minor"/>
      </font>
      <numFmt numFmtId="168"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scheme val="minor"/>
      </font>
      <numFmt numFmtId="168"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right style="medium">
          <color theme="6" tint="0.39997558519241921"/>
        </right>
        <top style="medium">
          <color theme="6" tint="0.39997558519241921"/>
        </top>
        <bottom/>
      </border>
    </dxf>
    <dxf>
      <font>
        <b/>
        <i val="0"/>
        <strike val="0"/>
        <condense val="0"/>
        <extend val="0"/>
        <outline val="0"/>
        <shadow val="0"/>
        <u val="none"/>
        <vertAlign val="baseline"/>
        <sz val="10"/>
        <color theme="0"/>
        <name val="Microsoft Sans Serif"/>
        <scheme val="minor"/>
      </font>
      <numFmt numFmtId="0" formatCode="General"/>
      <fill>
        <patternFill patternType="solid">
          <fgColor indexed="64"/>
          <bgColor theme="3"/>
        </patternFill>
      </fill>
      <alignment horizontal="left" vertical="center" textRotation="0" wrapText="0" relativeIndent="1" justifyLastLine="0" shrinkToFit="0" readingOrder="0"/>
      <border diagonalUp="0" diagonalDown="0" outline="0">
        <left/>
        <right style="medium">
          <color theme="6" tint="0.39997558519241921"/>
        </right>
        <top style="medium">
          <color theme="6" tint="0.39997558519241921"/>
        </top>
        <bottom/>
      </border>
    </dxf>
    <dxf>
      <border outline="0">
        <top style="medium">
          <color theme="6" tint="0.39997558519241921"/>
        </top>
      </border>
    </dxf>
    <dxf>
      <border outline="0">
        <left style="medium">
          <color theme="6" tint="0.39997558519241921"/>
        </left>
        <bottom style="medium">
          <color theme="6" tint="0.39997558519241921"/>
        </bottom>
      </border>
    </dxf>
    <dxf>
      <font>
        <b/>
        <i val="0"/>
        <strike val="0"/>
        <condense val="0"/>
        <extend val="0"/>
        <outline val="0"/>
        <shadow val="0"/>
        <u val="none"/>
        <vertAlign val="baseline"/>
        <sz val="9"/>
        <color theme="1"/>
        <name val="Microsoft Sans Serif"/>
        <scheme val="minor"/>
      </font>
      <fill>
        <patternFill patternType="solid">
          <fgColor indexed="64"/>
          <bgColor theme="6" tint="0.79998168889431442"/>
        </patternFill>
      </fill>
      <alignment horizontal="right" vertical="center" textRotation="0" wrapText="0" indent="0" justifyLastLine="0" shrinkToFit="0" readingOrder="0"/>
    </dxf>
    <dxf>
      <border outline="0">
        <bottom style="medium">
          <color theme="6" tint="0.39997558519241921"/>
        </bottom>
      </border>
    </dxf>
    <dxf>
      <font>
        <b/>
        <i val="0"/>
        <strike val="0"/>
        <condense val="0"/>
        <extend val="0"/>
        <outline val="0"/>
        <shadow val="0"/>
        <u val="none"/>
        <vertAlign val="baseline"/>
        <sz val="10"/>
        <color theme="0"/>
        <name val="Franklin Gothic Book"/>
        <scheme val="major"/>
      </font>
      <numFmt numFmtId="0" formatCode="General"/>
      <fill>
        <patternFill patternType="solid">
          <fgColor indexed="64"/>
          <bgColor theme="3" tint="-0.499984740745262"/>
        </patternFill>
      </fill>
      <alignment horizontal="general" vertical="center" textRotation="0" wrapText="0" indent="0" justifyLastLine="0" shrinkToFit="0" readingOrder="0"/>
    </dxf>
    <dxf>
      <font>
        <strike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border diagonalUp="0" diagonalDown="0" outline="0">
        <left style="medium">
          <color theme="6" tint="0.39994506668294322"/>
        </left>
        <right/>
        <top/>
        <bottom/>
      </border>
    </dxf>
    <dxf>
      <font>
        <strike val="0"/>
        <outline val="0"/>
        <shadow val="0"/>
        <u val="none"/>
        <vertAlign val="baseline"/>
        <sz val="9"/>
        <color theme="1"/>
        <name val="Microsoft Sans Serif"/>
        <scheme val="minor"/>
      </font>
      <border diagonalUp="0" diagonalDown="0">
        <left style="medium">
          <color theme="6" tint="0.39994506668294322"/>
        </left>
        <right/>
        <top style="medium">
          <color theme="6" tint="0.39994506668294322"/>
        </top>
        <bottom style="medium">
          <color theme="6" tint="0.39994506668294322"/>
        </bottom>
      </border>
    </dxf>
    <dxf>
      <font>
        <strike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scheme val="minor"/>
      </font>
      <fill>
        <patternFill patternType="solid">
          <fgColor indexed="64"/>
          <bgColor theme="0"/>
        </patternFill>
      </fill>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scheme val="minor"/>
      </font>
      <fill>
        <patternFill patternType="solid">
          <fgColor indexed="64"/>
          <bgColor theme="0"/>
        </patternFill>
      </fill>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scheme val="minor"/>
      </font>
      <fill>
        <patternFill patternType="solid">
          <fgColor indexed="64"/>
          <bgColor theme="0"/>
        </patternFill>
      </fill>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scheme val="minor"/>
      </font>
      <fill>
        <patternFill patternType="solid">
          <fgColor indexed="64"/>
          <bgColor theme="0"/>
        </patternFill>
      </fill>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scheme val="minor"/>
      </font>
      <fill>
        <patternFill patternType="solid">
          <fgColor indexed="64"/>
          <bgColor theme="0"/>
        </patternFill>
      </fill>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scheme val="minor"/>
      </font>
      <fill>
        <patternFill patternType="solid">
          <fgColor indexed="64"/>
          <bgColor theme="0"/>
        </patternFill>
      </fill>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scheme val="minor"/>
      </font>
      <fill>
        <patternFill patternType="solid">
          <fgColor indexed="64"/>
          <bgColor theme="0"/>
        </patternFill>
      </fill>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scheme val="minor"/>
      </font>
      <fill>
        <patternFill patternType="solid">
          <fgColor indexed="64"/>
          <bgColor theme="0"/>
        </patternFill>
      </fill>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scheme val="minor"/>
      </font>
      <fill>
        <patternFill patternType="solid">
          <fgColor indexed="64"/>
          <bgColor theme="0"/>
        </patternFill>
      </fill>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scheme val="minor"/>
      </font>
      <fill>
        <patternFill patternType="solid">
          <fgColor indexed="64"/>
          <bgColor theme="0"/>
        </patternFill>
      </fill>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scheme val="minor"/>
      </font>
      <fill>
        <patternFill patternType="solid">
          <fgColor indexed="64"/>
          <bgColor theme="0"/>
        </patternFill>
      </fill>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scheme val="minor"/>
      </font>
      <fill>
        <patternFill patternType="solid">
          <fgColor indexed="64"/>
          <bgColor theme="0"/>
        </patternFill>
      </fill>
      <border diagonalUp="0" diagonalDown="0">
        <left/>
        <right style="medium">
          <color theme="6" tint="0.39994506668294322"/>
        </right>
        <top style="medium">
          <color theme="6" tint="0.39994506668294322"/>
        </top>
        <bottom style="medium">
          <color theme="6" tint="0.39994506668294322"/>
        </bottom>
      </border>
    </dxf>
    <dxf>
      <font>
        <b/>
        <strike val="0"/>
        <outline val="0"/>
        <shadow val="0"/>
        <u val="none"/>
        <vertAlign val="baseline"/>
        <sz val="10"/>
        <color theme="1"/>
        <name val="Microsoft Sans Serif"/>
        <scheme val="minor"/>
      </font>
      <fill>
        <patternFill patternType="solid">
          <fgColor indexed="64"/>
          <bgColor theme="6" tint="0.79998168889431442"/>
        </patternFill>
      </fill>
      <border diagonalUp="0" diagonalDown="0">
        <left/>
        <right style="medium">
          <color theme="6" tint="0.39991454817346722"/>
        </right>
        <top style="medium">
          <color theme="6" tint="0.39994506668294322"/>
        </top>
        <bottom/>
        <vertical/>
        <horizontal/>
      </border>
    </dxf>
    <dxf>
      <font>
        <b/>
        <strike val="0"/>
        <outline val="0"/>
        <shadow val="0"/>
        <u val="none"/>
        <vertAlign val="baseline"/>
        <sz val="10"/>
        <color theme="0"/>
        <name val="Microsoft Sans Serif"/>
        <scheme val="minor"/>
      </font>
      <fill>
        <patternFill patternType="solid">
          <fgColor indexed="64"/>
          <bgColor theme="3"/>
        </patternFill>
      </fill>
      <alignment horizontal="left" vertical="center" textRotation="0" wrapText="0" relativeIndent="1" justifyLastLine="0" shrinkToFit="0" readingOrder="0"/>
      <border diagonalUp="0" diagonalDown="0" outline="0">
        <left/>
        <right/>
        <top style="medium">
          <color theme="6" tint="0.39994506668294322"/>
        </top>
        <bottom style="medium">
          <color theme="6" tint="0.39994506668294322"/>
        </bottom>
      </border>
    </dxf>
    <dxf>
      <border>
        <top style="medium">
          <color theme="6" tint="0.39994506668294322"/>
        </top>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top/>
        <bottom/>
      </border>
    </dxf>
    <dxf>
      <alignment horizontal="right" vertical="center" textRotation="0" wrapText="0" indent="0" justifyLastLine="0" shrinkToFit="0" readingOrder="0"/>
      <border diagonalUp="0" diagonalDown="0">
        <left style="medium">
          <color theme="6" tint="0.39994506668294322"/>
        </left>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right style="medium">
          <color theme="6" tint="0.39994506668294322"/>
        </right>
        <top style="medium">
          <color theme="6" tint="0.39994506668294322"/>
        </top>
        <bottom style="medium">
          <color theme="6" tint="0.39994506668294322"/>
        </bottom>
      </border>
    </dxf>
    <dxf>
      <font>
        <strike val="0"/>
        <outline val="0"/>
        <shadow val="0"/>
        <u val="none"/>
        <vertAlign val="baseline"/>
        <sz val="10"/>
        <color theme="1"/>
        <name val="Microsoft Sans Serif"/>
        <scheme val="minor"/>
      </font>
      <fill>
        <patternFill patternType="solid">
          <fgColor indexed="64"/>
          <bgColor theme="6" tint="0.79998168889431442"/>
        </patternFill>
      </fill>
      <border diagonalUp="0" diagonalDown="0">
        <left/>
        <right style="medium">
          <color theme="6" tint="0.39991454817346722"/>
        </right>
        <top style="medium">
          <color theme="6" tint="0.39994506668294322"/>
        </top>
        <bottom/>
        <vertical/>
        <horizontal/>
      </border>
    </dxf>
    <dxf>
      <font>
        <b/>
        <strike val="0"/>
        <outline val="0"/>
        <shadow val="0"/>
        <u val="none"/>
        <vertAlign val="baseline"/>
        <sz val="10"/>
        <color theme="0"/>
        <name val="Microsoft Sans Serif"/>
        <scheme val="minor"/>
      </font>
      <fill>
        <patternFill patternType="solid">
          <fgColor indexed="64"/>
          <bgColor theme="3"/>
        </patternFill>
      </fill>
      <alignment horizontal="left" vertical="center" textRotation="0" wrapText="0" relativeIndent="-1" justifyLastLine="0" shrinkToFit="0" readingOrder="0"/>
      <border diagonalUp="0" diagonalDown="0" outline="0">
        <left/>
        <right/>
        <top style="medium">
          <color theme="6" tint="0.39994506668294322"/>
        </top>
        <bottom style="medium">
          <color theme="6" tint="0.39994506668294322"/>
        </bottom>
      </border>
    </dxf>
    <dxf>
      <border>
        <top style="medium">
          <color theme="6" tint="0.39994506668294322"/>
        </top>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quot;£&quot;#,##0.00;[Red]&quot;£&quot;#,##0.00"/>
      <fill>
        <patternFill patternType="solid">
          <fgColor indexed="64"/>
          <bgColor theme="6" tint="0.79998168889431442"/>
        </patternFill>
      </fill>
      <border diagonalUp="0" diagonalDown="0" outline="0">
        <left style="medium">
          <color theme="6" tint="0.39994506668294322"/>
        </left>
        <right/>
        <top/>
        <bottom/>
      </border>
    </dxf>
    <dxf>
      <font>
        <strike val="0"/>
        <outline val="0"/>
        <shadow val="0"/>
        <u val="none"/>
        <vertAlign val="baseline"/>
        <sz val="9"/>
        <color theme="1"/>
        <name val="Microsoft Sans Serif"/>
        <scheme val="minor"/>
      </font>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4506668294322"/>
        </left>
        <right/>
        <top style="medium">
          <color theme="6" tint="0.39994506668294322"/>
        </top>
        <bottom style="medium">
          <color theme="6" tint="0.39994506668294322"/>
        </bottom>
      </border>
    </dxf>
    <dxf>
      <font>
        <strike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right style="medium">
          <color theme="6" tint="0.39994506668294322"/>
        </right>
        <top style="medium">
          <color theme="6" tint="0.39994506668294322"/>
        </top>
        <bottom style="medium">
          <color theme="6" tint="0.39994506668294322"/>
        </bottom>
      </border>
    </dxf>
    <dxf>
      <font>
        <strike val="0"/>
        <outline val="0"/>
        <shadow val="0"/>
        <u val="none"/>
        <vertAlign val="baseline"/>
        <sz val="10"/>
        <color theme="1"/>
        <name val="Microsoft Sans Serif"/>
        <scheme val="minor"/>
      </font>
      <fill>
        <patternFill patternType="solid">
          <fgColor indexed="64"/>
          <bgColor theme="6" tint="0.79998168889431442"/>
        </patternFill>
      </fill>
      <border diagonalUp="0" diagonalDown="0">
        <left/>
        <right style="medium">
          <color theme="6" tint="0.39991454817346722"/>
        </right>
        <top style="medium">
          <color theme="6" tint="0.39994506668294322"/>
        </top>
        <bottom/>
        <vertical/>
        <horizontal/>
      </border>
    </dxf>
    <dxf>
      <font>
        <b/>
        <strike val="0"/>
        <outline val="0"/>
        <shadow val="0"/>
        <u val="none"/>
        <vertAlign val="baseline"/>
        <sz val="10"/>
        <color theme="0"/>
        <name val="Microsoft Sans Serif"/>
        <scheme val="minor"/>
      </font>
      <fill>
        <patternFill patternType="solid">
          <fgColor indexed="64"/>
          <bgColor theme="3"/>
        </patternFill>
      </fill>
      <alignment horizontal="left" vertical="center" textRotation="0" wrapText="0" relativeIndent="-1" justifyLastLine="0" shrinkToFit="0" readingOrder="0"/>
      <border diagonalUp="0" diagonalDown="0" outline="0">
        <left/>
        <right/>
        <top style="medium">
          <color theme="6" tint="0.39994506668294322"/>
        </top>
        <bottom style="medium">
          <color theme="6" tint="0.39994506668294322"/>
        </bottom>
      </border>
    </dxf>
    <dxf>
      <border>
        <top style="medium">
          <color theme="6" tint="0.39994506668294322"/>
        </top>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top/>
        <bottom/>
      </border>
    </dxf>
    <dxf>
      <font>
        <strike val="0"/>
        <outline val="0"/>
        <shadow val="0"/>
        <u val="none"/>
        <vertAlign val="baseline"/>
        <sz val="9"/>
        <color theme="1"/>
        <name val="Microsoft Sans Serif"/>
        <scheme val="minor"/>
      </font>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4506668294322"/>
        </left>
        <right/>
        <top style="medium">
          <color theme="6" tint="0.39994506668294322"/>
        </top>
        <bottom style="medium">
          <color theme="6" tint="0.39994506668294322"/>
        </bottom>
      </border>
    </dxf>
    <dxf>
      <font>
        <b val="0"/>
        <i val="0"/>
        <strike val="0"/>
        <condense val="0"/>
        <extend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font>
        <b val="0"/>
        <i val="0"/>
        <strike val="0"/>
        <condense val="0"/>
        <extend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scheme val="minor"/>
      </font>
      <numFmt numFmtId="166" formatCode="&quot;£&quot;#,##0.00;[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right style="medium">
          <color theme="6" tint="0.39994506668294322"/>
        </right>
        <top/>
        <bottom/>
      </border>
    </dxf>
    <dxf>
      <font>
        <strike val="0"/>
        <outline val="0"/>
        <shadow val="0"/>
        <u val="none"/>
        <vertAlign val="baseline"/>
        <sz val="9"/>
        <color theme="1"/>
        <name val="Microsoft Sans Serif"/>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theme="6" tint="0.39994506668294322"/>
        </right>
        <top style="medium">
          <color theme="6" tint="0.39994506668294322"/>
        </top>
        <bottom style="medium">
          <color theme="6" tint="0.39994506668294322"/>
        </bottom>
      </border>
    </dxf>
    <dxf>
      <font>
        <b/>
        <i val="0"/>
        <strike val="0"/>
        <condense val="0"/>
        <extend val="0"/>
        <outline val="0"/>
        <shadow val="0"/>
        <u val="none"/>
        <vertAlign val="baseline"/>
        <sz val="10"/>
        <color theme="1"/>
        <name val="Microsoft Sans Serif"/>
        <scheme val="minor"/>
      </font>
      <fill>
        <patternFill patternType="solid">
          <fgColor indexed="64"/>
          <bgColor theme="6" tint="0.79998168889431442"/>
        </patternFill>
      </fill>
      <alignment horizontal="left" vertical="center" textRotation="0" wrapText="0" indent="2" justifyLastLine="0" shrinkToFit="0" readingOrder="0"/>
      <border diagonalUp="0" diagonalDown="0">
        <left style="medium">
          <color theme="6" tint="0.39988402966399123"/>
        </left>
        <right style="medium">
          <color theme="6" tint="0.39985351115451523"/>
        </right>
        <top style="medium">
          <color theme="6" tint="0.39994506668294322"/>
        </top>
        <bottom style="medium">
          <color theme="6" tint="0.39985351115451523"/>
        </bottom>
        <vertical/>
        <horizontal/>
      </border>
    </dxf>
    <dxf>
      <font>
        <b/>
        <strike val="0"/>
        <outline val="0"/>
        <shadow val="0"/>
        <u val="none"/>
        <vertAlign val="baseline"/>
        <sz val="10"/>
        <color theme="0"/>
        <name val="Microsoft Sans Serif"/>
        <scheme val="minor"/>
      </font>
      <fill>
        <patternFill patternType="solid">
          <fgColor indexed="64"/>
          <bgColor theme="3"/>
        </patternFill>
      </fill>
      <alignment horizontal="left" vertical="center" textRotation="0" wrapText="0" relativeIndent="-1" justifyLastLine="0" shrinkToFit="0" readingOrder="0"/>
      <border diagonalUp="0" diagonalDown="0" outline="0">
        <left style="medium">
          <color theme="6" tint="0.39988402966399123"/>
        </left>
        <right/>
        <top style="medium">
          <color theme="6" tint="0.39994506668294322"/>
        </top>
        <bottom style="medium">
          <color theme="6" tint="0.39994506668294322"/>
        </bottom>
      </border>
    </dxf>
    <dxf>
      <border>
        <top style="medium">
          <color theme="6" tint="0.39994506668294322"/>
        </top>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diagonalUp="0" diagonalDown="0">
        <left/>
        <right style="medium">
          <color theme="6" tint="0.39994506668294322"/>
        </right>
        <top/>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ont>
        <color auto="1"/>
      </font>
      <fill>
        <patternFill patternType="none">
          <bgColor auto="1"/>
        </patternFill>
      </fill>
      <border diagonalUp="0" diagonalDown="0">
        <left/>
        <right/>
        <top/>
        <bottom/>
        <vertical/>
        <horizontal style="medium">
          <color theme="6" tint="0.39994506668294322"/>
        </horizontal>
      </border>
    </dxf>
    <dxf>
      <font>
        <color theme="1"/>
      </font>
      <fill>
        <patternFill patternType="solid">
          <fgColor theme="0" tint="-0.14993743705557422"/>
          <bgColor theme="0"/>
        </patternFill>
      </fill>
      <border diagonalUp="0" diagonalDown="0">
        <left/>
        <right/>
        <top/>
        <bottom/>
        <vertical/>
        <horizontal style="medium">
          <color theme="6" tint="0.39994506668294322"/>
        </horizontal>
      </border>
    </dxf>
    <dxf>
      <font>
        <b val="0"/>
        <i val="0"/>
        <color theme="1"/>
      </font>
      <fill>
        <patternFill>
          <bgColor theme="6" tint="0.79998168889431442"/>
        </patternFill>
      </fill>
      <border diagonalUp="0" diagonalDown="0">
        <left/>
        <right/>
        <top/>
        <bottom/>
        <vertical/>
        <horizontal style="medium">
          <color theme="6" tint="0.39994506668294322"/>
        </horizontal>
      </border>
    </dxf>
    <dxf>
      <font>
        <color theme="0"/>
      </font>
      <fill>
        <patternFill>
          <fgColor theme="3"/>
          <bgColor theme="3"/>
        </patternFill>
      </fill>
      <border diagonalUp="0" diagonalDown="0">
        <left/>
        <right/>
        <top/>
        <bottom/>
        <vertical/>
        <horizontal style="medium">
          <color theme="6" tint="0.39994506668294322"/>
        </horizontal>
      </border>
    </dxf>
    <dxf>
      <font>
        <b/>
        <i val="0"/>
        <color theme="1"/>
      </font>
      <fill>
        <patternFill>
          <bgColor theme="6" tint="0.79998168889431442"/>
        </patternFill>
      </fill>
      <border diagonalUp="0" diagonalDown="0">
        <left/>
        <right/>
        <top style="medium">
          <color theme="6" tint="0.39994506668294322"/>
        </top>
        <bottom/>
        <vertical style="medium">
          <color theme="6" tint="0.39991454817346722"/>
        </vertical>
        <horizontal/>
      </border>
    </dxf>
    <dxf>
      <font>
        <color theme="6" tint="0.39994506668294322"/>
      </font>
      <fill>
        <patternFill>
          <bgColor theme="6" tint="0.39994506668294322"/>
        </patternFill>
      </fill>
      <border diagonalUp="0" diagonalDown="0">
        <left/>
        <right/>
        <top/>
        <bottom style="medium">
          <color theme="6" tint="0.39994506668294322"/>
        </bottom>
        <vertical/>
        <horizontal/>
      </border>
    </dxf>
    <dxf>
      <font>
        <b val="0"/>
        <i val="0"/>
        <color theme="1"/>
      </font>
      <fill>
        <patternFill>
          <bgColor theme="0"/>
        </patternFill>
      </fill>
      <border diagonalUp="0" diagonalDown="0">
        <left/>
        <right/>
        <top style="medium">
          <color theme="6" tint="0.39994506668294322"/>
        </top>
        <bottom style="medium">
          <color theme="6" tint="0.39994506668294322"/>
        </bottom>
        <vertical style="medium">
          <color theme="6" tint="0.39994506668294322"/>
        </vertical>
        <horizontal style="medium">
          <color theme="6" tint="0.39994506668294322"/>
        </horizontal>
      </border>
    </dxf>
  </dxfs>
  <tableStyles count="1" defaultTableStyle="Detailed expense estimates Table 2" defaultPivotStyle="PivotStyleLight16">
    <tableStyle name="Detailed expense estimates Table 2" pivot="0" count="7">
      <tableStyleElement type="wholeTable" dxfId="450"/>
      <tableStyleElement type="headerRow" dxfId="449"/>
      <tableStyleElement type="totalRow" dxfId="448"/>
      <tableStyleElement type="firstColumn" dxfId="447"/>
      <tableStyleElement type="lastColumn" dxfId="446"/>
      <tableStyleElement type="firstRowStripe" size="9" dxfId="445"/>
      <tableStyleElement type="firstColumnStripe" dxfId="444"/>
    </tableStyle>
  </tableStyles>
  <colors>
    <mruColors>
      <color rgb="FF3B893D"/>
      <color rgb="FF99CCFF"/>
      <color rgb="FFFFCC99"/>
      <color rgb="FF800080"/>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icrosoft Sans Serif"/>
                <a:ea typeface="Microsoft Sans Serif"/>
                <a:cs typeface="Microsoft Sans Serif"/>
              </a:defRPr>
            </a:pPr>
            <a:r>
              <a:rPr lang="en-US"/>
              <a:t>Actual 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icrosoft Sans Serif"/>
              <a:ea typeface="Microsoft Sans Serif"/>
              <a:cs typeface="Microsoft Sans Serif"/>
            </a:defRPr>
          </a:pPr>
          <a:endParaRPr lang="en-US"/>
        </a:p>
      </c:txPr>
    </c:title>
    <c:autoTitleDeleted val="0"/>
    <c:plotArea>
      <c:layout/>
      <c:pieChart>
        <c:varyColors val="1"/>
        <c:ser>
          <c:idx val="0"/>
          <c:order val="0"/>
          <c:spPr>
            <a:ln>
              <a:noFill/>
            </a:ln>
          </c:spPr>
          <c:explosion val="15"/>
          <c:dPt>
            <c:idx val="0"/>
            <c:bubble3D val="0"/>
            <c:spPr>
              <a:solidFill>
                <a:schemeClr val="accent4">
                  <a:shade val="58000"/>
                </a:schemeClr>
              </a:solidFill>
              <a:ln w="19050">
                <a:noFill/>
              </a:ln>
              <a:effectLst/>
            </c:spPr>
            <c:extLst xmlns:c16r2="http://schemas.microsoft.com/office/drawing/2015/06/chart">
              <c:ext xmlns:c16="http://schemas.microsoft.com/office/drawing/2014/chart" uri="{C3380CC4-5D6E-409C-BE32-E72D297353CC}">
                <c16:uniqueId val="{00000001-4DF3-409A-87D3-91392B248616}"/>
              </c:ext>
            </c:extLst>
          </c:dPt>
          <c:dPt>
            <c:idx val="1"/>
            <c:bubble3D val="0"/>
            <c:spPr>
              <a:solidFill>
                <a:schemeClr val="accent4">
                  <a:shade val="86000"/>
                </a:schemeClr>
              </a:solidFill>
              <a:ln w="19050">
                <a:noFill/>
              </a:ln>
              <a:effectLst/>
            </c:spPr>
            <c:extLst xmlns:c16r2="http://schemas.microsoft.com/office/drawing/2015/06/chart">
              <c:ext xmlns:c16="http://schemas.microsoft.com/office/drawing/2014/chart" uri="{C3380CC4-5D6E-409C-BE32-E72D297353CC}">
                <c16:uniqueId val="{00000003-4DF3-409A-87D3-91392B248616}"/>
              </c:ext>
            </c:extLst>
          </c:dPt>
          <c:dPt>
            <c:idx val="2"/>
            <c:bubble3D val="0"/>
            <c:spPr>
              <a:solidFill>
                <a:schemeClr val="accent4">
                  <a:tint val="86000"/>
                </a:schemeClr>
              </a:solidFill>
              <a:ln w="19050">
                <a:noFill/>
              </a:ln>
              <a:effectLst/>
            </c:spPr>
            <c:extLst xmlns:c16r2="http://schemas.microsoft.com/office/drawing/2015/06/chart">
              <c:ext xmlns:c16="http://schemas.microsoft.com/office/drawing/2014/chart" uri="{C3380CC4-5D6E-409C-BE32-E72D297353CC}">
                <c16:uniqueId val="{00000005-4DF3-409A-87D3-91392B248616}"/>
              </c:ext>
            </c:extLst>
          </c:dPt>
          <c:dPt>
            <c:idx val="3"/>
            <c:bubble3D val="0"/>
            <c:spPr>
              <a:solidFill>
                <a:schemeClr val="accent4">
                  <a:tint val="58000"/>
                </a:schemeClr>
              </a:solidFill>
              <a:ln w="19050">
                <a:noFill/>
              </a:ln>
              <a:effectLst/>
            </c:spPr>
            <c:extLst xmlns:c16r2="http://schemas.microsoft.com/office/drawing/2015/06/chart">
              <c:ext xmlns:c16="http://schemas.microsoft.com/office/drawing/2014/chart" uri="{C3380CC4-5D6E-409C-BE32-E72D297353CC}">
                <c16:uniqueId val="{00000007-4DF3-409A-87D3-91392B248616}"/>
              </c:ext>
            </c:extLst>
          </c:dPt>
          <c:dLbls>
            <c:dLbl>
              <c:idx val="0"/>
              <c:layout>
                <c:manualLayout>
                  <c:x val="0.16903582257697239"/>
                  <c:y val="-3.670602670985715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1-4DF3-409A-87D3-91392B248616}"/>
                </c:ext>
                <c:ext xmlns:c15="http://schemas.microsoft.com/office/drawing/2012/chart" uri="{CE6537A1-D6FC-4f65-9D91-7224C49458BB}"/>
              </c:extLst>
            </c:dLbl>
            <c:dLbl>
              <c:idx val="1"/>
              <c:layout>
                <c:manualLayout>
                  <c:x val="9.0726906999872875E-2"/>
                  <c:y val="-1.105249817717022E-2"/>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3-4DF3-409A-87D3-91392B248616}"/>
                </c:ext>
                <c:ext xmlns:c15="http://schemas.microsoft.com/office/drawing/2012/chart" uri="{CE6537A1-D6FC-4f65-9D91-7224C49458BB}"/>
              </c:extLst>
            </c:dLbl>
            <c:dLbl>
              <c:idx val="2"/>
              <c:layout>
                <c:manualLayout>
                  <c:x val="6.6360388648343496E-2"/>
                  <c:y val="-2.1544176087003476E-4"/>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5-4DF3-409A-87D3-91392B248616}"/>
                </c:ext>
                <c:ext xmlns:c15="http://schemas.microsoft.com/office/drawing/2012/chart" uri="{CE6537A1-D6FC-4f65-9D91-7224C49458BB}"/>
              </c:extLst>
            </c:dLbl>
            <c:dLbl>
              <c:idx val="3"/>
              <c:layout>
                <c:manualLayout>
                  <c:x val="3.9133483346486281E-2"/>
                  <c:y val="0.10124833189842194"/>
                </c:manualLayout>
              </c:layout>
              <c:tx>
                <c:rich>
                  <a:bodyPr/>
                  <a:lstStyle/>
                  <a:p>
                    <a:fld id="{F02D978F-6A2A-478B-85BC-163E41E4501F}" type="CATEGORYNAME">
                      <a:rPr lang="en-US"/>
                      <a:pPr/>
                      <a:t>[CATEGORY NAME]</a:t>
                    </a:fld>
                    <a:fld id="{C381CE7E-0B79-4FA4-A947-F7B4DE86C5B9}" type="PERCENTAGE">
                      <a:rPr lang="en-US" baseline="0"/>
                      <a:pPr/>
                      <a:t>[PERCENTAGE]</a:t>
                    </a:fld>
                    <a:endParaRPr lang="en-GB"/>
                  </a:p>
                </c:rich>
              </c:tx>
              <c:dLblPos val="bestFit"/>
              <c:showLegendKey val="0"/>
              <c:showVal val="0"/>
              <c:showCatName val="1"/>
              <c:showSerName val="0"/>
              <c:showPercent val="1"/>
              <c:showBubbleSize val="0"/>
              <c:separator>
              </c:separator>
              <c:extLst xmlns:c16r2="http://schemas.microsoft.com/office/drawing/2015/06/chart">
                <c:ext xmlns:c16="http://schemas.microsoft.com/office/drawing/2014/chart" uri="{C3380CC4-5D6E-409C-BE32-E72D297353CC}">
                  <c16:uniqueId val="{00000007-4DF3-409A-87D3-91392B248616}"/>
                </c:ex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ysClr val="windowText" lastClr="000000"/>
                  </a:solidFill>
                  <a:round/>
                </a:ln>
                <a:effectLst/>
              </c:spPr>
            </c:leaderLines>
            <c:extLst xmlns:c16r2="http://schemas.microsoft.com/office/drawing/2015/06/chart">
              <c:ext xmlns:c15="http://schemas.microsoft.com/office/drawing/2012/chart" uri="{CE6537A1-D6FC-4f65-9D91-7224C49458BB}"/>
            </c:extLst>
          </c:dLbls>
          <c:cat>
            <c:strRef>
              <c:f>'EXPENSE ANALYSIS'!$B$6:$B$9</c:f>
              <c:strCache>
                <c:ptCount val="4"/>
                <c:pt idx="0">
                  <c:v>Employee Costs</c:v>
                </c:pt>
                <c:pt idx="1">
                  <c:v>Office Costs</c:v>
                </c:pt>
                <c:pt idx="2">
                  <c:v>Marketing Costs</c:v>
                </c:pt>
                <c:pt idx="3">
                  <c:v>Training/Travel</c:v>
                </c:pt>
              </c:strCache>
            </c:strRef>
          </c:cat>
          <c:val>
            <c:numRef>
              <c:f>'EXPENSE ANALYSIS'!$D$6:$D$9</c:f>
              <c:numCache>
                <c:formatCode>"£"#,##0.00;[Red]"£"#,##0.00</c:formatCode>
                <c:ptCount val="4"/>
                <c:pt idx="0">
                  <c:v>659130</c:v>
                </c:pt>
                <c:pt idx="1">
                  <c:v>69350</c:v>
                </c:pt>
                <c:pt idx="2">
                  <c:v>33159</c:v>
                </c:pt>
                <c:pt idx="3">
                  <c:v>21300</c:v>
                </c:pt>
              </c:numCache>
            </c:numRef>
          </c:val>
          <c:extLst xmlns:c16r2="http://schemas.microsoft.com/office/drawing/2015/06/chart">
            <c:ext xmlns:c16="http://schemas.microsoft.com/office/drawing/2014/chart" uri="{C3380CC4-5D6E-409C-BE32-E72D297353CC}">
              <c16:uniqueId val="{00000008-4DF3-409A-87D3-91392B248616}"/>
            </c:ext>
          </c:extLst>
        </c:ser>
        <c:dLbls>
          <c:showLegendKey val="0"/>
          <c:showVal val="0"/>
          <c:showCatName val="0"/>
          <c:showSerName val="0"/>
          <c:showPercent val="0"/>
          <c:showBubbleSize val="0"/>
          <c:showLeaderLines val="1"/>
        </c:dLbls>
        <c:firstSliceAng val="100"/>
      </c:pieChart>
      <c:spPr>
        <a:noFill/>
        <a:ln>
          <a:noFill/>
        </a:ln>
        <a:effectLst/>
      </c:spPr>
    </c:plotArea>
    <c:legend>
      <c:legendPos val="b"/>
      <c:layout>
        <c:manualLayout>
          <c:xMode val="edge"/>
          <c:yMode val="edge"/>
          <c:x val="0.23723410124887445"/>
          <c:y val="0.85735021397905353"/>
          <c:w val="0.51702116110545349"/>
          <c:h val="0.114872015837703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icrosoft Sans Serif"/>
              <a:ea typeface="Microsoft Sans Serif"/>
              <a:cs typeface="Microsoft Sans Serif"/>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icrosoft Sans Serif"/>
                <a:ea typeface="Microsoft Sans Serif"/>
                <a:cs typeface="Microsoft Sans Serif"/>
              </a:defRPr>
            </a:pPr>
            <a:r>
              <a:rPr lang="en-US"/>
              <a:t>Monthly 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icrosoft Sans Serif"/>
              <a:ea typeface="Microsoft Sans Serif"/>
              <a:cs typeface="Microsoft Sans Serif"/>
            </a:defRPr>
          </a:pPr>
          <a:endParaRPr lang="en-US"/>
        </a:p>
      </c:txPr>
    </c:title>
    <c:autoTitleDeleted val="0"/>
    <c:plotArea>
      <c:layout/>
      <c:barChart>
        <c:barDir val="col"/>
        <c:grouping val="clustered"/>
        <c:varyColors val="0"/>
        <c:ser>
          <c:idx val="1"/>
          <c:order val="1"/>
          <c:tx>
            <c:v>Planned</c:v>
          </c:tx>
          <c:spPr>
            <a:solidFill>
              <a:schemeClr val="accent3"/>
            </a:solidFill>
            <a:ln>
              <a:noFill/>
            </a:ln>
            <a:effectLst/>
          </c:spPr>
          <c:invertIfNegative val="0"/>
          <c:val>
            <c:numRef>
              <c:f>'PLANNED EXPENSES'!$C$36:$N$36</c:f>
              <c:numCache>
                <c:formatCode>"£"#,##0.00;[Red]"£"#,##0.00</c:formatCode>
                <c:ptCount val="12"/>
                <c:pt idx="0">
                  <c:v>131420</c:v>
                </c:pt>
                <c:pt idx="1">
                  <c:v>126820</c:v>
                </c:pt>
                <c:pt idx="2">
                  <c:v>126820</c:v>
                </c:pt>
                <c:pt idx="3">
                  <c:v>137695</c:v>
                </c:pt>
                <c:pt idx="4">
                  <c:v>129695</c:v>
                </c:pt>
                <c:pt idx="5">
                  <c:v>130495</c:v>
                </c:pt>
                <c:pt idx="6">
                  <c:v>134695</c:v>
                </c:pt>
                <c:pt idx="7">
                  <c:v>138918</c:v>
                </c:pt>
                <c:pt idx="8">
                  <c:v>135918</c:v>
                </c:pt>
                <c:pt idx="9">
                  <c:v>140918</c:v>
                </c:pt>
                <c:pt idx="10">
                  <c:v>136218</c:v>
                </c:pt>
                <c:pt idx="11">
                  <c:v>140018</c:v>
                </c:pt>
              </c:numCache>
            </c:numRef>
          </c:val>
          <c:extLst xmlns:c16r2="http://schemas.microsoft.com/office/drawing/2015/06/chart">
            <c:ext xmlns:c16="http://schemas.microsoft.com/office/drawing/2014/chart" uri="{C3380CC4-5D6E-409C-BE32-E72D297353CC}">
              <c16:uniqueId val="{00000000-135D-4DB7-A511-401DE3785DC9}"/>
            </c:ext>
          </c:extLst>
        </c:ser>
        <c:ser>
          <c:idx val="2"/>
          <c:order val="2"/>
          <c:tx>
            <c:v>Actual</c:v>
          </c:tx>
          <c:spPr>
            <a:solidFill>
              <a:schemeClr val="accent3">
                <a:tint val="65000"/>
              </a:schemeClr>
            </a:solidFill>
            <a:ln>
              <a:noFill/>
            </a:ln>
            <a:effectLst/>
          </c:spPr>
          <c:invertIfNegative val="0"/>
          <c:val>
            <c:numRef>
              <c:f>'ACTUAL EXPENSES'!$C$36:$N$36</c:f>
              <c:numCache>
                <c:formatCode>"£"#,##0.00;[Red]"£"#,##0.00</c:formatCode>
                <c:ptCount val="12"/>
                <c:pt idx="0">
                  <c:v>129682</c:v>
                </c:pt>
                <c:pt idx="1">
                  <c:v>127804</c:v>
                </c:pt>
                <c:pt idx="2">
                  <c:v>125565</c:v>
                </c:pt>
                <c:pt idx="3">
                  <c:v>137394</c:v>
                </c:pt>
                <c:pt idx="4">
                  <c:v>128255</c:v>
                </c:pt>
                <c:pt idx="5">
                  <c:v>134239</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135D-4DB7-A511-401DE3785DC9}"/>
            </c:ext>
          </c:extLst>
        </c:ser>
        <c:dLbls>
          <c:showLegendKey val="0"/>
          <c:showVal val="0"/>
          <c:showCatName val="0"/>
          <c:showSerName val="0"/>
          <c:showPercent val="0"/>
          <c:showBubbleSize val="0"/>
        </c:dLbls>
        <c:gapWidth val="100"/>
        <c:axId val="1266178416"/>
        <c:axId val="1266179592"/>
      </c:barChart>
      <c:lineChart>
        <c:grouping val="standard"/>
        <c:varyColors val="0"/>
        <c:ser>
          <c:idx val="0"/>
          <c:order val="0"/>
          <c:tx>
            <c:v>Variance</c:v>
          </c:tx>
          <c:spPr>
            <a:ln w="28575" cap="rnd">
              <a:solidFill>
                <a:schemeClr val="accent3">
                  <a:shade val="65000"/>
                </a:schemeClr>
              </a:solidFill>
              <a:round/>
            </a:ln>
            <a:effectLst/>
          </c:spPr>
          <c:marker>
            <c:symbol val="none"/>
          </c:marker>
          <c:val>
            <c:numRef>
              <c:f>'EXPENSE VARIANCES'!$C$36:$N$36</c:f>
              <c:numCache>
                <c:formatCode>"£"#,##0.00;[Red]"£"#,##0.00</c:formatCode>
                <c:ptCount val="12"/>
                <c:pt idx="0">
                  <c:v>1738</c:v>
                </c:pt>
                <c:pt idx="1">
                  <c:v>-984</c:v>
                </c:pt>
                <c:pt idx="2">
                  <c:v>1255</c:v>
                </c:pt>
                <c:pt idx="3">
                  <c:v>301</c:v>
                </c:pt>
                <c:pt idx="4">
                  <c:v>1440</c:v>
                </c:pt>
                <c:pt idx="5">
                  <c:v>-3744</c:v>
                </c:pt>
                <c:pt idx="6">
                  <c:v>134695</c:v>
                </c:pt>
                <c:pt idx="7">
                  <c:v>138918</c:v>
                </c:pt>
                <c:pt idx="8">
                  <c:v>135918</c:v>
                </c:pt>
                <c:pt idx="9">
                  <c:v>140918</c:v>
                </c:pt>
                <c:pt idx="10">
                  <c:v>136218</c:v>
                </c:pt>
                <c:pt idx="11">
                  <c:v>140018</c:v>
                </c:pt>
              </c:numCache>
            </c:numRef>
          </c:val>
          <c:smooth val="0"/>
          <c:extLst xmlns:c16r2="http://schemas.microsoft.com/office/drawing/2015/06/chart">
            <c:ext xmlns:c16="http://schemas.microsoft.com/office/drawing/2014/chart" uri="{C3380CC4-5D6E-409C-BE32-E72D297353CC}">
              <c16:uniqueId val="{00000002-135D-4DB7-A511-401DE3785DC9}"/>
            </c:ext>
          </c:extLst>
        </c:ser>
        <c:dLbls>
          <c:showLegendKey val="0"/>
          <c:showVal val="0"/>
          <c:showCatName val="0"/>
          <c:showSerName val="0"/>
          <c:showPercent val="0"/>
          <c:showBubbleSize val="0"/>
        </c:dLbls>
        <c:marker val="1"/>
        <c:smooth val="0"/>
        <c:axId val="1266178416"/>
        <c:axId val="1266179592"/>
      </c:lineChart>
      <c:catAx>
        <c:axId val="126617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66179592"/>
        <c:crosses val="autoZero"/>
        <c:auto val="1"/>
        <c:lblAlgn val="ctr"/>
        <c:lblOffset val="100"/>
        <c:noMultiLvlLbl val="0"/>
      </c:catAx>
      <c:valAx>
        <c:axId val="1266179592"/>
        <c:scaling>
          <c:orientation val="minMax"/>
        </c:scaling>
        <c:delete val="0"/>
        <c:axPos val="l"/>
        <c:majorGridlines>
          <c:spPr>
            <a:ln w="9525" cap="flat" cmpd="sng" algn="ctr">
              <a:solidFill>
                <a:schemeClr val="bg2">
                  <a:lumMod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Expenses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00_);[Red]\(&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6617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icrosoft Sans Serif"/>
              <a:ea typeface="Microsoft Sans Serif"/>
              <a:cs typeface="Microsoft Sans Serif"/>
            </a:defRPr>
          </a:pPr>
          <a:endParaRPr lang="en-US"/>
        </a:p>
      </c:txPr>
    </c:legend>
    <c:plotVisOnly val="1"/>
    <c:dispBlanksAs val="gap"/>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icrosoft Sans Serif"/>
                <a:ea typeface="Microsoft Sans Serif"/>
                <a:cs typeface="Microsoft Sans Serif"/>
              </a:defRPr>
            </a:pPr>
            <a:r>
              <a:rPr lang="en-US"/>
              <a:t>Planned 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icrosoft Sans Serif"/>
              <a:ea typeface="Microsoft Sans Serif"/>
              <a:cs typeface="Microsoft Sans Serif"/>
            </a:defRPr>
          </a:pPr>
          <a:endParaRPr lang="en-US"/>
        </a:p>
      </c:txPr>
    </c:title>
    <c:autoTitleDeleted val="0"/>
    <c:plotArea>
      <c:layout/>
      <c:pieChart>
        <c:varyColors val="1"/>
        <c:ser>
          <c:idx val="0"/>
          <c:order val="0"/>
          <c:spPr>
            <a:ln>
              <a:noFill/>
            </a:ln>
          </c:spPr>
          <c:explosion val="14"/>
          <c:dPt>
            <c:idx val="0"/>
            <c:bubble3D val="0"/>
            <c:spPr>
              <a:solidFill>
                <a:schemeClr val="accent3">
                  <a:shade val="58000"/>
                </a:schemeClr>
              </a:solidFill>
              <a:ln w="19050">
                <a:noFill/>
              </a:ln>
              <a:effectLst/>
            </c:spPr>
            <c:extLst xmlns:c16r2="http://schemas.microsoft.com/office/drawing/2015/06/chart">
              <c:ext xmlns:c16="http://schemas.microsoft.com/office/drawing/2014/chart" uri="{C3380CC4-5D6E-409C-BE32-E72D297353CC}">
                <c16:uniqueId val="{00000001-575C-4225-ACC7-D51DAEA0E7C6}"/>
              </c:ext>
            </c:extLst>
          </c:dPt>
          <c:dPt>
            <c:idx val="1"/>
            <c:bubble3D val="0"/>
            <c:spPr>
              <a:solidFill>
                <a:schemeClr val="accent3">
                  <a:shade val="86000"/>
                </a:schemeClr>
              </a:solidFill>
              <a:ln w="19050">
                <a:noFill/>
              </a:ln>
              <a:effectLst/>
            </c:spPr>
            <c:extLst xmlns:c16r2="http://schemas.microsoft.com/office/drawing/2015/06/chart">
              <c:ext xmlns:c16="http://schemas.microsoft.com/office/drawing/2014/chart" uri="{C3380CC4-5D6E-409C-BE32-E72D297353CC}">
                <c16:uniqueId val="{00000003-575C-4225-ACC7-D51DAEA0E7C6}"/>
              </c:ext>
            </c:extLst>
          </c:dPt>
          <c:dPt>
            <c:idx val="2"/>
            <c:bubble3D val="0"/>
            <c:spPr>
              <a:solidFill>
                <a:schemeClr val="accent3">
                  <a:tint val="86000"/>
                </a:schemeClr>
              </a:solidFill>
              <a:ln w="19050">
                <a:noFill/>
              </a:ln>
              <a:effectLst/>
            </c:spPr>
            <c:extLst xmlns:c16r2="http://schemas.microsoft.com/office/drawing/2015/06/chart">
              <c:ext xmlns:c16="http://schemas.microsoft.com/office/drawing/2014/chart" uri="{C3380CC4-5D6E-409C-BE32-E72D297353CC}">
                <c16:uniqueId val="{00000005-575C-4225-ACC7-D51DAEA0E7C6}"/>
              </c:ext>
            </c:extLst>
          </c:dPt>
          <c:dPt>
            <c:idx val="3"/>
            <c:bubble3D val="0"/>
            <c:spPr>
              <a:solidFill>
                <a:schemeClr val="accent3">
                  <a:tint val="58000"/>
                </a:schemeClr>
              </a:solidFill>
              <a:ln w="19050">
                <a:noFill/>
              </a:ln>
              <a:effectLst/>
            </c:spPr>
            <c:extLst xmlns:c16r2="http://schemas.microsoft.com/office/drawing/2015/06/chart">
              <c:ext xmlns:c16="http://schemas.microsoft.com/office/drawing/2014/chart" uri="{C3380CC4-5D6E-409C-BE32-E72D297353CC}">
                <c16:uniqueId val="{00000007-575C-4225-ACC7-D51DAEA0E7C6}"/>
              </c:ext>
            </c:extLst>
          </c:dPt>
          <c:dLbls>
            <c:dLbl>
              <c:idx val="0"/>
              <c:layout>
                <c:manualLayout>
                  <c:x val="0.19045364340543908"/>
                  <c:y val="-8.0111275153105857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1-575C-4225-ACC7-D51DAEA0E7C6}"/>
                </c:ext>
                <c:ext xmlns:c15="http://schemas.microsoft.com/office/drawing/2012/chart" uri="{CE6537A1-D6FC-4f65-9D91-7224C49458BB}"/>
              </c:extLst>
            </c:dLbl>
            <c:dLbl>
              <c:idx val="1"/>
              <c:layout>
                <c:manualLayout>
                  <c:x val="6.6352404397343898E-2"/>
                  <c:y val="-7.2949475065616802E-3"/>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3-575C-4225-ACC7-D51DAEA0E7C6}"/>
                </c:ext>
                <c:ext xmlns:c15="http://schemas.microsoft.com/office/drawing/2012/chart" uri="{CE6537A1-D6FC-4f65-9D91-7224C49458BB}"/>
              </c:extLst>
            </c:dLbl>
            <c:dLbl>
              <c:idx val="2"/>
              <c:layout>
                <c:manualLayout>
                  <c:x val="3.6636462570781757E-2"/>
                  <c:y val="-6.7317366579177605E-3"/>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5-575C-4225-ACC7-D51DAEA0E7C6}"/>
                </c:ext>
                <c:ext xmlns:c15="http://schemas.microsoft.com/office/drawing/2012/chart" uri="{CE6537A1-D6FC-4f65-9D91-7224C49458BB}"/>
              </c:extLst>
            </c:dLbl>
            <c:dLbl>
              <c:idx val="3"/>
              <c:layout>
                <c:manualLayout>
                  <c:x val="7.4682682403057737E-3"/>
                  <c:y val="9.1745680227471565E-2"/>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7-575C-4225-ACC7-D51DAEA0E7C6}"/>
                </c:ex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ysClr val="windowText" lastClr="000000"/>
                  </a:solidFill>
                  <a:round/>
                </a:ln>
                <a:effectLst/>
              </c:spPr>
            </c:leaderLines>
            <c:extLst xmlns:c16r2="http://schemas.microsoft.com/office/drawing/2015/06/chart">
              <c:ext xmlns:c15="http://schemas.microsoft.com/office/drawing/2012/chart" uri="{CE6537A1-D6FC-4f65-9D91-7224C49458BB}"/>
            </c:extLst>
          </c:dLbls>
          <c:cat>
            <c:strRef>
              <c:f>'EXPENSE ANALYSIS'!$B$6:$B$9</c:f>
              <c:strCache>
                <c:ptCount val="4"/>
                <c:pt idx="0">
                  <c:v>Employee Costs</c:v>
                </c:pt>
                <c:pt idx="1">
                  <c:v>Office Costs</c:v>
                </c:pt>
                <c:pt idx="2">
                  <c:v>Marketing Costs</c:v>
                </c:pt>
                <c:pt idx="3">
                  <c:v>Training/Travel</c:v>
                </c:pt>
              </c:strCache>
            </c:strRef>
          </c:cat>
          <c:val>
            <c:numRef>
              <c:f>'EXPENSE ANALYSIS'!$C$6:$C$9</c:f>
              <c:numCache>
                <c:formatCode>"£"#,##0.00;[Red]"£"#,##0.00</c:formatCode>
                <c:ptCount val="4"/>
                <c:pt idx="0">
                  <c:v>1355090</c:v>
                </c:pt>
                <c:pt idx="1">
                  <c:v>138740</c:v>
                </c:pt>
                <c:pt idx="2">
                  <c:v>67800</c:v>
                </c:pt>
                <c:pt idx="3">
                  <c:v>48000</c:v>
                </c:pt>
              </c:numCache>
            </c:numRef>
          </c:val>
          <c:extLst xmlns:c16r2="http://schemas.microsoft.com/office/drawing/2015/06/chart">
            <c:ext xmlns:c16="http://schemas.microsoft.com/office/drawing/2014/chart" uri="{C3380CC4-5D6E-409C-BE32-E72D297353CC}">
              <c16:uniqueId val="{00000008-575C-4225-ACC7-D51DAEA0E7C6}"/>
            </c:ext>
          </c:extLst>
        </c:ser>
        <c:dLbls>
          <c:showLegendKey val="0"/>
          <c:showVal val="0"/>
          <c:showCatName val="0"/>
          <c:showSerName val="0"/>
          <c:showPercent val="0"/>
          <c:showBubbleSize val="0"/>
          <c:showLeaderLines val="1"/>
        </c:dLbls>
        <c:firstSliceAng val="100"/>
      </c:pieChart>
      <c:spPr>
        <a:noFill/>
        <a:ln>
          <a:noFill/>
        </a:ln>
        <a:effectLst/>
      </c:spPr>
    </c:plotArea>
    <c:legend>
      <c:legendPos val="b"/>
      <c:layout>
        <c:manualLayout>
          <c:xMode val="edge"/>
          <c:yMode val="edge"/>
          <c:x val="0.21555807741327232"/>
          <c:y val="0.86776684164479445"/>
          <c:w val="0.57184023837375098"/>
          <c:h val="0.107927602799650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icrosoft Sans Serif"/>
              <a:ea typeface="Microsoft Sans Serif"/>
              <a:cs typeface="Microsoft Sans Serif"/>
            </a:defRPr>
          </a:pPr>
          <a:endParaRPr lang="en-US"/>
        </a:p>
      </c:txPr>
    </c:legend>
    <c:plotVisOnly val="1"/>
    <c:dispBlanksAs val="gap"/>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sv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17</xdr:col>
      <xdr:colOff>27504</xdr:colOff>
      <xdr:row>3</xdr:row>
      <xdr:rowOff>0</xdr:rowOff>
    </xdr:from>
    <xdr:to>
      <xdr:col>20</xdr:col>
      <xdr:colOff>962</xdr:colOff>
      <xdr:row>12</xdr:row>
      <xdr:rowOff>192640</xdr:rowOff>
    </xdr:to>
    <xdr:sp macro="" textlink="">
      <xdr:nvSpPr>
        <xdr:cNvPr id="3" name="Speech Bubble: Rectangle 2" descr="Tip: HOW TO USE THIS TEMPLATE&#10;Input data in the white cells on the PLANNED EXPENSES and ACTUAL EXPENSES worksheets, and the EXPENSE VARIANCES and EXPENSE ANALYSIS will be calculated for you.  If you add a row on one sheet, the other sheets need to match&#10;">
          <a:extLst>
            <a:ext uri="{FF2B5EF4-FFF2-40B4-BE49-F238E27FC236}">
              <a16:creationId xmlns:a16="http://schemas.microsoft.com/office/drawing/2014/main" xmlns="" id="{26EBCE28-31AF-4664-B39F-77F2857D060F}"/>
            </a:ext>
          </a:extLst>
        </xdr:cNvPr>
        <xdr:cNvSpPr/>
      </xdr:nvSpPr>
      <xdr:spPr>
        <a:xfrm>
          <a:off x="15629454" y="1257300"/>
          <a:ext cx="1935608" cy="3288265"/>
        </a:xfrm>
        <a:prstGeom prst="wedgeRectCallout">
          <a:avLst>
            <a:gd name="adj1" fmla="val -65157"/>
            <a:gd name="adj2" fmla="val -20833"/>
          </a:avLst>
        </a:prstGeom>
        <a:solidFill>
          <a:schemeClr val="accent3">
            <a:lumMod val="20000"/>
            <a:lumOff val="80000"/>
            <a:alpha val="6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tIns="182880" rIns="182880" bIns="182880" rtlCol="0" anchor="t"/>
        <a:lstStyle/>
        <a:p>
          <a:pPr rtl="0"/>
          <a:r>
            <a:rPr lang="en-GB" sz="1100" b="1">
              <a:solidFill>
                <a:schemeClr val="tx2"/>
              </a:solidFill>
              <a:effectLst/>
              <a:latin typeface="Microsoft Sans Serif" panose="020B0604020202020204" pitchFamily="34" charset="0"/>
              <a:ea typeface="+mn-ea"/>
              <a:cs typeface="+mn-cs"/>
            </a:rPr>
            <a:t>HOW TO USE THIS TEMPLATE</a:t>
          </a:r>
        </a:p>
        <a:p>
          <a:pPr rtl="0"/>
          <a:endParaRPr lang="en-US">
            <a:solidFill>
              <a:schemeClr val="tx2"/>
            </a:solidFill>
            <a:effectLst/>
            <a:latin typeface="Microsoft Sans Serif" panose="020B0604020202020204" pitchFamily="34" charset="0"/>
          </a:endParaRPr>
        </a:p>
        <a:p>
          <a:pPr rtl="0"/>
          <a:r>
            <a:rPr lang="en-GB" sz="1100">
              <a:solidFill>
                <a:schemeClr val="tx2"/>
              </a:solidFill>
              <a:effectLst/>
              <a:latin typeface="Microsoft Sans Serif" panose="020B0604020202020204" pitchFamily="34" charset="0"/>
              <a:ea typeface="+mn-ea"/>
              <a:cs typeface="+mn-cs"/>
            </a:rPr>
            <a:t>Input data in the white cells on the PLANNED EXPENSES and ACTUAL EXPENSES worksheets, and the EXPENSE VARIANCES and EXPENSE ANALYSIS will be calculated for you. If you add a row on one sheet, the</a:t>
          </a:r>
          <a:r>
            <a:rPr lang="en-GB" sz="1100" baseline="0">
              <a:solidFill>
                <a:schemeClr val="tx2"/>
              </a:solidFill>
              <a:effectLst/>
              <a:latin typeface="Microsoft Sans Serif" panose="020B0604020202020204" pitchFamily="34" charset="0"/>
              <a:ea typeface="+mn-ea"/>
              <a:cs typeface="+mn-cs"/>
            </a:rPr>
            <a:t> other sheets need to match.</a:t>
          </a:r>
          <a:endParaRPr lang="en-US" sz="1100">
            <a:solidFill>
              <a:schemeClr val="tx2"/>
            </a:solidFill>
            <a:latin typeface="Microsoft Sans Serif" panose="020B0604020202020204" pitchFamily="34" charset="0"/>
          </a:endParaRPr>
        </a:p>
      </xdr:txBody>
    </xdr:sp>
    <xdr:clientData fPrintsWithSheet="0"/>
  </xdr:twoCellAnchor>
  <xdr:twoCellAnchor editAs="oneCell">
    <xdr:from>
      <xdr:col>13</xdr:col>
      <xdr:colOff>267556</xdr:colOff>
      <xdr:row>1</xdr:row>
      <xdr:rowOff>0</xdr:rowOff>
    </xdr:from>
    <xdr:to>
      <xdr:col>14</xdr:col>
      <xdr:colOff>917797</xdr:colOff>
      <xdr:row>2</xdr:row>
      <xdr:rowOff>141360</xdr:rowOff>
    </xdr:to>
    <xdr:pic>
      <xdr:nvPicPr>
        <xdr:cNvPr id="9" name="Picture 18" descr="Logo placeholder">
          <a:extLst>
            <a:ext uri="{FF2B5EF4-FFF2-40B4-BE49-F238E27FC236}">
              <a16:creationId xmlns:a16="http://schemas.microsoft.com/office/drawing/2014/main" xmlns="" id="{65A40888-9F83-43E7-A699-52663041FF0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bwMode="auto">
        <a:xfrm>
          <a:off x="13206573" y="214045"/>
          <a:ext cx="1631209" cy="7085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267556</xdr:colOff>
      <xdr:row>1</xdr:row>
      <xdr:rowOff>0</xdr:rowOff>
    </xdr:from>
    <xdr:to>
      <xdr:col>14</xdr:col>
      <xdr:colOff>917797</xdr:colOff>
      <xdr:row>2</xdr:row>
      <xdr:rowOff>141360</xdr:rowOff>
    </xdr:to>
    <xdr:pic>
      <xdr:nvPicPr>
        <xdr:cNvPr id="6" name="Picture 18" descr="Logo placeholder">
          <a:extLst>
            <a:ext uri="{FF2B5EF4-FFF2-40B4-BE49-F238E27FC236}">
              <a16:creationId xmlns:a16="http://schemas.microsoft.com/office/drawing/2014/main" xmlns="" id="{83DAF7B9-4C56-44AA-B3C3-38F1A49B55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bwMode="auto">
        <a:xfrm>
          <a:off x="13364431" y="304800"/>
          <a:ext cx="1631316" cy="712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238125</xdr:colOff>
      <xdr:row>1</xdr:row>
      <xdr:rowOff>0</xdr:rowOff>
    </xdr:from>
    <xdr:to>
      <xdr:col>14</xdr:col>
      <xdr:colOff>896572</xdr:colOff>
      <xdr:row>2</xdr:row>
      <xdr:rowOff>129496</xdr:rowOff>
    </xdr:to>
    <xdr:pic>
      <xdr:nvPicPr>
        <xdr:cNvPr id="6" name="Picture 18" descr="Logo placeholder">
          <a:extLst>
            <a:ext uri="{FF2B5EF4-FFF2-40B4-BE49-F238E27FC236}">
              <a16:creationId xmlns:a16="http://schemas.microsoft.com/office/drawing/2014/main" xmlns="" id="{A2E6D019-45AC-4D89-848F-C976B436C09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bwMode="auto">
        <a:xfrm>
          <a:off x="13211175" y="304800"/>
          <a:ext cx="1639522" cy="7009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1314450</xdr:colOff>
      <xdr:row>11</xdr:row>
      <xdr:rowOff>57150</xdr:rowOff>
    </xdr:from>
    <xdr:to>
      <xdr:col>5</xdr:col>
      <xdr:colOff>1447800</xdr:colOff>
      <xdr:row>11</xdr:row>
      <xdr:rowOff>3714751</xdr:rowOff>
    </xdr:to>
    <xdr:graphicFrame macro="">
      <xdr:nvGraphicFramePr>
        <xdr:cNvPr id="13" name="ActualExpensesChart" descr="Pie chart showing actual expenses incurred on various categories">
          <a:extLst>
            <a:ext uri="{FF2B5EF4-FFF2-40B4-BE49-F238E27FC236}">
              <a16:creationId xmlns:a16="http://schemas.microsoft.com/office/drawing/2014/main" xmlns=""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28575</xdr:colOff>
      <xdr:row>12</xdr:row>
      <xdr:rowOff>200025</xdr:rowOff>
    </xdr:from>
    <xdr:to>
      <xdr:col>5</xdr:col>
      <xdr:colOff>1558925</xdr:colOff>
      <xdr:row>16</xdr:row>
      <xdr:rowOff>5778</xdr:rowOff>
    </xdr:to>
    <xdr:graphicFrame macro="">
      <xdr:nvGraphicFramePr>
        <xdr:cNvPr id="8" name="MonthlyExpensesChart" descr="Chart showing Planned, Actual, and Variance in Monthly Expenses">
          <a:extLst>
            <a:ext uri="{FF2B5EF4-FFF2-40B4-BE49-F238E27FC236}">
              <a16:creationId xmlns:a16="http://schemas.microsoft.com/office/drawing/2014/main" xmlns="" id="{00000000-0008-0000-0300-000008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11</xdr:row>
      <xdr:rowOff>76201</xdr:rowOff>
    </xdr:from>
    <xdr:to>
      <xdr:col>3</xdr:col>
      <xdr:colOff>714375</xdr:colOff>
      <xdr:row>11</xdr:row>
      <xdr:rowOff>3733801</xdr:rowOff>
    </xdr:to>
    <xdr:graphicFrame macro="">
      <xdr:nvGraphicFramePr>
        <xdr:cNvPr id="12" name="PlannedExpensesChart" descr="Pie chart showing planned expenses on various categories">
          <a:extLst>
            <a:ext uri="{FF2B5EF4-FFF2-40B4-BE49-F238E27FC236}">
              <a16:creationId xmlns:a16="http://schemas.microsoft.com/office/drawing/2014/main" xmlns=""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447675</xdr:colOff>
      <xdr:row>1</xdr:row>
      <xdr:rowOff>0</xdr:rowOff>
    </xdr:from>
    <xdr:to>
      <xdr:col>6</xdr:col>
      <xdr:colOff>69215</xdr:colOff>
      <xdr:row>1</xdr:row>
      <xdr:rowOff>550531</xdr:rowOff>
    </xdr:to>
    <xdr:pic>
      <xdr:nvPicPr>
        <xdr:cNvPr id="9" name="Picture 18" descr="Logo placeholder">
          <a:extLst>
            <a:ext uri="{FF2B5EF4-FFF2-40B4-BE49-F238E27FC236}">
              <a16:creationId xmlns:a16="http://schemas.microsoft.com/office/drawing/2014/main" xmlns="" id="{7C6D1F32-6273-47BA-873D-2E5A8467E2E5}"/>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bwMode="auto">
        <a:xfrm>
          <a:off x="7219950" y="304800"/>
          <a:ext cx="1259840" cy="5505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OfficePlan" displayName="OfficePlan" ref="B10:O19" totalsRowCount="1" headerRowDxfId="443" totalsRowDxfId="440" headerRowBorderDxfId="442" tableBorderDxfId="441" totalsRowBorderDxfId="439">
  <autoFilter ref="B10:O1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Office Costs" totalsRowLabel="Subtotal" dataDxfId="438" totalsRowDxfId="437"/>
    <tableColumn id="2" name="Jan" totalsRowFunction="sum" dataDxfId="436" totalsRowDxfId="435"/>
    <tableColumn id="3" name="Feb" totalsRowFunction="sum" dataDxfId="434" totalsRowDxfId="433"/>
    <tableColumn id="4" name="Mar" totalsRowFunction="sum" dataDxfId="432" totalsRowDxfId="431"/>
    <tableColumn id="5" name="Apr" totalsRowFunction="sum" dataDxfId="430" totalsRowDxfId="429"/>
    <tableColumn id="6" name="May" totalsRowFunction="sum" dataDxfId="428" totalsRowDxfId="427"/>
    <tableColumn id="7" name="Jun" totalsRowFunction="sum" dataDxfId="426" totalsRowDxfId="425"/>
    <tableColumn id="8" name="Jul" totalsRowFunction="sum" dataDxfId="424" totalsRowDxfId="423"/>
    <tableColumn id="9" name="Aug" totalsRowFunction="sum" dataDxfId="422" totalsRowDxfId="421"/>
    <tableColumn id="10" name="Sep" totalsRowFunction="sum" dataDxfId="420" totalsRowDxfId="419"/>
    <tableColumn id="11" name="Oct" totalsRowFunction="sum" dataDxfId="418" totalsRowDxfId="417"/>
    <tableColumn id="12" name="Nov" totalsRowFunction="sum" dataDxfId="416" totalsRowDxfId="415"/>
    <tableColumn id="13" name="Dec" totalsRowFunction="sum" dataDxfId="414" totalsRowDxfId="413"/>
    <tableColumn id="14" name="YEAR" totalsRowFunction="sum" dataDxfId="412" totalsRowDxfId="411">
      <calculatedColumnFormula>SUM(C11:N11)</calculatedColumnFormula>
    </tableColumn>
  </tableColumns>
  <tableStyleInfo name="TableStyleLight8" showFirstColumn="1" showLastColumn="1" showRowStripes="0" showColumnStripes="0"/>
  <extLst>
    <ext xmlns:x14="http://schemas.microsoft.com/office/spreadsheetml/2009/9/main" uri="{504A1905-F514-4f6f-8877-14C23A59335A}">
      <x14:table altTextSummary="Enter planned monthly office costs in this table. Total is auto-calculated at the end"/>
    </ext>
  </extLst>
</table>
</file>

<file path=xl/tables/table10.xml><?xml version="1.0" encoding="utf-8"?>
<table xmlns="http://schemas.openxmlformats.org/spreadsheetml/2006/main" id="15" name="TotalActual" displayName="TotalActual" ref="B35:O37" totalsRowShown="0" headerRowDxfId="160" dataDxfId="159" tableBorderDxfId="158" headerRowCellStyle="Heading 3">
  <autoFilter ref="B35:O3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TOTAL Planned Expenses" dataDxfId="157"/>
    <tableColumn id="2" name="Jan" dataDxfId="156">
      <calculatedColumnFormula>SUM($C35:C$36)</calculatedColumnFormula>
    </tableColumn>
    <tableColumn id="3" name="Feb" dataDxfId="155">
      <calculatedColumnFormula>SUM($C35:D$36)</calculatedColumnFormula>
    </tableColumn>
    <tableColumn id="4" name="Mar" dataDxfId="154">
      <calculatedColumnFormula>SUM($C35:E$36)</calculatedColumnFormula>
    </tableColumn>
    <tableColumn id="5" name="Apr" dataDxfId="153">
      <calculatedColumnFormula>SUM($C35:F$36)</calculatedColumnFormula>
    </tableColumn>
    <tableColumn id="6" name="May" dataDxfId="152">
      <calculatedColumnFormula>SUM($C35:G$36)</calculatedColumnFormula>
    </tableColumn>
    <tableColumn id="7" name="Jun" dataDxfId="151">
      <calculatedColumnFormula>SUM($C35:H$36)</calculatedColumnFormula>
    </tableColumn>
    <tableColumn id="8" name="Jul" dataDxfId="150">
      <calculatedColumnFormula>SUM($C35:I$36)</calculatedColumnFormula>
    </tableColumn>
    <tableColumn id="9" name="Aug" dataDxfId="149">
      <calculatedColumnFormula>SUM($C35:J$36)</calculatedColumnFormula>
    </tableColumn>
    <tableColumn id="10" name="Sep" dataDxfId="148">
      <calculatedColumnFormula>SUM($C35:K$36)</calculatedColumnFormula>
    </tableColumn>
    <tableColumn id="11" name="Oct" dataDxfId="147">
      <calculatedColumnFormula>SUM($C35:L$36)</calculatedColumnFormula>
    </tableColumn>
    <tableColumn id="12" name="Nov" dataDxfId="146">
      <calculatedColumnFormula>SUM($C35:M$36)</calculatedColumnFormula>
    </tableColumn>
    <tableColumn id="13" name="Dec" dataDxfId="145">
      <calculatedColumnFormula>SUM($C35:N$36)</calculatedColumnFormula>
    </tableColumn>
    <tableColumn id="14" name="Year" dataDxfId="144"/>
  </tableColumns>
  <tableStyleInfo name="TableStyleMedium1" showFirstColumn="1" showLastColumn="0" showRowStripes="0" showColumnStripes="0"/>
  <extLst>
    <ext xmlns:x14="http://schemas.microsoft.com/office/spreadsheetml/2009/9/main" uri="{504A1905-F514-4f6f-8877-14C23A59335A}">
      <x14:table altTextSummary="Monthly and Total Actual Expenses are auto-calculated in this table"/>
    </ext>
  </extLst>
</table>
</file>

<file path=xl/tables/table11.xml><?xml version="1.0" encoding="utf-8"?>
<table xmlns="http://schemas.openxmlformats.org/spreadsheetml/2006/main" id="9" name="EmployeeVariances" displayName="EmployeeVariances" ref="B5:O8" totalsRowCount="1" headerRowDxfId="143" totalsRowDxfId="140" headerRowBorderDxfId="142" tableBorderDxfId="141" totalsRowBorderDxfId="139">
  <autoFilter ref="B5:O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Employee Costs" totalsRowLabel="Subtotal" dataDxfId="138" totalsRowDxfId="137"/>
    <tableColumn id="2" name="Jan" totalsRowFunction="sum" totalsRowDxfId="136">
      <calculatedColumnFormula>INDEX(EmployeePlan[],MATCH(INDEX(EmployeeVariances[],ROW()-ROW(EmployeeVariances[[#Headers],[Jan]]),1),INDEX(EmployeePlan[],,1),0),MATCH(EmployeeVariances[[#Headers],[Jan]],EmployeePlan[#Headers],0))-INDEX(EmployeeActual[],MATCH(INDEX(EmployeeVariances[],ROW()-ROW(EmployeeVariances[[#Headers],[Jan]]),1),INDEX(EmployeePlan[],,1),0),MATCH(EmployeeVariances[[#Headers],[Jan]],EmployeeActual[#Headers],0))</calculatedColumnFormula>
    </tableColumn>
    <tableColumn id="3" name="Feb" totalsRowFunction="sum" totalsRowDxfId="135">
      <calculatedColumnFormula>INDEX(EmployeePlan[],MATCH(INDEX(EmployeeVariances[],ROW()-ROW(EmployeeVariances[[#Headers],[Feb]]),1),INDEX(EmployeePlan[],,1),0),MATCH(EmployeeVariances[[#Headers],[Feb]],EmployeePlan[#Headers],0))-INDEX(EmployeeActual[],MATCH(INDEX(EmployeeVariances[],ROW()-ROW(EmployeeVariances[[#Headers],[Feb]]),1),INDEX(EmployeePlan[],,1),0),MATCH(EmployeeVariances[[#Headers],[Feb]],EmployeeActual[#Headers],0))</calculatedColumnFormula>
    </tableColumn>
    <tableColumn id="4" name="Mar" totalsRowFunction="sum" totalsRowDxfId="134">
      <calculatedColumnFormula>INDEX(EmployeePlan[],MATCH(INDEX(EmployeeVariances[],ROW()-ROW(EmployeeVariances[[#Headers],[Mar]]),1),INDEX(EmployeePlan[],,1),0),MATCH(EmployeeVariances[[#Headers],[Mar]],EmployeePlan[#Headers],0))-INDEX(EmployeeActual[],MATCH(INDEX(EmployeeVariances[],ROW()-ROW(EmployeeVariances[[#Headers],[Mar]]),1),INDEX(EmployeePlan[],,1),0),MATCH(EmployeeVariances[[#Headers],[Mar]],EmployeeActual[#Headers],0))</calculatedColumnFormula>
    </tableColumn>
    <tableColumn id="5" name="Apr" totalsRowFunction="sum" totalsRowDxfId="133">
      <calculatedColumnFormula>INDEX(EmployeePlan[],MATCH(INDEX(EmployeeVariances[],ROW()-ROW(EmployeeVariances[[#Headers],[Apr]]),1),INDEX(EmployeePlan[],,1),0),MATCH(EmployeeVariances[[#Headers],[Apr]],EmployeePlan[#Headers],0))-INDEX(EmployeeActual[],MATCH(INDEX(EmployeeVariances[],ROW()-ROW(EmployeeVariances[[#Headers],[Apr]]),1),INDEX(EmployeePlan[],,1),0),MATCH(EmployeeVariances[[#Headers],[Apr]],EmployeeActual[#Headers],0))</calculatedColumnFormula>
    </tableColumn>
    <tableColumn id="6" name="May" totalsRowFunction="sum" totalsRowDxfId="132">
      <calculatedColumnFormula>INDEX(EmployeePlan[],MATCH(INDEX(EmployeeVariances[],ROW()-ROW(EmployeeVariances[[#Headers],[May]]),1),INDEX(EmployeePlan[],,1),0),MATCH(EmployeeVariances[[#Headers],[May]],EmployeePlan[#Headers],0))-INDEX(EmployeeActual[],MATCH(INDEX(EmployeeVariances[],ROW()-ROW(EmployeeVariances[[#Headers],[May]]),1),INDEX(EmployeePlan[],,1),0),MATCH(EmployeeVariances[[#Headers],[May]],EmployeeActual[#Headers],0))</calculatedColumnFormula>
    </tableColumn>
    <tableColumn id="7" name="Jun" totalsRowFunction="sum" totalsRowDxfId="131">
      <calculatedColumnFormula>INDEX(EmployeePlan[],MATCH(INDEX(EmployeeVariances[],ROW()-ROW(EmployeeVariances[[#Headers],[Jun]]),1),INDEX(EmployeePlan[],,1),0),MATCH(EmployeeVariances[[#Headers],[Jun]],EmployeePlan[#Headers],0))-INDEX(EmployeeActual[],MATCH(INDEX(EmployeeVariances[],ROW()-ROW(EmployeeVariances[[#Headers],[Jun]]),1),INDEX(EmployeePlan[],,1),0),MATCH(EmployeeVariances[[#Headers],[Jun]],EmployeeActual[#Headers],0))</calculatedColumnFormula>
    </tableColumn>
    <tableColumn id="8" name="Jul" totalsRowFunction="sum" totalsRowDxfId="130">
      <calculatedColumnFormula>INDEX(EmployeePlan[],MATCH(INDEX(EmployeeVariances[],ROW()-ROW(EmployeeVariances[[#Headers],[Jul]]),1),INDEX(EmployeePlan[],,1),0),MATCH(EmployeeVariances[[#Headers],[Jul]],EmployeePlan[#Headers],0))-INDEX(EmployeeActual[],MATCH(INDEX(EmployeeVariances[],ROW()-ROW(EmployeeVariances[[#Headers],[Jul]]),1),INDEX(EmployeePlan[],,1),0),MATCH(EmployeeVariances[[#Headers],[Jul]],EmployeeActual[#Headers],0))</calculatedColumnFormula>
    </tableColumn>
    <tableColumn id="9" name="Aug" totalsRowFunction="sum" totalsRowDxfId="129">
      <calculatedColumnFormula>INDEX(EmployeePlan[],MATCH(INDEX(EmployeeVariances[],ROW()-ROW(EmployeeVariances[[#Headers],[Aug]]),1),INDEX(EmployeePlan[],,1),0),MATCH(EmployeeVariances[[#Headers],[Aug]],EmployeePlan[#Headers],0))-INDEX(EmployeeActual[],MATCH(INDEX(EmployeeVariances[],ROW()-ROW(EmployeeVariances[[#Headers],[Aug]]),1),INDEX(EmployeePlan[],,1),0),MATCH(EmployeeVariances[[#Headers],[Aug]],EmployeeActual[#Headers],0))</calculatedColumnFormula>
    </tableColumn>
    <tableColumn id="10" name="Sep" totalsRowFunction="sum" totalsRowDxfId="128">
      <calculatedColumnFormula>INDEX(EmployeePlan[],MATCH(INDEX(EmployeeVariances[],ROW()-ROW(EmployeeVariances[[#Headers],[Sep]]),1),INDEX(EmployeePlan[],,1),0),MATCH(EmployeeVariances[[#Headers],[Sep]],EmployeePlan[#Headers],0))-INDEX(EmployeeActual[],MATCH(INDEX(EmployeeVariances[],ROW()-ROW(EmployeeVariances[[#Headers],[Sep]]),1),INDEX(EmployeePlan[],,1),0),MATCH(EmployeeVariances[[#Headers],[Sep]],EmployeeActual[#Headers],0))</calculatedColumnFormula>
    </tableColumn>
    <tableColumn id="11" name="Oct" totalsRowFunction="sum" totalsRowDxfId="127">
      <calculatedColumnFormula>INDEX(EmployeePlan[],MATCH(INDEX(EmployeeVariances[],ROW()-ROW(EmployeeVariances[[#Headers],[Oct]]),1),INDEX(EmployeePlan[],,1),0),MATCH(EmployeeVariances[[#Headers],[Oct]],EmployeePlan[#Headers],0))-INDEX(EmployeeActual[],MATCH(INDEX(EmployeeVariances[],ROW()-ROW(EmployeeVariances[[#Headers],[Oct]]),1),INDEX(EmployeePlan[],,1),0),MATCH(EmployeeVariances[[#Headers],[Oct]],EmployeeActual[#Headers],0))</calculatedColumnFormula>
    </tableColumn>
    <tableColumn id="12" name="Nov" totalsRowFunction="sum" totalsRowDxfId="126">
      <calculatedColumnFormula>INDEX(EmployeePlan[],MATCH(INDEX(EmployeeVariances[],ROW()-ROW(EmployeeVariances[[#Headers],[Nov]]),1),INDEX(EmployeePlan[],,1),0),MATCH(EmployeeVariances[[#Headers],[Nov]],EmployeePlan[#Headers],0))-INDEX(EmployeeActual[],MATCH(INDEX(EmployeeVariances[],ROW()-ROW(EmployeeVariances[[#Headers],[Nov]]),1),INDEX(EmployeePlan[],,1),0),MATCH(EmployeeVariances[[#Headers],[Nov]],EmployeeActual[#Headers],0))</calculatedColumnFormula>
    </tableColumn>
    <tableColumn id="13" name="Dec" totalsRowFunction="sum" totalsRowDxfId="125">
      <calculatedColumnFormula>INDEX(EmployeePlan[],MATCH(INDEX(EmployeeVariances[],ROW()-ROW(EmployeeVariances[[#Headers],[Dec]]),1),INDEX(EmployeePlan[],,1),0),MATCH(EmployeeVariances[[#Headers],[Dec]],EmployeePlan[#Headers],0))-INDEX(EmployeeActual[],MATCH(INDEX(EmployeeVariances[],ROW()-ROW(EmployeeVariances[[#Headers],[Dec]]),1),INDEX(EmployeePlan[],,1),0),MATCH(EmployeeVariances[[#Headers],[Dec]],EmployeeActual[#Headers],0))</calculatedColumnFormula>
    </tableColumn>
    <tableColumn id="14" name="YEAR" totalsRowFunction="sum" dataDxfId="124" totalsRowDxfId="123">
      <calculatedColumnFormula>SUM(EmployeeVariances[[#This Row],[Jan]:[Dec]])</calculatedColumnFormula>
    </tableColumn>
  </tableColumns>
  <tableStyleInfo name="TableStyleLight8" showFirstColumn="1" showLastColumn="0" showRowStripes="0" showColumnStripes="0"/>
  <extLst>
    <ext xmlns:x14="http://schemas.microsoft.com/office/spreadsheetml/2009/9/main" uri="{504A1905-F514-4f6f-8877-14C23A59335A}">
      <x14:table altTextSummary="Variance in employee costs per month is auto-calculated in this table"/>
    </ext>
  </extLst>
</table>
</file>

<file path=xl/tables/table12.xml><?xml version="1.0" encoding="utf-8"?>
<table xmlns="http://schemas.openxmlformats.org/spreadsheetml/2006/main" id="10" name="OfficeVariances" displayName="OfficeVariances" ref="B10:O19" totalsRowCount="1" headerRowDxfId="122" totalsRowDxfId="119" headerRowBorderDxfId="121" tableBorderDxfId="120" totalsRowBorderDxfId="118">
  <autoFilter ref="B10:O1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Office Costs" totalsRowLabel="Subtotal" dataDxfId="117" totalsRowDxfId="116"/>
    <tableColumn id="2" name="Jan" totalsRowFunction="sum" dataDxfId="115" totalsRowDxfId="114">
      <calculatedColumnFormula>INDEX(OfficePlan[],MATCH(INDEX(OfficeVariances[],ROW()-ROW(OfficeVariances[[#Headers],[Jan]]),1),INDEX(OfficePlan[],,1),0),MATCH(OfficeVariances[[#Headers],[Jan]],OfficePlan[#Headers],0))-INDEX(OfficeActual[],MATCH(INDEX(OfficeVariances[],ROW()-ROW(OfficeVariances[[#Headers],[Jan]]),1),INDEX(OfficePlan[],,1),0),MATCH(OfficeVariances[[#Headers],[Jan]],OfficeActual[#Headers],0))</calculatedColumnFormula>
    </tableColumn>
    <tableColumn id="3" name="Feb" totalsRowFunction="sum" dataDxfId="113" totalsRowDxfId="112">
      <calculatedColumnFormula>INDEX(OfficePlan[],MATCH(INDEX(OfficeVariances[],ROW()-ROW(OfficeVariances[[#Headers],[Feb]]),1),INDEX(OfficePlan[],,1),0),MATCH(OfficeVariances[[#Headers],[Feb]],OfficePlan[#Headers],0))-INDEX(OfficeActual[],MATCH(INDEX(OfficeVariances[],ROW()-ROW(OfficeVariances[[#Headers],[Feb]]),1),INDEX(OfficePlan[],,1),0),MATCH(OfficeVariances[[#Headers],[Feb]],OfficeActual[#Headers],0))</calculatedColumnFormula>
    </tableColumn>
    <tableColumn id="4" name="Mar" totalsRowFunction="sum" dataDxfId="111" totalsRowDxfId="110">
      <calculatedColumnFormula>INDEX(OfficePlan[],MATCH(INDEX(OfficeVariances[],ROW()-ROW(OfficeVariances[[#Headers],[Mar]]),1),INDEX(OfficePlan[],,1),0),MATCH(OfficeVariances[[#Headers],[Mar]],OfficePlan[#Headers],0))-INDEX(OfficeActual[],MATCH(INDEX(OfficeVariances[],ROW()-ROW(OfficeVariances[[#Headers],[Mar]]),1),INDEX(OfficePlan[],,1),0),MATCH(OfficeVariances[[#Headers],[Mar]],OfficeActual[#Headers],0))</calculatedColumnFormula>
    </tableColumn>
    <tableColumn id="5" name="Apr" totalsRowFunction="sum" dataDxfId="109" totalsRowDxfId="108">
      <calculatedColumnFormula>INDEX(OfficePlan[],MATCH(INDEX(OfficeVariances[],ROW()-ROW(OfficeVariances[[#Headers],[Apr]]),1),INDEX(OfficePlan[],,1),0),MATCH(OfficeVariances[[#Headers],[Apr]],OfficePlan[#Headers],0))-INDEX(OfficeActual[],MATCH(INDEX(OfficeVariances[],ROW()-ROW(OfficeVariances[[#Headers],[Apr]]),1),INDEX(OfficePlan[],,1),0),MATCH(OfficeVariances[[#Headers],[Apr]],OfficeActual[#Headers],0))</calculatedColumnFormula>
    </tableColumn>
    <tableColumn id="6" name="May" totalsRowFunction="sum" dataDxfId="107" totalsRowDxfId="106">
      <calculatedColumnFormula>INDEX(OfficePlan[],MATCH(INDEX(OfficeVariances[],ROW()-ROW(OfficeVariances[[#Headers],[May]]),1),INDEX(OfficePlan[],,1),0),MATCH(OfficeVariances[[#Headers],[May]],OfficePlan[#Headers],0))-INDEX(OfficeActual[],MATCH(INDEX(OfficeVariances[],ROW()-ROW(OfficeVariances[[#Headers],[May]]),1),INDEX(OfficePlan[],,1),0),MATCH(OfficeVariances[[#Headers],[May]],OfficeActual[#Headers],0))</calculatedColumnFormula>
    </tableColumn>
    <tableColumn id="7" name="Jun" totalsRowFunction="sum" dataDxfId="105" totalsRowDxfId="104">
      <calculatedColumnFormula>INDEX(OfficePlan[],MATCH(INDEX(OfficeVariances[],ROW()-ROW(OfficeVariances[[#Headers],[Jun]]),1),INDEX(OfficePlan[],,1),0),MATCH(OfficeVariances[[#Headers],[Jun]],OfficePlan[#Headers],0))-INDEX(OfficeActual[],MATCH(INDEX(OfficeVariances[],ROW()-ROW(OfficeVariances[[#Headers],[Jun]]),1),INDEX(OfficePlan[],,1),0),MATCH(OfficeVariances[[#Headers],[Jun]],OfficeActual[#Headers],0))</calculatedColumnFormula>
    </tableColumn>
    <tableColumn id="8" name="Jul" totalsRowFunction="sum" dataDxfId="103" totalsRowDxfId="102">
      <calculatedColumnFormula>INDEX(OfficePlan[],MATCH(INDEX(OfficeVariances[],ROW()-ROW(OfficeVariances[[#Headers],[Jul]]),1),INDEX(OfficePlan[],,1),0),MATCH(OfficeVariances[[#Headers],[Jul]],OfficePlan[#Headers],0))-INDEX(OfficeActual[],MATCH(INDEX(OfficeVariances[],ROW()-ROW(OfficeVariances[[#Headers],[Jul]]),1),INDEX(OfficePlan[],,1),0),MATCH(OfficeVariances[[#Headers],[Jul]],OfficeActual[#Headers],0))</calculatedColumnFormula>
    </tableColumn>
    <tableColumn id="9" name="Aug" totalsRowFunction="sum" dataDxfId="101" totalsRowDxfId="100">
      <calculatedColumnFormula>INDEX(OfficePlan[],MATCH(INDEX(OfficeVariances[],ROW()-ROW(OfficeVariances[[#Headers],[Aug]]),1),INDEX(OfficePlan[],,1),0),MATCH(OfficeVariances[[#Headers],[Aug]],OfficePlan[#Headers],0))-INDEX(OfficeActual[],MATCH(INDEX(OfficeVariances[],ROW()-ROW(OfficeVariances[[#Headers],[Aug]]),1),INDEX(OfficePlan[],,1),0),MATCH(OfficeVariances[[#Headers],[Aug]],OfficeActual[#Headers],0))</calculatedColumnFormula>
    </tableColumn>
    <tableColumn id="10" name="Sep" totalsRowFunction="sum" dataDxfId="99" totalsRowDxfId="98">
      <calculatedColumnFormula>INDEX(OfficePlan[],MATCH(INDEX(OfficeVariances[],ROW()-ROW(OfficeVariances[[#Headers],[Sep]]),1),INDEX(OfficePlan[],,1),0),MATCH(OfficeVariances[[#Headers],[Sep]],OfficePlan[#Headers],0))-INDEX(OfficeActual[],MATCH(INDEX(OfficeVariances[],ROW()-ROW(OfficeVariances[[#Headers],[Sep]]),1),INDEX(OfficePlan[],,1),0),MATCH(OfficeVariances[[#Headers],[Sep]],OfficeActual[#Headers],0))</calculatedColumnFormula>
    </tableColumn>
    <tableColumn id="11" name="Oct" totalsRowFunction="sum" dataDxfId="97" totalsRowDxfId="96">
      <calculatedColumnFormula>INDEX(OfficePlan[],MATCH(INDEX(OfficeVariances[],ROW()-ROW(OfficeVariances[[#Headers],[Oct]]),1),INDEX(OfficePlan[],,1),0),MATCH(OfficeVariances[[#Headers],[Oct]],OfficePlan[#Headers],0))-INDEX(OfficeActual[],MATCH(INDEX(OfficeVariances[],ROW()-ROW(OfficeVariances[[#Headers],[Oct]]),1),INDEX(OfficePlan[],,1),0),MATCH(OfficeVariances[[#Headers],[Oct]],OfficeActual[#Headers],0))</calculatedColumnFormula>
    </tableColumn>
    <tableColumn id="12" name="Nov" totalsRowFunction="sum" dataDxfId="95" totalsRowDxfId="94">
      <calculatedColumnFormula>INDEX(OfficePlan[],MATCH(INDEX(OfficeVariances[],ROW()-ROW(OfficeVariances[[#Headers],[Nov]]),1),INDEX(OfficePlan[],,1),0),MATCH(OfficeVariances[[#Headers],[Nov]],OfficePlan[#Headers],0))-INDEX(OfficeActual[],MATCH(INDEX(OfficeVariances[],ROW()-ROW(OfficeVariances[[#Headers],[Nov]]),1),INDEX(OfficePlan[],,1),0),MATCH(OfficeVariances[[#Headers],[Nov]],OfficeActual[#Headers],0))</calculatedColumnFormula>
    </tableColumn>
    <tableColumn id="13" name="Dec" totalsRowFunction="sum" dataDxfId="93" totalsRowDxfId="92">
      <calculatedColumnFormula>INDEX(OfficePlan[],MATCH(INDEX(OfficeVariances[],ROW()-ROW(OfficeVariances[[#Headers],[Dec]]),1),INDEX(OfficePlan[],,1),0),MATCH(OfficeVariances[[#Headers],[Dec]],OfficePlan[#Headers],0))-INDEX(OfficeActual[],MATCH(INDEX(OfficeVariances[],ROW()-ROW(OfficeVariances[[#Headers],[Dec]]),1),INDEX(OfficePlan[],,1),0),MATCH(OfficeVariances[[#Headers],[Dec]],OfficeActual[#Headers],0))</calculatedColumnFormula>
    </tableColumn>
    <tableColumn id="14" name="YEAR" totalsRowFunction="sum" dataDxfId="91" totalsRowDxfId="90">
      <calculatedColumnFormula>SUM(OfficeVariances[[#This Row],[Jan]:[Dec]])</calculatedColumnFormula>
    </tableColumn>
  </tableColumns>
  <tableStyleInfo name="TableStyleLight8" showFirstColumn="1" showLastColumn="1" showRowStripes="0" showColumnStripes="0"/>
  <extLst>
    <ext xmlns:x14="http://schemas.microsoft.com/office/spreadsheetml/2009/9/main" uri="{504A1905-F514-4f6f-8877-14C23A59335A}">
      <x14:table altTextSummary="Variance in office costs per month is auto-calculated in this table"/>
    </ext>
  </extLst>
</table>
</file>

<file path=xl/tables/table13.xml><?xml version="1.0" encoding="utf-8"?>
<table xmlns="http://schemas.openxmlformats.org/spreadsheetml/2006/main" id="11" name="MarketingVariances" displayName="MarketingVariances" ref="B21:O28" totalsRowCount="1" headerRowDxfId="89" totalsRowDxfId="86" headerRowBorderDxfId="88" tableBorderDxfId="87" totalsRowBorderDxfId="85">
  <autoFilter ref="B21:O2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Marketing Costs" totalsRowLabel="Subtotal" dataDxfId="84" totalsRowDxfId="83"/>
    <tableColumn id="2" name="Jan" totalsRowFunction="sum" dataDxfId="82" totalsRowDxfId="81">
      <calculatedColumnFormula>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calculatedColumnFormula>
    </tableColumn>
    <tableColumn id="3" name="Feb" totalsRowFunction="sum" dataDxfId="80" totalsRowDxfId="79">
      <calculatedColumnFormula>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calculatedColumnFormula>
    </tableColumn>
    <tableColumn id="4" name="Mar" totalsRowFunction="sum" dataDxfId="78" totalsRowDxfId="77">
      <calculatedColumnFormula>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calculatedColumnFormula>
    </tableColumn>
    <tableColumn id="5" name="Apr" totalsRowFunction="sum" dataDxfId="76" totalsRowDxfId="75">
      <calculatedColumnFormula>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calculatedColumnFormula>
    </tableColumn>
    <tableColumn id="6" name="May" totalsRowFunction="sum" dataDxfId="74" totalsRowDxfId="73">
      <calculatedColumnFormula>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calculatedColumnFormula>
    </tableColumn>
    <tableColumn id="7" name="Jun" totalsRowFunction="sum" dataDxfId="72" totalsRowDxfId="71">
      <calculatedColumnFormula>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calculatedColumnFormula>
    </tableColumn>
    <tableColumn id="8" name="Jul" totalsRowFunction="sum" dataDxfId="70" totalsRowDxfId="69">
      <calculatedColumnFormula>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calculatedColumnFormula>
    </tableColumn>
    <tableColumn id="9" name="Aug" totalsRowFunction="sum" dataDxfId="68" totalsRowDxfId="67">
      <calculatedColumnFormula>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calculatedColumnFormula>
    </tableColumn>
    <tableColumn id="10" name="Sep" totalsRowFunction="sum" dataDxfId="66" totalsRowDxfId="65">
      <calculatedColumnFormula>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calculatedColumnFormula>
    </tableColumn>
    <tableColumn id="11" name="Oct" totalsRowFunction="sum" dataDxfId="64" totalsRowDxfId="63">
      <calculatedColumnFormula>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calculatedColumnFormula>
    </tableColumn>
    <tableColumn id="12" name="Nov" totalsRowFunction="sum" dataDxfId="62" totalsRowDxfId="61">
      <calculatedColumnFormula>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calculatedColumnFormula>
    </tableColumn>
    <tableColumn id="13" name="Dec" totalsRowFunction="sum" dataDxfId="60" totalsRowDxfId="59">
      <calculatedColumnFormula>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calculatedColumnFormula>
    </tableColumn>
    <tableColumn id="14" name="YEAR" totalsRowFunction="sum" dataDxfId="58" totalsRowDxfId="57">
      <calculatedColumnFormula>SUM(MarketingVariances[[#This Row],[Jan]:[Dec]])</calculatedColumnFormula>
    </tableColumn>
  </tableColumns>
  <tableStyleInfo name="TableStyleLight8" showFirstColumn="1" showLastColumn="1" showRowStripes="0" showColumnStripes="0"/>
  <extLst>
    <ext xmlns:x14="http://schemas.microsoft.com/office/spreadsheetml/2009/9/main" uri="{504A1905-F514-4f6f-8877-14C23A59335A}">
      <x14:table altTextSummary="Variance in marketing costs per month is auto-calculated in this table"/>
    </ext>
  </extLst>
</table>
</file>

<file path=xl/tables/table14.xml><?xml version="1.0" encoding="utf-8"?>
<table xmlns="http://schemas.openxmlformats.org/spreadsheetml/2006/main" id="12" name="TrainingAndTravelVariances" displayName="TrainingAndTravelVariances" ref="B30:O33" totalsRowCount="1" headerRowDxfId="56" totalsRowDxfId="53" headerRowBorderDxfId="55" tableBorderDxfId="54" totalsRowBorderDxfId="52">
  <autoFilter ref="B30:O3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Training/Travel" totalsRowLabel="Subtotal" dataDxfId="51" totalsRowDxfId="50"/>
    <tableColumn id="2" name="Jan" totalsRowFunction="sum" dataDxfId="49" totalsRowDxfId="48">
      <calculatedColumnFormula>INDEX(TrainingAndTravelPlan[],MATCH(INDEX(TrainingAndTravelVariances[],ROW()-ROW(TrainingAndTravelVariances[[#Headers],[Jan]]),1),INDEX(TrainingAndTravelPlan[],,1),0),MATCH(TrainingAndTravelVariances[[#Headers],[Jan]],TrainingAndTravelPlan[#Headers],0))-INDEX(TrainingAndTravelActual[],MATCH(INDEX(TrainingAndTravelVariances[],ROW()-ROW(TrainingAndTravelVariances[[#Headers],[Jan]]),1),INDEX(TrainingAndTravelPlan[],,1),0),MATCH(TrainingAndTravelVariances[[#Headers],[Jan]],TrainingAndTravelActual[#Headers],0))</calculatedColumnFormula>
    </tableColumn>
    <tableColumn id="3" name="Feb" totalsRowFunction="sum" dataDxfId="47" totalsRowDxfId="46">
      <calculatedColumnFormula>INDEX(TrainingAndTravelPlan[],MATCH(INDEX(TrainingAndTravelVariances[],ROW()-ROW(TrainingAndTravelVariances[[#Headers],[Feb]]),1),INDEX(TrainingAndTravelPlan[],,1),0),MATCH(TrainingAndTravelVariances[[#Headers],[Feb]],TrainingAndTravelPlan[#Headers],0))-INDEX(TrainingAndTravelActual[],MATCH(INDEX(TrainingAndTravelVariances[],ROW()-ROW(TrainingAndTravelVariances[[#Headers],[Feb]]),1),INDEX(TrainingAndTravelPlan[],,1),0),MATCH(TrainingAndTravelVariances[[#Headers],[Feb]],TrainingAndTravelActual[#Headers],0))</calculatedColumnFormula>
    </tableColumn>
    <tableColumn id="4" name="Mar" totalsRowFunction="sum" dataDxfId="45" totalsRowDxfId="44">
      <calculatedColumnFormula>INDEX(TrainingAndTravelPlan[],MATCH(INDEX(TrainingAndTravelVariances[],ROW()-ROW(TrainingAndTravelVariances[[#Headers],[Mar]]),1),INDEX(TrainingAndTravelPlan[],,1),0),MATCH(TrainingAndTravelVariances[[#Headers],[Mar]],TrainingAndTravelPlan[#Headers],0))-INDEX(TrainingAndTravelActual[],MATCH(INDEX(TrainingAndTravelVariances[],ROW()-ROW(TrainingAndTravelVariances[[#Headers],[Mar]]),1),INDEX(TrainingAndTravelPlan[],,1),0),MATCH(TrainingAndTravelVariances[[#Headers],[Mar]],TrainingAndTravelActual[#Headers],0))</calculatedColumnFormula>
    </tableColumn>
    <tableColumn id="5" name="Apr" totalsRowFunction="sum" dataDxfId="43" totalsRowDxfId="42">
      <calculatedColumnFormula>INDEX(TrainingAndTravelPlan[],MATCH(INDEX(TrainingAndTravelVariances[],ROW()-ROW(TrainingAndTravelVariances[[#Headers],[Apr]]),1),INDEX(TrainingAndTravelPlan[],,1),0),MATCH(TrainingAndTravelVariances[[#Headers],[Apr]],TrainingAndTravelPlan[#Headers],0))-INDEX(TrainingAndTravelActual[],MATCH(INDEX(TrainingAndTravelVariances[],ROW()-ROW(TrainingAndTravelVariances[[#Headers],[Apr]]),1),INDEX(TrainingAndTravelPlan[],,1),0),MATCH(TrainingAndTravelVariances[[#Headers],[Apr]],TrainingAndTravelActual[#Headers],0))</calculatedColumnFormula>
    </tableColumn>
    <tableColumn id="6" name="May" totalsRowFunction="sum" dataDxfId="41" totalsRowDxfId="40">
      <calculatedColumnFormula>INDEX(TrainingAndTravelPlan[],MATCH(INDEX(TrainingAndTravelVariances[],ROW()-ROW(TrainingAndTravelVariances[[#Headers],[May]]),1),INDEX(TrainingAndTravelPlan[],,1),0),MATCH(TrainingAndTravelVariances[[#Headers],[May]],TrainingAndTravelPlan[#Headers],0))-INDEX(TrainingAndTravelActual[],MATCH(INDEX(TrainingAndTravelVariances[],ROW()-ROW(TrainingAndTravelVariances[[#Headers],[May]]),1),INDEX(TrainingAndTravelPlan[],,1),0),MATCH(TrainingAndTravelVariances[[#Headers],[May]],TrainingAndTravelActual[#Headers],0))</calculatedColumnFormula>
    </tableColumn>
    <tableColumn id="7" name="Jun" totalsRowFunction="sum" dataDxfId="39" totalsRowDxfId="38">
      <calculatedColumnFormula>INDEX(TrainingAndTravelPlan[],MATCH(INDEX(TrainingAndTravelVariances[],ROW()-ROW(TrainingAndTravelVariances[[#Headers],[Jun]]),1),INDEX(TrainingAndTravelPlan[],,1),0),MATCH(TrainingAndTravelVariances[[#Headers],[Jun]],TrainingAndTravelPlan[#Headers],0))-INDEX(TrainingAndTravelActual[],MATCH(INDEX(TrainingAndTravelVariances[],ROW()-ROW(TrainingAndTravelVariances[[#Headers],[Jun]]),1),INDEX(TrainingAndTravelPlan[],,1),0),MATCH(TrainingAndTravelVariances[[#Headers],[Jun]],TrainingAndTravelActual[#Headers],0))</calculatedColumnFormula>
    </tableColumn>
    <tableColumn id="8" name="Jul" totalsRowFunction="sum" dataDxfId="37" totalsRowDxfId="36">
      <calculatedColumnFormula>INDEX(TrainingAndTravelPlan[],MATCH(INDEX(TrainingAndTravelVariances[],ROW()-ROW(TrainingAndTravelVariances[[#Headers],[Jul]]),1),INDEX(TrainingAndTravelPlan[],,1),0),MATCH(TrainingAndTravelVariances[[#Headers],[Jul]],TrainingAndTravelPlan[#Headers],0))-INDEX(TrainingAndTravelActual[],MATCH(INDEX(TrainingAndTravelVariances[],ROW()-ROW(TrainingAndTravelVariances[[#Headers],[Jul]]),1),INDEX(TrainingAndTravelPlan[],,1),0),MATCH(TrainingAndTravelVariances[[#Headers],[Jul]],TrainingAndTravelActual[#Headers],0))</calculatedColumnFormula>
    </tableColumn>
    <tableColumn id="9" name="Aug" totalsRowFunction="sum" dataDxfId="35" totalsRowDxfId="34">
      <calculatedColumnFormula>INDEX(TrainingAndTravelPlan[],MATCH(INDEX(TrainingAndTravelVariances[],ROW()-ROW(TrainingAndTravelVariances[[#Headers],[Aug]]),1),INDEX(TrainingAndTravelPlan[],,1),0),MATCH(TrainingAndTravelVariances[[#Headers],[Aug]],TrainingAndTravelPlan[#Headers],0))-INDEX(TrainingAndTravelActual[],MATCH(INDEX(TrainingAndTravelVariances[],ROW()-ROW(TrainingAndTravelVariances[[#Headers],[Aug]]),1),INDEX(TrainingAndTravelPlan[],,1),0),MATCH(TrainingAndTravelVariances[[#Headers],[Aug]],TrainingAndTravelActual[#Headers],0))</calculatedColumnFormula>
    </tableColumn>
    <tableColumn id="10" name="Sep" totalsRowFunction="sum" dataDxfId="33" totalsRowDxfId="32">
      <calculatedColumnFormula>INDEX(TrainingAndTravelPlan[],MATCH(INDEX(TrainingAndTravelVariances[],ROW()-ROW(TrainingAndTravelVariances[[#Headers],[Sep]]),1),INDEX(TrainingAndTravelPlan[],,1),0),MATCH(TrainingAndTravelVariances[[#Headers],[Sep]],TrainingAndTravelPlan[#Headers],0))-INDEX(TrainingAndTravelActual[],MATCH(INDEX(TrainingAndTravelVariances[],ROW()-ROW(TrainingAndTravelVariances[[#Headers],[Sep]]),1),INDEX(TrainingAndTravelPlan[],,1),0),MATCH(TrainingAndTravelVariances[[#Headers],[Sep]],TrainingAndTravelActual[#Headers],0))</calculatedColumnFormula>
    </tableColumn>
    <tableColumn id="11" name="Oct" totalsRowFunction="sum" dataDxfId="31" totalsRowDxfId="30">
      <calculatedColumnFormula>INDEX(TrainingAndTravelPlan[],MATCH(INDEX(TrainingAndTravelVariances[],ROW()-ROW(TrainingAndTravelVariances[[#Headers],[Oct]]),1),INDEX(TrainingAndTravelPlan[],,1),0),MATCH(TrainingAndTravelVariances[[#Headers],[Oct]],TrainingAndTravelPlan[#Headers],0))-INDEX(TrainingAndTravelActual[],MATCH(INDEX(TrainingAndTravelVariances[],ROW()-ROW(TrainingAndTravelVariances[[#Headers],[Oct]]),1),INDEX(TrainingAndTravelPlan[],,1),0),MATCH(TrainingAndTravelVariances[[#Headers],[Oct]],TrainingAndTravelActual[#Headers],0))</calculatedColumnFormula>
    </tableColumn>
    <tableColumn id="12" name="Nov" totalsRowFunction="sum" dataDxfId="29" totalsRowDxfId="28">
      <calculatedColumnFormula>INDEX(TrainingAndTravelPlan[],MATCH(INDEX(TrainingAndTravelVariances[],ROW()-ROW(TrainingAndTravelVariances[[#Headers],[Nov]]),1),INDEX(TrainingAndTravelPlan[],,1),0),MATCH(TrainingAndTravelVariances[[#Headers],[Nov]],TrainingAndTravelPlan[#Headers],0))-INDEX(TrainingAndTravelActual[],MATCH(INDEX(TrainingAndTravelVariances[],ROW()-ROW(TrainingAndTravelVariances[[#Headers],[Nov]]),1),INDEX(TrainingAndTravelPlan[],,1),0),MATCH(TrainingAndTravelVariances[[#Headers],[Nov]],TrainingAndTravelActual[#Headers],0))</calculatedColumnFormula>
    </tableColumn>
    <tableColumn id="13" name="Dec" totalsRowFunction="sum" dataDxfId="27" totalsRowDxfId="26">
      <calculatedColumnFormula>INDEX(TrainingAndTravelPlan[],MATCH(INDEX(TrainingAndTravelVariances[],ROW()-ROW(TrainingAndTravelVariances[[#Headers],[Dec]]),1),INDEX(TrainingAndTravelPlan[],,1),0),MATCH(TrainingAndTravelVariances[[#Headers],[Dec]],TrainingAndTravelPlan[#Headers],0))-INDEX(TrainingAndTravelActual[],MATCH(INDEX(TrainingAndTravelVariances[],ROW()-ROW(TrainingAndTravelVariances[[#Headers],[Dec]]),1),INDEX(TrainingAndTravelPlan[],,1),0),MATCH(TrainingAndTravelVariances[[#Headers],[Dec]],TrainingAndTravelActual[#Headers],0))</calculatedColumnFormula>
    </tableColumn>
    <tableColumn id="14" name="YEAR" totalsRowFunction="sum" dataDxfId="25" totalsRowDxfId="24">
      <calculatedColumnFormula>SUM(TrainingAndTravelVariances[[#This Row],[Jan]:[Dec]])</calculatedColumnFormula>
    </tableColumn>
  </tableColumns>
  <tableStyleInfo name="TableStyleLight8" showFirstColumn="1" showLastColumn="1" showRowStripes="0" showColumnStripes="0"/>
  <extLst>
    <ext xmlns:x14="http://schemas.microsoft.com/office/spreadsheetml/2009/9/main" uri="{504A1905-F514-4f6f-8877-14C23A59335A}">
      <x14:table altTextSummary="Variance in training and travel costs per month is auto-calculated in this table"/>
    </ext>
  </extLst>
</table>
</file>

<file path=xl/tables/table15.xml><?xml version="1.0" encoding="utf-8"?>
<table xmlns="http://schemas.openxmlformats.org/spreadsheetml/2006/main" id="16" name="TotalVariances" displayName="TotalVariances" ref="B35:O37" totalsRowShown="0" headerRowDxfId="23" dataDxfId="22" tableBorderDxfId="21" headerRowCellStyle="Heading 3">
  <autoFilter ref="B35:O3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TOTALS" dataDxfId="20"/>
    <tableColumn id="2" name="Jan" dataDxfId="19">
      <calculatedColumnFormula>SUM($C35:C$36)</calculatedColumnFormula>
    </tableColumn>
    <tableColumn id="3" name="Feb" dataDxfId="18">
      <calculatedColumnFormula>SUM($C35:D$36)</calculatedColumnFormula>
    </tableColumn>
    <tableColumn id="4" name="Mar" dataDxfId="17">
      <calculatedColumnFormula>SUM($C35:E$36)</calculatedColumnFormula>
    </tableColumn>
    <tableColumn id="5" name="Apr" dataDxfId="16">
      <calculatedColumnFormula>SUM($C35:F$36)</calculatedColumnFormula>
    </tableColumn>
    <tableColumn id="6" name="May" dataDxfId="15">
      <calculatedColumnFormula>SUM($C35:G$36)</calculatedColumnFormula>
    </tableColumn>
    <tableColumn id="7" name="Jun" dataDxfId="14">
      <calculatedColumnFormula>SUM($C35:H$36)</calculatedColumnFormula>
    </tableColumn>
    <tableColumn id="8" name="Jul" dataDxfId="13">
      <calculatedColumnFormula>SUM($C35:I$36)</calculatedColumnFormula>
    </tableColumn>
    <tableColumn id="9" name="Aug" dataDxfId="12">
      <calculatedColumnFormula>SUM($C35:J$36)</calculatedColumnFormula>
    </tableColumn>
    <tableColumn id="10" name="Sep" dataDxfId="11">
      <calculatedColumnFormula>SUM($C35:K$36)</calculatedColumnFormula>
    </tableColumn>
    <tableColumn id="11" name="Oct" dataDxfId="10">
      <calculatedColumnFormula>SUM($C35:L$36)</calculatedColumnFormula>
    </tableColumn>
    <tableColumn id="12" name="Nov" dataDxfId="9">
      <calculatedColumnFormula>SUM($C35:M$36)</calculatedColumnFormula>
    </tableColumn>
    <tableColumn id="13" name="Dec" dataDxfId="8">
      <calculatedColumnFormula>SUM($C35:N$36)</calculatedColumnFormula>
    </tableColumn>
    <tableColumn id="14" name="Year" dataDxfId="7"/>
  </tableColumns>
  <tableStyleInfo showFirstColumn="1" showLastColumn="0" showRowStripes="0" showColumnStripes="0"/>
  <extLst>
    <ext xmlns:x14="http://schemas.microsoft.com/office/spreadsheetml/2009/9/main" uri="{504A1905-F514-4f6f-8877-14C23A59335A}">
      <x14:table altTextSummary="Monthly and Total Expense Variance are auto-calculated in this table"/>
    </ext>
  </extLst>
</table>
</file>

<file path=xl/tables/table16.xml><?xml version="1.0" encoding="utf-8"?>
<table xmlns="http://schemas.openxmlformats.org/spreadsheetml/2006/main" id="13" name="Analysis" displayName="Analysis" ref="B5:F10" totalsRowShown="0" dataDxfId="6" tableBorderDxfId="5">
  <autoFilter ref="B5:F10">
    <filterColumn colId="0" hiddenButton="1"/>
    <filterColumn colId="1" hiddenButton="1"/>
    <filterColumn colId="2" hiddenButton="1"/>
    <filterColumn colId="3" hiddenButton="1"/>
    <filterColumn colId="4" hiddenButton="1"/>
  </autoFilter>
  <tableColumns count="5">
    <tableColumn id="1" name="Expense Category" dataDxfId="4"/>
    <tableColumn id="2" name="Planned Expenses" dataDxfId="3"/>
    <tableColumn id="3" name="Actual Expenses" dataDxfId="2"/>
    <tableColumn id="4" name="Expense Variances" dataDxfId="1">
      <calculatedColumnFormula>C6-D6</calculatedColumnFormula>
    </tableColumn>
    <tableColumn id="5" name="Variance Percentage" dataDxfId="0">
      <calculatedColumnFormula>E6/C6</calculatedColumnFormula>
    </tableColumn>
  </tableColumns>
  <tableStyleInfo showFirstColumn="1" showLastColumn="0" showRowStripes="0" showColumnStripes="0"/>
</table>
</file>

<file path=xl/tables/table2.xml><?xml version="1.0" encoding="utf-8"?>
<table xmlns="http://schemas.openxmlformats.org/spreadsheetml/2006/main" id="2" name="MarketingPlan" displayName="MarketingPlan" ref="B21:O28" totalsRowCount="1" headerRowDxfId="410" totalsRowDxfId="407" headerRowBorderDxfId="409" tableBorderDxfId="408" totalsRowBorderDxfId="406">
  <autoFilter ref="B21:O2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Marketing Costs" totalsRowLabel="Subtotal" dataDxfId="405" totalsRowDxfId="404"/>
    <tableColumn id="2" name="Jan" totalsRowFunction="sum" dataDxfId="403" totalsRowDxfId="402"/>
    <tableColumn id="3" name="Feb" totalsRowFunction="sum" dataDxfId="401" totalsRowDxfId="400"/>
    <tableColumn id="4" name="Mar" totalsRowFunction="sum" dataDxfId="399" totalsRowDxfId="398"/>
    <tableColumn id="5" name="Apr" totalsRowFunction="sum" dataDxfId="397" totalsRowDxfId="396"/>
    <tableColumn id="6" name="May" totalsRowFunction="sum" dataDxfId="395" totalsRowDxfId="394"/>
    <tableColumn id="7" name="Jun" totalsRowFunction="sum" dataDxfId="393" totalsRowDxfId="392"/>
    <tableColumn id="8" name="Jul" totalsRowFunction="sum" dataDxfId="391" totalsRowDxfId="390"/>
    <tableColumn id="9" name="Aug" totalsRowFunction="sum" dataDxfId="389" totalsRowDxfId="388"/>
    <tableColumn id="10" name="Sep" totalsRowFunction="sum" dataDxfId="387" totalsRowDxfId="386"/>
    <tableColumn id="11" name="Oct" totalsRowFunction="sum" dataDxfId="385" totalsRowDxfId="384"/>
    <tableColumn id="12" name="Nov" totalsRowFunction="sum" dataDxfId="383" totalsRowDxfId="382"/>
    <tableColumn id="13" name="Dec" totalsRowFunction="sum" dataDxfId="381" totalsRowDxfId="380"/>
    <tableColumn id="14" name="YEAR" totalsRowFunction="sum" dataDxfId="379" totalsRowDxfId="378">
      <calculatedColumnFormula>SUM(C22:N22)</calculatedColumnFormula>
    </tableColumn>
  </tableColumns>
  <tableStyleInfo name="TableStyleMedium1" showFirstColumn="1" showLastColumn="1" showRowStripes="0" showColumnStripes="0"/>
  <extLst>
    <ext xmlns:x14="http://schemas.microsoft.com/office/spreadsheetml/2009/9/main" uri="{504A1905-F514-4f6f-8877-14C23A59335A}">
      <x14:table altTextSummary="Enter planned monthly marketing costs in this table. Total is auto-calculated at the end"/>
    </ext>
  </extLst>
</table>
</file>

<file path=xl/tables/table3.xml><?xml version="1.0" encoding="utf-8"?>
<table xmlns="http://schemas.openxmlformats.org/spreadsheetml/2006/main" id="3" name="TrainingAndTravelPlan" displayName="TrainingAndTravelPlan" ref="B30:O33" totalsRowCount="1" headerRowDxfId="377" totalsRowDxfId="374" headerRowBorderDxfId="376" tableBorderDxfId="375" totalsRowBorderDxfId="373">
  <autoFilter ref="B30:O3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Training/Travel" totalsRowLabel="Subtotal" dataDxfId="372" totalsRowDxfId="371"/>
    <tableColumn id="2" name="Jan" totalsRowFunction="sum" dataDxfId="370" totalsRowDxfId="369"/>
    <tableColumn id="3" name="Feb" totalsRowFunction="sum" dataDxfId="368" totalsRowDxfId="367"/>
    <tableColumn id="4" name="Mar" totalsRowFunction="sum" dataDxfId="366" totalsRowDxfId="365"/>
    <tableColumn id="5" name="Apr" totalsRowFunction="sum" dataDxfId="364" totalsRowDxfId="363"/>
    <tableColumn id="6" name="May" totalsRowFunction="sum" dataDxfId="362" totalsRowDxfId="361"/>
    <tableColumn id="7" name="Jun" totalsRowFunction="sum" dataDxfId="360" totalsRowDxfId="359"/>
    <tableColumn id="8" name="Jul" totalsRowFunction="sum" dataDxfId="358" totalsRowDxfId="357"/>
    <tableColumn id="9" name="Aug" totalsRowFunction="sum" dataDxfId="356" totalsRowDxfId="355"/>
    <tableColumn id="10" name="Sep" totalsRowFunction="sum" dataDxfId="354" totalsRowDxfId="353"/>
    <tableColumn id="11" name="Oct" totalsRowFunction="sum" dataDxfId="352" totalsRowDxfId="351"/>
    <tableColumn id="12" name="Nov" totalsRowFunction="sum" dataDxfId="350" totalsRowDxfId="349"/>
    <tableColumn id="13" name="Dec" totalsRowFunction="sum" dataDxfId="348" totalsRowDxfId="347"/>
    <tableColumn id="14" name="YEAR" totalsRowFunction="sum" dataDxfId="346" totalsRowDxfId="345">
      <calculatedColumnFormula>SUM(C31:N31)</calculatedColumnFormula>
    </tableColumn>
  </tableColumns>
  <tableStyleInfo name="TableStyleMedium1" showFirstColumn="1" showLastColumn="1" showRowStripes="0" showColumnStripes="0"/>
  <extLst>
    <ext xmlns:x14="http://schemas.microsoft.com/office/spreadsheetml/2009/9/main" uri="{504A1905-F514-4f6f-8877-14C23A59335A}">
      <x14:table altTextSummary="Enter planned monthly training and travel costs in this table. Total is auto-calculated at the end"/>
    </ext>
  </extLst>
</table>
</file>

<file path=xl/tables/table4.xml><?xml version="1.0" encoding="utf-8"?>
<table xmlns="http://schemas.openxmlformats.org/spreadsheetml/2006/main" id="7" name="EmployeePlan" displayName="EmployeePlan" ref="B5:O8" totalsRowCount="1" headerRowDxfId="344" totalsRowDxfId="341" headerRowBorderDxfId="343" tableBorderDxfId="342" totalsRowBorderDxfId="340">
  <autoFilter ref="B5:O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Employee Costs" totalsRowLabel="Subtotal" dataDxfId="339" totalsRowDxfId="338"/>
    <tableColumn id="2" name="Jan" totalsRowFunction="sum" dataDxfId="337" totalsRowDxfId="336">
      <calculatedColumnFormula>C5*0.27</calculatedColumnFormula>
    </tableColumn>
    <tableColumn id="3" name="Feb" totalsRowFunction="sum" dataDxfId="335" totalsRowDxfId="334">
      <calculatedColumnFormula>D5*0.27</calculatedColumnFormula>
    </tableColumn>
    <tableColumn id="4" name="Mar" totalsRowFunction="sum" dataDxfId="333" totalsRowDxfId="332">
      <calculatedColumnFormula>E5*0.27</calculatedColumnFormula>
    </tableColumn>
    <tableColumn id="5" name="Apr" totalsRowFunction="sum" dataDxfId="331" totalsRowDxfId="330">
      <calculatedColumnFormula>F5*0.27</calculatedColumnFormula>
    </tableColumn>
    <tableColumn id="6" name="May" totalsRowFunction="sum" dataDxfId="329" totalsRowDxfId="328">
      <calculatedColumnFormula>G5*0.27</calculatedColumnFormula>
    </tableColumn>
    <tableColumn id="7" name="Jun" totalsRowFunction="sum" dataDxfId="327" totalsRowDxfId="326">
      <calculatedColumnFormula>H5*0.27</calculatedColumnFormula>
    </tableColumn>
    <tableColumn id="8" name="Jul" totalsRowFunction="sum" dataDxfId="325" totalsRowDxfId="324">
      <calculatedColumnFormula>I5*0.27</calculatedColumnFormula>
    </tableColumn>
    <tableColumn id="9" name="Aug" totalsRowFunction="sum" dataDxfId="323" totalsRowDxfId="322">
      <calculatedColumnFormula>J5*0.27</calculatedColumnFormula>
    </tableColumn>
    <tableColumn id="10" name="Sep" totalsRowFunction="sum" dataDxfId="321" totalsRowDxfId="320">
      <calculatedColumnFormula>K5*0.27</calculatedColumnFormula>
    </tableColumn>
    <tableColumn id="11" name="Oct" totalsRowFunction="sum" dataDxfId="319" totalsRowDxfId="318">
      <calculatedColumnFormula>L5*0.27</calculatedColumnFormula>
    </tableColumn>
    <tableColumn id="12" name="Nov" totalsRowFunction="sum" dataDxfId="317" totalsRowDxfId="316">
      <calculatedColumnFormula>M5*0.27</calculatedColumnFormula>
    </tableColumn>
    <tableColumn id="13" name="Dec" totalsRowFunction="sum" dataDxfId="315" totalsRowDxfId="314">
      <calculatedColumnFormula>N5*0.27</calculatedColumnFormula>
    </tableColumn>
    <tableColumn id="14" name="YEAR" totalsRowFunction="sum" dataDxfId="313" totalsRowDxfId="312">
      <calculatedColumnFormula>SUM(C6:N6)</calculatedColumnFormula>
    </tableColumn>
  </tableColumns>
  <tableStyleInfo name="TableStyleMedium1" showFirstColumn="1" showLastColumn="1" showRowStripes="1" showColumnStripes="0"/>
  <extLst>
    <ext xmlns:x14="http://schemas.microsoft.com/office/spreadsheetml/2009/9/main" uri="{504A1905-F514-4f6f-8877-14C23A59335A}">
      <x14:table altTextSummary="Enter planned monthly employee costs in this table. Total is auto-calculated at the end"/>
    </ext>
  </extLst>
</table>
</file>

<file path=xl/tables/table5.xml><?xml version="1.0" encoding="utf-8"?>
<table xmlns="http://schemas.openxmlformats.org/spreadsheetml/2006/main" id="14" name="PlannedTotal" displayName="PlannedTotal" ref="B35:O37" totalsRowShown="0" headerRowDxfId="311" dataDxfId="309" headerRowBorderDxfId="310" tableBorderDxfId="308" totalsRowBorderDxfId="307" headerRowCellStyle="Heading 3">
  <autoFilter ref="B35:O3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TOTALS" dataDxfId="306"/>
    <tableColumn id="2" name="Jan" dataDxfId="305">
      <calculatedColumnFormula>SUM($C35:C$36)</calculatedColumnFormula>
    </tableColumn>
    <tableColumn id="3" name="Feb" dataDxfId="304">
      <calculatedColumnFormula>SUM($C35:D$36)</calculatedColumnFormula>
    </tableColumn>
    <tableColumn id="4" name="Mar" dataDxfId="303">
      <calculatedColumnFormula>SUM($C35:E$36)</calculatedColumnFormula>
    </tableColumn>
    <tableColumn id="5" name="Apr" dataDxfId="302">
      <calculatedColumnFormula>SUM($C35:F$36)</calculatedColumnFormula>
    </tableColumn>
    <tableColumn id="6" name="May" dataDxfId="301">
      <calculatedColumnFormula>SUM($C35:G$36)</calculatedColumnFormula>
    </tableColumn>
    <tableColumn id="7" name="Jun" dataDxfId="300">
      <calculatedColumnFormula>SUM($C35:H$36)</calculatedColumnFormula>
    </tableColumn>
    <tableColumn id="8" name="Jul" dataDxfId="299">
      <calculatedColumnFormula>SUM($C35:I$36)</calculatedColumnFormula>
    </tableColumn>
    <tableColumn id="9" name="Aug" dataDxfId="298">
      <calculatedColumnFormula>SUM($C35:J$36)</calculatedColumnFormula>
    </tableColumn>
    <tableColumn id="10" name="Sep" dataDxfId="297">
      <calculatedColumnFormula>SUM($C35:K$36)</calculatedColumnFormula>
    </tableColumn>
    <tableColumn id="11" name="Oct" dataDxfId="296">
      <calculatedColumnFormula>SUM($C35:L$36)</calculatedColumnFormula>
    </tableColumn>
    <tableColumn id="12" name="Nov" dataDxfId="295">
      <calculatedColumnFormula>SUM($C35:M$36)</calculatedColumnFormula>
    </tableColumn>
    <tableColumn id="13" name="Dec" dataDxfId="294">
      <calculatedColumnFormula>SUM($C35:N$36)</calculatedColumnFormula>
    </tableColumn>
    <tableColumn id="14" name="Year" dataDxfId="293"/>
  </tableColumns>
  <tableStyleInfo showFirstColumn="1" showLastColumn="0" showRowStripes="0" showColumnStripes="0"/>
  <extLst>
    <ext xmlns:x14="http://schemas.microsoft.com/office/spreadsheetml/2009/9/main" uri="{504A1905-F514-4f6f-8877-14C23A59335A}">
      <x14:table altTextSummary="Monthly and Total Planned Expenses are auto-calculated in this table"/>
    </ext>
  </extLst>
</table>
</file>

<file path=xl/tables/table6.xml><?xml version="1.0" encoding="utf-8"?>
<table xmlns="http://schemas.openxmlformats.org/spreadsheetml/2006/main" id="4" name="OfficeActual" displayName="OfficeActual" ref="B10:O19" totalsRowCount="1" headerRowDxfId="292" totalsRowDxfId="289" headerRowBorderDxfId="291" tableBorderDxfId="290" totalsRowBorderDxfId="288">
  <autoFilter ref="B10:O1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Office Costs" totalsRowLabel="Subtotal" dataDxfId="287" totalsRowDxfId="286"/>
    <tableColumn id="2" name="Jan" totalsRowFunction="sum" dataDxfId="285" totalsRowDxfId="284"/>
    <tableColumn id="3" name="Feb" totalsRowFunction="sum" dataDxfId="283" totalsRowDxfId="282"/>
    <tableColumn id="4" name="Mar" totalsRowFunction="sum" dataDxfId="281" totalsRowDxfId="280"/>
    <tableColumn id="5" name="Apr" totalsRowFunction="sum" dataDxfId="279" totalsRowDxfId="278"/>
    <tableColumn id="6" name="May" totalsRowFunction="sum" dataDxfId="277" totalsRowDxfId="276"/>
    <tableColumn id="7" name="Jun" totalsRowFunction="sum" dataDxfId="275" totalsRowDxfId="274"/>
    <tableColumn id="8" name="Jul" totalsRowFunction="sum" dataDxfId="273" totalsRowDxfId="272"/>
    <tableColumn id="9" name="Aug" totalsRowFunction="sum" dataDxfId="271" totalsRowDxfId="270"/>
    <tableColumn id="10" name="Sep" totalsRowFunction="sum" dataDxfId="269" totalsRowDxfId="268"/>
    <tableColumn id="11" name="Oct" totalsRowFunction="sum" dataDxfId="267" totalsRowDxfId="266"/>
    <tableColumn id="12" name="Nov" totalsRowFunction="sum" dataDxfId="265" totalsRowDxfId="264"/>
    <tableColumn id="13" name="Dec" totalsRowFunction="sum" dataDxfId="263" totalsRowDxfId="262"/>
    <tableColumn id="14" name="YEAR" totalsRowFunction="sum" dataDxfId="261" totalsRowDxfId="260">
      <calculatedColumnFormula>SUM(C11:N11)</calculatedColumnFormula>
    </tableColumn>
  </tableColumns>
  <tableStyleInfo name="TableStyleMedium1" showFirstColumn="1" showLastColumn="1" showRowStripes="0" showColumnStripes="0"/>
  <extLst>
    <ext xmlns:x14="http://schemas.microsoft.com/office/spreadsheetml/2009/9/main" uri="{504A1905-F514-4f6f-8877-14C23A59335A}">
      <x14:table altTextSummary="Enter actual monthly office costs in this table. Total is auto-calculated at the end"/>
    </ext>
  </extLst>
</table>
</file>

<file path=xl/tables/table7.xml><?xml version="1.0" encoding="utf-8"?>
<table xmlns="http://schemas.openxmlformats.org/spreadsheetml/2006/main" id="5" name="MarketingActual" displayName="MarketingActual" ref="B21:O28" totalsRowCount="1" headerRowDxfId="259" totalsRowDxfId="256" headerRowBorderDxfId="258" tableBorderDxfId="257" totalsRowBorderDxfId="255">
  <autoFilter ref="B21:O2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Marketing Costs" totalsRowLabel="Subtotal" dataDxfId="254" totalsRowDxfId="253"/>
    <tableColumn id="2" name="Jan" totalsRowFunction="sum" dataDxfId="252" totalsRowDxfId="251"/>
    <tableColumn id="3" name="Feb" totalsRowFunction="sum" dataDxfId="250" totalsRowDxfId="249"/>
    <tableColumn id="4" name="Mar" totalsRowFunction="sum" dataDxfId="248" totalsRowDxfId="247"/>
    <tableColumn id="5" name="Apr" totalsRowFunction="sum" dataDxfId="246" totalsRowDxfId="245"/>
    <tableColumn id="6" name="May" totalsRowFunction="sum" dataDxfId="244" totalsRowDxfId="243"/>
    <tableColumn id="7" name="Jun" totalsRowFunction="sum" dataDxfId="242" totalsRowDxfId="241"/>
    <tableColumn id="8" name="Jul" totalsRowFunction="sum" dataDxfId="240" totalsRowDxfId="239"/>
    <tableColumn id="9" name="Aug" totalsRowFunction="sum" dataDxfId="238" totalsRowDxfId="237"/>
    <tableColumn id="10" name="Sep" totalsRowFunction="sum" dataDxfId="236" totalsRowDxfId="235"/>
    <tableColumn id="11" name="Oct" totalsRowFunction="sum" dataDxfId="234" totalsRowDxfId="233"/>
    <tableColumn id="12" name="Nov" totalsRowFunction="sum" dataDxfId="232" totalsRowDxfId="231"/>
    <tableColumn id="13" name="Dec" totalsRowFunction="sum" dataDxfId="230" totalsRowDxfId="229"/>
    <tableColumn id="14" name="YEAR" totalsRowFunction="sum" dataDxfId="228" totalsRowDxfId="227">
      <calculatedColumnFormula>SUM(C22:N22)</calculatedColumnFormula>
    </tableColumn>
  </tableColumns>
  <tableStyleInfo name="TableStyleMedium1" showFirstColumn="1" showLastColumn="1" showRowStripes="0" showColumnStripes="0"/>
  <extLst>
    <ext xmlns:x14="http://schemas.microsoft.com/office/spreadsheetml/2009/9/main" uri="{504A1905-F514-4f6f-8877-14C23A59335A}">
      <x14:table altTextSummary="Enter actual monthly marketing costs in this table. Total is auto-calculated at the end"/>
    </ext>
  </extLst>
</table>
</file>

<file path=xl/tables/table8.xml><?xml version="1.0" encoding="utf-8"?>
<table xmlns="http://schemas.openxmlformats.org/spreadsheetml/2006/main" id="6" name="TrainingAndTravelActual" displayName="TrainingAndTravelActual" ref="B30:O33" totalsRowCount="1" headerRowDxfId="226" totalsRowDxfId="223" headerRowBorderDxfId="225" tableBorderDxfId="224" totalsRowBorderDxfId="222">
  <autoFilter ref="B30:O3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Training/Travel" totalsRowLabel="Subtotal" dataDxfId="221" totalsRowDxfId="220"/>
    <tableColumn id="2" name="Jan" totalsRowFunction="sum" dataDxfId="219" totalsRowDxfId="218"/>
    <tableColumn id="3" name="Feb" totalsRowFunction="sum" dataDxfId="217" totalsRowDxfId="216"/>
    <tableColumn id="4" name="Mar" totalsRowFunction="sum" dataDxfId="215" totalsRowDxfId="214"/>
    <tableColumn id="5" name="Apr" totalsRowFunction="sum" dataDxfId="213" totalsRowDxfId="212"/>
    <tableColumn id="6" name="May" totalsRowFunction="sum" dataDxfId="211" totalsRowDxfId="210"/>
    <tableColumn id="7" name="Jun" totalsRowFunction="sum" dataDxfId="209" totalsRowDxfId="208"/>
    <tableColumn id="8" name="Jul" totalsRowFunction="sum" dataDxfId="207" totalsRowDxfId="206"/>
    <tableColumn id="9" name="Aug" totalsRowFunction="sum" dataDxfId="205" totalsRowDxfId="204"/>
    <tableColumn id="10" name="Sep" totalsRowFunction="sum" dataDxfId="203" totalsRowDxfId="202"/>
    <tableColumn id="11" name="Oct" totalsRowFunction="sum" dataDxfId="201" totalsRowDxfId="200"/>
    <tableColumn id="12" name="Nov" totalsRowFunction="sum" dataDxfId="199" totalsRowDxfId="198"/>
    <tableColumn id="13" name="Dec" totalsRowFunction="sum" dataDxfId="197" totalsRowDxfId="196"/>
    <tableColumn id="14" name="YEAR" totalsRowFunction="sum" dataDxfId="195" totalsRowDxfId="194">
      <calculatedColumnFormula>SUM(C31:N31)</calculatedColumnFormula>
    </tableColumn>
  </tableColumns>
  <tableStyleInfo name="TableStyleMedium1" showFirstColumn="1" showLastColumn="1" showRowStripes="0" showColumnStripes="0"/>
  <extLst>
    <ext xmlns:x14="http://schemas.microsoft.com/office/spreadsheetml/2009/9/main" uri="{504A1905-F514-4f6f-8877-14C23A59335A}">
      <x14:table altTextSummary="Enter actual monthly training and travel costs in this table. Total is auto-calculated at the end"/>
    </ext>
  </extLst>
</table>
</file>

<file path=xl/tables/table9.xml><?xml version="1.0" encoding="utf-8"?>
<table xmlns="http://schemas.openxmlformats.org/spreadsheetml/2006/main" id="8" name="EmployeeActual" displayName="EmployeeActual" ref="B5:O8" totalsRowCount="1" headerRowDxfId="193" totalsRowDxfId="190" headerRowBorderDxfId="192" tableBorderDxfId="191" totalsRowBorderDxfId="189">
  <autoFilter ref="B5:O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Employee Costs" totalsRowLabel="Subtotal" dataDxfId="188" totalsRowDxfId="187"/>
    <tableColumn id="2" name="Jan" totalsRowFunction="sum" dataDxfId="186" totalsRowDxfId="185">
      <calculatedColumnFormula>C5*0.27</calculatedColumnFormula>
    </tableColumn>
    <tableColumn id="3" name="Feb" totalsRowFunction="sum" dataDxfId="184" totalsRowDxfId="183">
      <calculatedColumnFormula>D5*0.27</calculatedColumnFormula>
    </tableColumn>
    <tableColumn id="4" name="Mar" totalsRowFunction="sum" dataDxfId="182" totalsRowDxfId="181">
      <calculatedColumnFormula>E5*0.27</calculatedColumnFormula>
    </tableColumn>
    <tableColumn id="5" name="Apr" totalsRowFunction="sum" dataDxfId="180" totalsRowDxfId="179">
      <calculatedColumnFormula>F5*0.27</calculatedColumnFormula>
    </tableColumn>
    <tableColumn id="6" name="May" totalsRowFunction="sum" dataDxfId="178" totalsRowDxfId="177">
      <calculatedColumnFormula>G5*0.27</calculatedColumnFormula>
    </tableColumn>
    <tableColumn id="7" name="Jun" totalsRowFunction="sum" dataDxfId="176" totalsRowDxfId="175">
      <calculatedColumnFormula>H5*0.27</calculatedColumnFormula>
    </tableColumn>
    <tableColumn id="8" name="Jul" totalsRowFunction="sum" dataDxfId="174" totalsRowDxfId="173"/>
    <tableColumn id="9" name="Aug" totalsRowFunction="sum" dataDxfId="172" totalsRowDxfId="171"/>
    <tableColumn id="10" name="Sep" totalsRowFunction="sum" dataDxfId="170" totalsRowDxfId="169"/>
    <tableColumn id="11" name="Oct" totalsRowFunction="sum" dataDxfId="168" totalsRowDxfId="167"/>
    <tableColumn id="12" name="Nov" totalsRowFunction="sum" dataDxfId="166" totalsRowDxfId="165"/>
    <tableColumn id="13" name="Dec" totalsRowFunction="sum" dataDxfId="164" totalsRowDxfId="163"/>
    <tableColumn id="14" name="YEAR" totalsRowFunction="sum" dataDxfId="162" totalsRowDxfId="161">
      <calculatedColumnFormula>SUM(C6:N6)</calculatedColumnFormula>
    </tableColumn>
  </tableColumns>
  <tableStyleInfo name="TableStyleMedium1" showFirstColumn="1" showLastColumn="1" showRowStripes="0" showColumnStripes="0"/>
  <extLst>
    <ext xmlns:x14="http://schemas.microsoft.com/office/spreadsheetml/2009/9/main" uri="{504A1905-F514-4f6f-8877-14C23A59335A}">
      <x14:table altTextSummary="Enter actual monthly employee costs in this table. Total is auto-calculated at the end"/>
    </ext>
  </extLst>
</table>
</file>

<file path=xl/theme/theme1.xml><?xml version="1.0" encoding="utf-8"?>
<a:theme xmlns:a="http://schemas.openxmlformats.org/drawingml/2006/main" name="Office Theme">
  <a:themeElements>
    <a:clrScheme name="Custom 25">
      <a:dk1>
        <a:sysClr val="windowText" lastClr="000000"/>
      </a:dk1>
      <a:lt1>
        <a:srgbClr val="FFFFFF"/>
      </a:lt1>
      <a:dk2>
        <a:srgbClr val="2F4B83"/>
      </a:dk2>
      <a:lt2>
        <a:srgbClr val="F2F2F2"/>
      </a:lt2>
      <a:accent1>
        <a:srgbClr val="CC1D10"/>
      </a:accent1>
      <a:accent2>
        <a:srgbClr val="357B37"/>
      </a:accent2>
      <a:accent3>
        <a:srgbClr val="34A0DC"/>
      </a:accent3>
      <a:accent4>
        <a:srgbClr val="B71F66"/>
      </a:accent4>
      <a:accent5>
        <a:srgbClr val="255D77"/>
      </a:accent5>
      <a:accent6>
        <a:srgbClr val="EF4538"/>
      </a:accent6>
      <a:hlink>
        <a:srgbClr val="7DC6F3"/>
      </a:hlink>
      <a:folHlink>
        <a:srgbClr val="7DC6F3"/>
      </a:folHlink>
    </a:clrScheme>
    <a:fontScheme name="Custom 18">
      <a:majorFont>
        <a:latin typeface="Franklin Gothic Book"/>
        <a:ea typeface=""/>
        <a:cs typeface=""/>
      </a:majorFont>
      <a:minorFont>
        <a:latin typeface="Microsoft Sans Serif"/>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B1:B8"/>
  <sheetViews>
    <sheetView workbookViewId="0"/>
  </sheetViews>
  <sheetFormatPr defaultRowHeight="12.75" x14ac:dyDescent="0.2"/>
  <cols>
    <col min="1" max="1" width="2.7109375" customWidth="1"/>
    <col min="2" max="2" width="75.42578125" customWidth="1"/>
    <col min="3" max="3" width="2.7109375" customWidth="1"/>
  </cols>
  <sheetData>
    <row r="1" spans="2:2" s="31" customFormat="1" ht="30" customHeight="1" x14ac:dyDescent="0.2">
      <c r="B1" s="32" t="s">
        <v>0</v>
      </c>
    </row>
    <row r="2" spans="2:2" ht="36.75" customHeight="1" x14ac:dyDescent="0.2">
      <c r="B2" s="45" t="s">
        <v>1</v>
      </c>
    </row>
    <row r="3" spans="2:2" ht="30" customHeight="1" x14ac:dyDescent="0.2">
      <c r="B3" s="45" t="s">
        <v>2</v>
      </c>
    </row>
    <row r="4" spans="2:2" ht="40.5" customHeight="1" x14ac:dyDescent="0.2">
      <c r="B4" s="45" t="s">
        <v>3</v>
      </c>
    </row>
    <row r="5" spans="2:2" ht="36" customHeight="1" x14ac:dyDescent="0.2">
      <c r="B5" s="45" t="s">
        <v>4</v>
      </c>
    </row>
    <row r="6" spans="2:2" ht="36" customHeight="1" x14ac:dyDescent="0.2">
      <c r="B6" s="47" t="s">
        <v>5</v>
      </c>
    </row>
    <row r="7" spans="2:2" ht="53.25" customHeight="1" x14ac:dyDescent="0.2">
      <c r="B7" s="45" t="s">
        <v>6</v>
      </c>
    </row>
    <row r="8" spans="2:2" ht="40.5" customHeight="1" x14ac:dyDescent="0.25">
      <c r="B8" s="46" t="s">
        <v>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autoPageBreaks="0" fitToPage="1"/>
  </sheetPr>
  <dimension ref="A1:T38"/>
  <sheetViews>
    <sheetView showGridLines="0" tabSelected="1" zoomScaleNormal="100" workbookViewId="0"/>
  </sheetViews>
  <sheetFormatPr defaultColWidth="9.140625" defaultRowHeight="21" customHeight="1" x14ac:dyDescent="0.3"/>
  <cols>
    <col min="1" max="1" width="4.7109375" style="1" customWidth="1"/>
    <col min="2" max="2" width="33.42578125" style="1" customWidth="1"/>
    <col min="3" max="14" width="14.7109375" style="1" customWidth="1"/>
    <col min="15" max="15" width="16.28515625" style="1" customWidth="1"/>
    <col min="16" max="16" width="4.7109375" style="1" customWidth="1"/>
    <col min="17" max="17" width="1.7109375" style="1" customWidth="1"/>
    <col min="18" max="19" width="9.140625" style="1"/>
    <col min="20" max="20" width="11.140625" style="1" customWidth="1"/>
    <col min="21" max="16384" width="9.140625" style="1"/>
  </cols>
  <sheetData>
    <row r="1" spans="1:20" ht="24" customHeight="1" x14ac:dyDescent="0.3">
      <c r="A1" s="35" t="s">
        <v>8</v>
      </c>
      <c r="B1" s="10"/>
      <c r="C1" s="10"/>
      <c r="D1" s="10"/>
      <c r="E1" s="10"/>
      <c r="F1" s="7"/>
      <c r="G1" s="7"/>
      <c r="H1" s="7"/>
      <c r="I1" s="7"/>
      <c r="J1" s="7"/>
      <c r="K1" s="7"/>
      <c r="L1" s="7"/>
      <c r="M1" s="7"/>
      <c r="N1" s="7"/>
      <c r="O1" s="7"/>
      <c r="P1" s="67" t="s">
        <v>74</v>
      </c>
    </row>
    <row r="2" spans="1:20" ht="45" customHeight="1" x14ac:dyDescent="0.35">
      <c r="A2" s="33" t="s">
        <v>9</v>
      </c>
      <c r="B2" s="134" t="s">
        <v>17</v>
      </c>
      <c r="C2" s="134"/>
      <c r="D2" s="134"/>
      <c r="E2" s="123"/>
      <c r="F2" s="8"/>
      <c r="G2" s="8"/>
      <c r="H2" s="8"/>
      <c r="I2" s="8"/>
      <c r="J2" s="8"/>
      <c r="K2" s="131" t="s">
        <v>61</v>
      </c>
      <c r="L2" s="131"/>
      <c r="M2" s="131"/>
      <c r="N2" s="130" t="s">
        <v>69</v>
      </c>
      <c r="O2" s="130"/>
      <c r="P2" s="7"/>
    </row>
    <row r="3" spans="1:20" ht="30" customHeight="1" x14ac:dyDescent="0.3">
      <c r="A3" s="33" t="s">
        <v>10</v>
      </c>
      <c r="B3" s="134"/>
      <c r="C3" s="134"/>
      <c r="D3" s="134"/>
      <c r="E3" s="124"/>
      <c r="F3" s="9"/>
      <c r="G3" s="9"/>
      <c r="H3" s="9"/>
      <c r="I3" s="9"/>
      <c r="J3" s="9"/>
      <c r="K3" s="135" t="s">
        <v>62</v>
      </c>
      <c r="L3" s="135"/>
      <c r="M3" s="135"/>
      <c r="N3" s="130"/>
      <c r="O3" s="130"/>
      <c r="P3" s="7"/>
    </row>
    <row r="4" spans="1:20" s="22" customFormat="1" ht="49.5" customHeight="1" x14ac:dyDescent="0.3">
      <c r="A4" s="36" t="s">
        <v>11</v>
      </c>
      <c r="B4" s="23" t="s">
        <v>18</v>
      </c>
      <c r="C4" s="24" t="s">
        <v>45</v>
      </c>
      <c r="D4" s="24" t="s">
        <v>47</v>
      </c>
      <c r="E4" s="24" t="s">
        <v>49</v>
      </c>
      <c r="F4" s="24" t="s">
        <v>51</v>
      </c>
      <c r="G4" s="24" t="s">
        <v>53</v>
      </c>
      <c r="H4" s="24" t="s">
        <v>55</v>
      </c>
      <c r="I4" s="24" t="s">
        <v>57</v>
      </c>
      <c r="J4" s="24" t="s">
        <v>59</v>
      </c>
      <c r="K4" s="24" t="s">
        <v>63</v>
      </c>
      <c r="L4" s="24" t="s">
        <v>65</v>
      </c>
      <c r="M4" s="24" t="s">
        <v>67</v>
      </c>
      <c r="N4" s="24" t="s">
        <v>70</v>
      </c>
      <c r="O4" s="24" t="s">
        <v>72</v>
      </c>
      <c r="R4" s="128" t="s">
        <v>75</v>
      </c>
      <c r="S4" s="129"/>
      <c r="T4" s="129"/>
    </row>
    <row r="5" spans="1:20" s="3" customFormat="1" ht="24.95" customHeight="1" thickBot="1" x14ac:dyDescent="0.35">
      <c r="A5" s="43" t="s">
        <v>12</v>
      </c>
      <c r="B5" s="48" t="s">
        <v>19</v>
      </c>
      <c r="C5" s="65" t="s">
        <v>46</v>
      </c>
      <c r="D5" s="63" t="s">
        <v>48</v>
      </c>
      <c r="E5" s="63" t="s">
        <v>50</v>
      </c>
      <c r="F5" s="63" t="s">
        <v>52</v>
      </c>
      <c r="G5" s="63" t="s">
        <v>54</v>
      </c>
      <c r="H5" s="63" t="s">
        <v>56</v>
      </c>
      <c r="I5" s="63" t="s">
        <v>58</v>
      </c>
      <c r="J5" s="63" t="s">
        <v>60</v>
      </c>
      <c r="K5" s="63" t="s">
        <v>64</v>
      </c>
      <c r="L5" s="63" t="s">
        <v>66</v>
      </c>
      <c r="M5" s="63" t="s">
        <v>68</v>
      </c>
      <c r="N5" s="63" t="s">
        <v>71</v>
      </c>
      <c r="O5" s="64" t="s">
        <v>72</v>
      </c>
      <c r="R5" s="129"/>
      <c r="S5" s="129"/>
      <c r="T5" s="129"/>
    </row>
    <row r="6" spans="1:20" ht="24.95" customHeight="1" thickBot="1" x14ac:dyDescent="0.35">
      <c r="A6" s="34"/>
      <c r="B6" s="49" t="s">
        <v>20</v>
      </c>
      <c r="C6" s="88">
        <v>85000</v>
      </c>
      <c r="D6" s="89">
        <v>85000</v>
      </c>
      <c r="E6" s="89">
        <v>85000</v>
      </c>
      <c r="F6" s="89">
        <v>87500</v>
      </c>
      <c r="G6" s="89">
        <v>87500</v>
      </c>
      <c r="H6" s="89">
        <v>87500</v>
      </c>
      <c r="I6" s="89">
        <v>87500</v>
      </c>
      <c r="J6" s="89">
        <v>92400</v>
      </c>
      <c r="K6" s="89">
        <v>92400</v>
      </c>
      <c r="L6" s="89">
        <v>92400</v>
      </c>
      <c r="M6" s="89">
        <v>92400</v>
      </c>
      <c r="N6" s="89">
        <v>92400</v>
      </c>
      <c r="O6" s="90">
        <f>SUM(C6:N6)</f>
        <v>1067000</v>
      </c>
      <c r="R6" s="129"/>
      <c r="S6" s="129"/>
      <c r="T6" s="129"/>
    </row>
    <row r="7" spans="1:20" ht="24.95" customHeight="1" thickBot="1" x14ac:dyDescent="0.35">
      <c r="A7" s="34"/>
      <c r="B7" s="49" t="s">
        <v>21</v>
      </c>
      <c r="C7" s="88">
        <f t="shared" ref="C7:N7" si="0">C6*0.27</f>
        <v>22950</v>
      </c>
      <c r="D7" s="89">
        <f t="shared" si="0"/>
        <v>22950</v>
      </c>
      <c r="E7" s="89">
        <f t="shared" si="0"/>
        <v>22950</v>
      </c>
      <c r="F7" s="89">
        <f t="shared" si="0"/>
        <v>23625</v>
      </c>
      <c r="G7" s="89">
        <f t="shared" si="0"/>
        <v>23625</v>
      </c>
      <c r="H7" s="89">
        <f t="shared" si="0"/>
        <v>23625</v>
      </c>
      <c r="I7" s="89">
        <f t="shared" si="0"/>
        <v>23625</v>
      </c>
      <c r="J7" s="89">
        <f t="shared" si="0"/>
        <v>24948</v>
      </c>
      <c r="K7" s="89">
        <f t="shared" si="0"/>
        <v>24948</v>
      </c>
      <c r="L7" s="89">
        <f t="shared" si="0"/>
        <v>24948</v>
      </c>
      <c r="M7" s="89">
        <f t="shared" si="0"/>
        <v>24948</v>
      </c>
      <c r="N7" s="89">
        <f t="shared" si="0"/>
        <v>24948</v>
      </c>
      <c r="O7" s="90">
        <f>SUM(C7:N7)</f>
        <v>288090</v>
      </c>
      <c r="R7" s="129"/>
      <c r="S7" s="129"/>
      <c r="T7" s="129"/>
    </row>
    <row r="8" spans="1:20" ht="24.95" customHeight="1" x14ac:dyDescent="0.3">
      <c r="A8" s="34"/>
      <c r="B8" s="50" t="s">
        <v>22</v>
      </c>
      <c r="C8" s="91">
        <f>SUBTOTAL(109,EmployeePlan[Jan])</f>
        <v>107950</v>
      </c>
      <c r="D8" s="92">
        <f>SUBTOTAL(109,EmployeePlan[Feb])</f>
        <v>107950</v>
      </c>
      <c r="E8" s="92">
        <f>SUBTOTAL(109,EmployeePlan[Mar])</f>
        <v>107950</v>
      </c>
      <c r="F8" s="92">
        <f>SUBTOTAL(109,EmployeePlan[Apr])</f>
        <v>111125</v>
      </c>
      <c r="G8" s="92">
        <f>SUBTOTAL(109,EmployeePlan[May])</f>
        <v>111125</v>
      </c>
      <c r="H8" s="92">
        <f>SUBTOTAL(109,EmployeePlan[Jun])</f>
        <v>111125</v>
      </c>
      <c r="I8" s="92">
        <f>SUBTOTAL(109,EmployeePlan[Jul])</f>
        <v>111125</v>
      </c>
      <c r="J8" s="92">
        <f>SUBTOTAL(109,EmployeePlan[Aug])</f>
        <v>117348</v>
      </c>
      <c r="K8" s="92">
        <f>SUBTOTAL(109,EmployeePlan[Sep])</f>
        <v>117348</v>
      </c>
      <c r="L8" s="92">
        <f>SUBTOTAL(109,EmployeePlan[Oct])</f>
        <v>117348</v>
      </c>
      <c r="M8" s="92">
        <f>SUBTOTAL(109,EmployeePlan[Nov])</f>
        <v>117348</v>
      </c>
      <c r="N8" s="92">
        <f>SUBTOTAL(109,EmployeePlan[Dec])</f>
        <v>117348</v>
      </c>
      <c r="O8" s="93">
        <f>SUBTOTAL(109,EmployeePlan[YEAR])</f>
        <v>1355090</v>
      </c>
      <c r="R8" s="129"/>
      <c r="S8" s="129"/>
      <c r="T8" s="129"/>
    </row>
    <row r="9" spans="1:20" ht="21" customHeight="1" thickBot="1" x14ac:dyDescent="0.35">
      <c r="A9" s="34"/>
      <c r="B9" s="132"/>
      <c r="C9" s="132"/>
      <c r="D9" s="127"/>
      <c r="E9" s="127"/>
      <c r="F9" s="127"/>
      <c r="G9" s="127"/>
      <c r="H9" s="127"/>
      <c r="I9" s="127"/>
      <c r="J9" s="127"/>
      <c r="K9" s="127"/>
      <c r="L9" s="127"/>
      <c r="M9" s="127"/>
      <c r="N9" s="127"/>
      <c r="O9" s="125"/>
      <c r="R9" s="129"/>
      <c r="S9" s="129"/>
      <c r="T9" s="129"/>
    </row>
    <row r="10" spans="1:20" ht="24.95" customHeight="1" thickBot="1" x14ac:dyDescent="0.35">
      <c r="A10" s="34" t="s">
        <v>13</v>
      </c>
      <c r="B10" s="59" t="s">
        <v>23</v>
      </c>
      <c r="C10" s="56" t="s">
        <v>46</v>
      </c>
      <c r="D10" s="57" t="s">
        <v>48</v>
      </c>
      <c r="E10" s="94" t="s">
        <v>50</v>
      </c>
      <c r="F10" s="57" t="s">
        <v>52</v>
      </c>
      <c r="G10" s="57" t="s">
        <v>54</v>
      </c>
      <c r="H10" s="57" t="s">
        <v>56</v>
      </c>
      <c r="I10" s="57" t="s">
        <v>58</v>
      </c>
      <c r="J10" s="57" t="s">
        <v>60</v>
      </c>
      <c r="K10" s="57" t="s">
        <v>64</v>
      </c>
      <c r="L10" s="57" t="s">
        <v>66</v>
      </c>
      <c r="M10" s="57" t="s">
        <v>68</v>
      </c>
      <c r="N10" s="57" t="s">
        <v>71</v>
      </c>
      <c r="O10" s="58" t="s">
        <v>72</v>
      </c>
      <c r="R10" s="129"/>
      <c r="S10" s="129"/>
      <c r="T10" s="129"/>
    </row>
    <row r="11" spans="1:20" ht="24.95" customHeight="1" thickBot="1" x14ac:dyDescent="0.35">
      <c r="A11" s="34"/>
      <c r="B11" s="85" t="s">
        <v>24</v>
      </c>
      <c r="C11" s="88">
        <v>9800</v>
      </c>
      <c r="D11" s="89">
        <v>9800</v>
      </c>
      <c r="E11" s="89">
        <v>9800</v>
      </c>
      <c r="F11" s="89">
        <v>9800</v>
      </c>
      <c r="G11" s="89">
        <v>9800</v>
      </c>
      <c r="H11" s="89">
        <v>9800</v>
      </c>
      <c r="I11" s="89">
        <v>9800</v>
      </c>
      <c r="J11" s="89">
        <v>9800</v>
      </c>
      <c r="K11" s="89">
        <v>9800</v>
      </c>
      <c r="L11" s="89">
        <v>9800</v>
      </c>
      <c r="M11" s="89">
        <v>9800</v>
      </c>
      <c r="N11" s="89">
        <v>9800</v>
      </c>
      <c r="O11" s="90">
        <f t="shared" ref="O11:O18" si="1">SUM(C11:N11)</f>
        <v>117600</v>
      </c>
      <c r="R11" s="129"/>
      <c r="S11" s="129"/>
      <c r="T11" s="129"/>
    </row>
    <row r="12" spans="1:20" ht="24.95" customHeight="1" thickBot="1" x14ac:dyDescent="0.35">
      <c r="A12" s="34"/>
      <c r="B12" s="85" t="s">
        <v>25</v>
      </c>
      <c r="C12" s="88"/>
      <c r="D12" s="89">
        <v>400</v>
      </c>
      <c r="E12" s="89">
        <v>400</v>
      </c>
      <c r="F12" s="89">
        <v>100</v>
      </c>
      <c r="G12" s="89">
        <v>100</v>
      </c>
      <c r="H12" s="89">
        <v>100</v>
      </c>
      <c r="I12" s="89">
        <v>100</v>
      </c>
      <c r="J12" s="89">
        <v>100</v>
      </c>
      <c r="K12" s="89">
        <v>100</v>
      </c>
      <c r="L12" s="89">
        <v>100</v>
      </c>
      <c r="M12" s="89">
        <v>400</v>
      </c>
      <c r="N12" s="89">
        <v>400</v>
      </c>
      <c r="O12" s="90">
        <f t="shared" si="1"/>
        <v>2300</v>
      </c>
      <c r="R12" s="129"/>
      <c r="S12" s="129"/>
      <c r="T12" s="129"/>
    </row>
    <row r="13" spans="1:20" ht="24.95" customHeight="1" thickBot="1" x14ac:dyDescent="0.35">
      <c r="A13" s="34"/>
      <c r="B13" s="85" t="s">
        <v>26</v>
      </c>
      <c r="C13" s="88">
        <v>300</v>
      </c>
      <c r="D13" s="89">
        <v>300</v>
      </c>
      <c r="E13" s="89">
        <v>300</v>
      </c>
      <c r="F13" s="89">
        <v>300</v>
      </c>
      <c r="G13" s="89">
        <v>300</v>
      </c>
      <c r="H13" s="89">
        <v>300</v>
      </c>
      <c r="I13" s="89">
        <v>300</v>
      </c>
      <c r="J13" s="89">
        <v>300</v>
      </c>
      <c r="K13" s="89">
        <v>300</v>
      </c>
      <c r="L13" s="89">
        <v>300</v>
      </c>
      <c r="M13" s="89">
        <v>300</v>
      </c>
      <c r="N13" s="89">
        <v>300</v>
      </c>
      <c r="O13" s="90">
        <f t="shared" si="1"/>
        <v>3600</v>
      </c>
      <c r="R13" s="129"/>
      <c r="S13" s="129"/>
      <c r="T13" s="129"/>
    </row>
    <row r="14" spans="1:20" ht="24.95" customHeight="1" thickBot="1" x14ac:dyDescent="0.35">
      <c r="A14" s="34"/>
      <c r="B14" s="85" t="s">
        <v>27</v>
      </c>
      <c r="C14" s="88">
        <v>40</v>
      </c>
      <c r="D14" s="89">
        <v>40</v>
      </c>
      <c r="E14" s="89">
        <v>40</v>
      </c>
      <c r="F14" s="89">
        <v>40</v>
      </c>
      <c r="G14" s="89">
        <v>40</v>
      </c>
      <c r="H14" s="89">
        <v>40</v>
      </c>
      <c r="I14" s="89">
        <v>40</v>
      </c>
      <c r="J14" s="89">
        <v>40</v>
      </c>
      <c r="K14" s="89">
        <v>40</v>
      </c>
      <c r="L14" s="89">
        <v>40</v>
      </c>
      <c r="M14" s="89">
        <v>40</v>
      </c>
      <c r="N14" s="89">
        <v>40</v>
      </c>
      <c r="O14" s="90">
        <f t="shared" si="1"/>
        <v>480</v>
      </c>
    </row>
    <row r="15" spans="1:20" ht="24.95" customHeight="1" thickBot="1" x14ac:dyDescent="0.35">
      <c r="A15" s="34"/>
      <c r="B15" s="85" t="s">
        <v>28</v>
      </c>
      <c r="C15" s="88">
        <v>250</v>
      </c>
      <c r="D15" s="89">
        <v>250</v>
      </c>
      <c r="E15" s="89">
        <v>250</v>
      </c>
      <c r="F15" s="89">
        <v>250</v>
      </c>
      <c r="G15" s="89">
        <v>250</v>
      </c>
      <c r="H15" s="89">
        <v>250</v>
      </c>
      <c r="I15" s="89">
        <v>250</v>
      </c>
      <c r="J15" s="89">
        <v>250</v>
      </c>
      <c r="K15" s="89">
        <v>250</v>
      </c>
      <c r="L15" s="89">
        <v>250</v>
      </c>
      <c r="M15" s="89">
        <v>250</v>
      </c>
      <c r="N15" s="89">
        <v>250</v>
      </c>
      <c r="O15" s="90">
        <f t="shared" si="1"/>
        <v>3000</v>
      </c>
    </row>
    <row r="16" spans="1:20" ht="24.95" customHeight="1" thickBot="1" x14ac:dyDescent="0.35">
      <c r="A16" s="34"/>
      <c r="B16" s="85" t="s">
        <v>29</v>
      </c>
      <c r="C16" s="88">
        <v>180</v>
      </c>
      <c r="D16" s="89">
        <v>180</v>
      </c>
      <c r="E16" s="89">
        <v>180</v>
      </c>
      <c r="F16" s="89">
        <v>180</v>
      </c>
      <c r="G16" s="89">
        <v>180</v>
      </c>
      <c r="H16" s="89">
        <v>180</v>
      </c>
      <c r="I16" s="89">
        <v>180</v>
      </c>
      <c r="J16" s="89">
        <v>180</v>
      </c>
      <c r="K16" s="89">
        <v>180</v>
      </c>
      <c r="L16" s="89">
        <v>180</v>
      </c>
      <c r="M16" s="89">
        <v>180</v>
      </c>
      <c r="N16" s="89">
        <v>180</v>
      </c>
      <c r="O16" s="90">
        <f t="shared" si="1"/>
        <v>2160</v>
      </c>
    </row>
    <row r="17" spans="1:15" ht="24.95" customHeight="1" thickBot="1" x14ac:dyDescent="0.35">
      <c r="A17" s="34"/>
      <c r="B17" s="85" t="s">
        <v>30</v>
      </c>
      <c r="C17" s="88">
        <v>200</v>
      </c>
      <c r="D17" s="89">
        <v>200</v>
      </c>
      <c r="E17" s="89">
        <v>200</v>
      </c>
      <c r="F17" s="89">
        <v>200</v>
      </c>
      <c r="G17" s="89">
        <v>200</v>
      </c>
      <c r="H17" s="89">
        <v>200</v>
      </c>
      <c r="I17" s="89">
        <v>200</v>
      </c>
      <c r="J17" s="89">
        <v>200</v>
      </c>
      <c r="K17" s="89">
        <v>200</v>
      </c>
      <c r="L17" s="89">
        <v>200</v>
      </c>
      <c r="M17" s="89">
        <v>200</v>
      </c>
      <c r="N17" s="89">
        <v>200</v>
      </c>
      <c r="O17" s="90">
        <f t="shared" si="1"/>
        <v>2400</v>
      </c>
    </row>
    <row r="18" spans="1:15" ht="24.95" customHeight="1" thickBot="1" x14ac:dyDescent="0.35">
      <c r="A18" s="34"/>
      <c r="B18" s="85" t="s">
        <v>31</v>
      </c>
      <c r="C18" s="88">
        <v>600</v>
      </c>
      <c r="D18" s="89">
        <v>600</v>
      </c>
      <c r="E18" s="89">
        <v>600</v>
      </c>
      <c r="F18" s="89">
        <v>600</v>
      </c>
      <c r="G18" s="89">
        <v>600</v>
      </c>
      <c r="H18" s="89">
        <v>600</v>
      </c>
      <c r="I18" s="89">
        <v>600</v>
      </c>
      <c r="J18" s="89">
        <v>600</v>
      </c>
      <c r="K18" s="89">
        <v>600</v>
      </c>
      <c r="L18" s="89">
        <v>600</v>
      </c>
      <c r="M18" s="89">
        <v>600</v>
      </c>
      <c r="N18" s="89">
        <v>600</v>
      </c>
      <c r="O18" s="90">
        <f t="shared" si="1"/>
        <v>7200</v>
      </c>
    </row>
    <row r="19" spans="1:15" ht="24.95" customHeight="1" thickBot="1" x14ac:dyDescent="0.35">
      <c r="A19" s="34"/>
      <c r="B19" s="66" t="s">
        <v>22</v>
      </c>
      <c r="C19" s="95">
        <f>SUBTOTAL(109,OfficePlan[Jan])</f>
        <v>11370</v>
      </c>
      <c r="D19" s="96">
        <f>SUBTOTAL(109,OfficePlan[Feb])</f>
        <v>11770</v>
      </c>
      <c r="E19" s="96">
        <f>SUBTOTAL(109,OfficePlan[Mar])</f>
        <v>11770</v>
      </c>
      <c r="F19" s="96">
        <f>SUBTOTAL(109,OfficePlan[Apr])</f>
        <v>11470</v>
      </c>
      <c r="G19" s="96">
        <f>SUBTOTAL(109,OfficePlan[May])</f>
        <v>11470</v>
      </c>
      <c r="H19" s="96">
        <f>SUBTOTAL(109,OfficePlan[Jun])</f>
        <v>11470</v>
      </c>
      <c r="I19" s="96">
        <f>SUBTOTAL(109,OfficePlan[Jul])</f>
        <v>11470</v>
      </c>
      <c r="J19" s="96">
        <f>SUBTOTAL(109,OfficePlan[Aug])</f>
        <v>11470</v>
      </c>
      <c r="K19" s="96">
        <f>SUBTOTAL(109,OfficePlan[Sep])</f>
        <v>11470</v>
      </c>
      <c r="L19" s="96">
        <f>SUBTOTAL(109,OfficePlan[Oct])</f>
        <v>11470</v>
      </c>
      <c r="M19" s="96">
        <f>SUBTOTAL(109,OfficePlan[Nov])</f>
        <v>11770</v>
      </c>
      <c r="N19" s="96">
        <f>SUBTOTAL(109,OfficePlan[Dec])</f>
        <v>11770</v>
      </c>
      <c r="O19" s="97">
        <f>SUBTOTAL(109,OfficePlan[YEAR])</f>
        <v>138740</v>
      </c>
    </row>
    <row r="20" spans="1:15" ht="21" customHeight="1" x14ac:dyDescent="0.3">
      <c r="A20" s="34"/>
      <c r="B20" s="133"/>
      <c r="C20" s="133"/>
      <c r="D20" s="127"/>
      <c r="E20" s="127"/>
      <c r="F20" s="126"/>
      <c r="G20" s="126"/>
      <c r="H20" s="126"/>
      <c r="I20" s="126"/>
      <c r="J20" s="126"/>
      <c r="K20" s="126"/>
      <c r="L20" s="126"/>
      <c r="M20" s="126"/>
      <c r="N20" s="126"/>
      <c r="O20" s="125"/>
    </row>
    <row r="21" spans="1:15" ht="24.95" customHeight="1" thickBot="1" x14ac:dyDescent="0.35">
      <c r="A21" s="34" t="s">
        <v>14</v>
      </c>
      <c r="B21" s="60" t="s">
        <v>32</v>
      </c>
      <c r="C21" s="53" t="s">
        <v>46</v>
      </c>
      <c r="D21" s="53" t="s">
        <v>48</v>
      </c>
      <c r="E21" s="98" t="s">
        <v>50</v>
      </c>
      <c r="F21" s="53" t="s">
        <v>52</v>
      </c>
      <c r="G21" s="53" t="s">
        <v>54</v>
      </c>
      <c r="H21" s="53" t="s">
        <v>56</v>
      </c>
      <c r="I21" s="53" t="s">
        <v>58</v>
      </c>
      <c r="J21" s="53" t="s">
        <v>60</v>
      </c>
      <c r="K21" s="53" t="s">
        <v>64</v>
      </c>
      <c r="L21" s="53" t="s">
        <v>66</v>
      </c>
      <c r="M21" s="53" t="s">
        <v>68</v>
      </c>
      <c r="N21" s="53" t="s">
        <v>71</v>
      </c>
      <c r="O21" s="54" t="s">
        <v>72</v>
      </c>
    </row>
    <row r="22" spans="1:15" ht="24.95" customHeight="1" thickBot="1" x14ac:dyDescent="0.35">
      <c r="A22" s="34"/>
      <c r="B22" s="49" t="s">
        <v>33</v>
      </c>
      <c r="C22" s="99">
        <v>500</v>
      </c>
      <c r="D22" s="100">
        <v>500</v>
      </c>
      <c r="E22" s="100">
        <v>500</v>
      </c>
      <c r="F22" s="100">
        <v>500</v>
      </c>
      <c r="G22" s="100">
        <v>500</v>
      </c>
      <c r="H22" s="100">
        <v>500</v>
      </c>
      <c r="I22" s="100">
        <v>500</v>
      </c>
      <c r="J22" s="100">
        <v>500</v>
      </c>
      <c r="K22" s="100">
        <v>500</v>
      </c>
      <c r="L22" s="100">
        <v>500</v>
      </c>
      <c r="M22" s="100">
        <v>500</v>
      </c>
      <c r="N22" s="100">
        <v>500</v>
      </c>
      <c r="O22" s="90">
        <f t="shared" ref="O22:O27" si="2">SUM(C22:N22)</f>
        <v>6000</v>
      </c>
    </row>
    <row r="23" spans="1:15" ht="24.95" customHeight="1" thickBot="1" x14ac:dyDescent="0.35">
      <c r="A23" s="34"/>
      <c r="B23" s="49" t="s">
        <v>34</v>
      </c>
      <c r="C23" s="99">
        <v>200</v>
      </c>
      <c r="D23" s="100">
        <v>200</v>
      </c>
      <c r="E23" s="100">
        <v>200</v>
      </c>
      <c r="F23" s="100">
        <v>200</v>
      </c>
      <c r="G23" s="100">
        <v>200</v>
      </c>
      <c r="H23" s="100">
        <v>1000</v>
      </c>
      <c r="I23" s="100">
        <v>200</v>
      </c>
      <c r="J23" s="100">
        <v>200</v>
      </c>
      <c r="K23" s="100">
        <v>200</v>
      </c>
      <c r="L23" s="100">
        <v>200</v>
      </c>
      <c r="M23" s="100">
        <v>200</v>
      </c>
      <c r="N23" s="100">
        <v>1000</v>
      </c>
      <c r="O23" s="90">
        <f t="shared" si="2"/>
        <v>4000</v>
      </c>
    </row>
    <row r="24" spans="1:15" ht="24.95" customHeight="1" thickBot="1" x14ac:dyDescent="0.35">
      <c r="A24" s="34"/>
      <c r="B24" s="49" t="s">
        <v>35</v>
      </c>
      <c r="C24" s="99">
        <v>5000</v>
      </c>
      <c r="D24" s="100">
        <v>0</v>
      </c>
      <c r="E24" s="100">
        <v>0</v>
      </c>
      <c r="F24" s="100">
        <v>5000</v>
      </c>
      <c r="G24" s="100">
        <v>0</v>
      </c>
      <c r="H24" s="100">
        <v>0</v>
      </c>
      <c r="I24" s="100">
        <v>5000</v>
      </c>
      <c r="J24" s="100">
        <v>0</v>
      </c>
      <c r="K24" s="100">
        <v>0</v>
      </c>
      <c r="L24" s="100">
        <v>5000</v>
      </c>
      <c r="M24" s="100">
        <v>0</v>
      </c>
      <c r="N24" s="100">
        <v>0</v>
      </c>
      <c r="O24" s="90">
        <f t="shared" si="2"/>
        <v>20000</v>
      </c>
    </row>
    <row r="25" spans="1:15" ht="24.95" customHeight="1" thickBot="1" x14ac:dyDescent="0.35">
      <c r="A25" s="34"/>
      <c r="B25" s="49" t="s">
        <v>36</v>
      </c>
      <c r="C25" s="99">
        <v>200</v>
      </c>
      <c r="D25" s="100">
        <v>200</v>
      </c>
      <c r="E25" s="100">
        <v>200</v>
      </c>
      <c r="F25" s="100">
        <v>200</v>
      </c>
      <c r="G25" s="100">
        <v>200</v>
      </c>
      <c r="H25" s="100">
        <v>200</v>
      </c>
      <c r="I25" s="100">
        <v>200</v>
      </c>
      <c r="J25" s="100">
        <v>200</v>
      </c>
      <c r="K25" s="100">
        <v>200</v>
      </c>
      <c r="L25" s="100">
        <v>200</v>
      </c>
      <c r="M25" s="100">
        <v>200</v>
      </c>
      <c r="N25" s="100">
        <v>200</v>
      </c>
      <c r="O25" s="90">
        <f t="shared" si="2"/>
        <v>2400</v>
      </c>
    </row>
    <row r="26" spans="1:15" ht="24.95" customHeight="1" thickBot="1" x14ac:dyDescent="0.35">
      <c r="A26" s="34"/>
      <c r="B26" s="49" t="s">
        <v>37</v>
      </c>
      <c r="C26" s="99">
        <v>2000</v>
      </c>
      <c r="D26" s="100">
        <v>2000</v>
      </c>
      <c r="E26" s="100">
        <v>2000</v>
      </c>
      <c r="F26" s="100">
        <v>5000</v>
      </c>
      <c r="G26" s="100">
        <v>2000</v>
      </c>
      <c r="H26" s="100">
        <v>2000</v>
      </c>
      <c r="I26" s="100">
        <v>2000</v>
      </c>
      <c r="J26" s="100">
        <v>5000</v>
      </c>
      <c r="K26" s="100">
        <v>2000</v>
      </c>
      <c r="L26" s="100">
        <v>2000</v>
      </c>
      <c r="M26" s="100">
        <v>2000</v>
      </c>
      <c r="N26" s="100">
        <v>5000</v>
      </c>
      <c r="O26" s="90">
        <f t="shared" si="2"/>
        <v>33000</v>
      </c>
    </row>
    <row r="27" spans="1:15" ht="24.95" customHeight="1" thickBot="1" x14ac:dyDescent="0.35">
      <c r="A27" s="34"/>
      <c r="B27" s="49" t="s">
        <v>38</v>
      </c>
      <c r="C27" s="99">
        <v>200</v>
      </c>
      <c r="D27" s="100">
        <v>200</v>
      </c>
      <c r="E27" s="100">
        <v>200</v>
      </c>
      <c r="F27" s="100">
        <v>200</v>
      </c>
      <c r="G27" s="100">
        <v>200</v>
      </c>
      <c r="H27" s="100">
        <v>200</v>
      </c>
      <c r="I27" s="100">
        <v>200</v>
      </c>
      <c r="J27" s="100">
        <v>200</v>
      </c>
      <c r="K27" s="100">
        <v>200</v>
      </c>
      <c r="L27" s="100">
        <v>200</v>
      </c>
      <c r="M27" s="100">
        <v>200</v>
      </c>
      <c r="N27" s="100">
        <v>200</v>
      </c>
      <c r="O27" s="90">
        <f t="shared" si="2"/>
        <v>2400</v>
      </c>
    </row>
    <row r="28" spans="1:15" ht="24.95" customHeight="1" x14ac:dyDescent="0.3">
      <c r="A28" s="34"/>
      <c r="B28" s="51" t="s">
        <v>22</v>
      </c>
      <c r="C28" s="91">
        <f>SUBTOTAL(109,MarketingPlan[Jan])</f>
        <v>8100</v>
      </c>
      <c r="D28" s="92">
        <f>SUBTOTAL(109,MarketingPlan[Feb])</f>
        <v>3100</v>
      </c>
      <c r="E28" s="92">
        <f>SUBTOTAL(109,MarketingPlan[Mar])</f>
        <v>3100</v>
      </c>
      <c r="F28" s="92">
        <f>SUBTOTAL(109,MarketingPlan[Apr])</f>
        <v>11100</v>
      </c>
      <c r="G28" s="92">
        <f>SUBTOTAL(109,MarketingPlan[May])</f>
        <v>3100</v>
      </c>
      <c r="H28" s="92">
        <f>SUBTOTAL(109,MarketingPlan[Jun])</f>
        <v>3900</v>
      </c>
      <c r="I28" s="92">
        <f>SUBTOTAL(109,MarketingPlan[Jul])</f>
        <v>8100</v>
      </c>
      <c r="J28" s="92">
        <f>SUBTOTAL(109,MarketingPlan[Aug])</f>
        <v>6100</v>
      </c>
      <c r="K28" s="92">
        <f>SUBTOTAL(109,MarketingPlan[Sep])</f>
        <v>3100</v>
      </c>
      <c r="L28" s="92">
        <f>SUBTOTAL(109,MarketingPlan[Oct])</f>
        <v>8100</v>
      </c>
      <c r="M28" s="92">
        <f>SUBTOTAL(109,MarketingPlan[Nov])</f>
        <v>3100</v>
      </c>
      <c r="N28" s="92">
        <f>SUBTOTAL(109,MarketingPlan[Dec])</f>
        <v>6900</v>
      </c>
      <c r="O28" s="93">
        <f>SUBTOTAL(109,MarketingPlan[YEAR])</f>
        <v>67800</v>
      </c>
    </row>
    <row r="29" spans="1:15" ht="21" customHeight="1" x14ac:dyDescent="0.3">
      <c r="A29" s="34"/>
      <c r="B29" s="132"/>
      <c r="C29" s="132"/>
      <c r="D29" s="126"/>
      <c r="E29" s="126"/>
      <c r="F29" s="126"/>
      <c r="G29" s="126"/>
      <c r="H29" s="126"/>
      <c r="I29" s="126"/>
      <c r="J29" s="126"/>
      <c r="K29" s="126"/>
      <c r="L29" s="126"/>
      <c r="M29" s="126"/>
      <c r="N29" s="126"/>
      <c r="O29" s="125"/>
    </row>
    <row r="30" spans="1:15" ht="21" customHeight="1" thickBot="1" x14ac:dyDescent="0.35">
      <c r="A30" s="34" t="s">
        <v>15</v>
      </c>
      <c r="B30" s="61" t="s">
        <v>39</v>
      </c>
      <c r="C30" s="53" t="s">
        <v>46</v>
      </c>
      <c r="D30" s="53" t="s">
        <v>48</v>
      </c>
      <c r="E30" s="98" t="s">
        <v>50</v>
      </c>
      <c r="F30" s="53" t="s">
        <v>52</v>
      </c>
      <c r="G30" s="53" t="s">
        <v>54</v>
      </c>
      <c r="H30" s="53" t="s">
        <v>56</v>
      </c>
      <c r="I30" s="53" t="s">
        <v>58</v>
      </c>
      <c r="J30" s="53" t="s">
        <v>60</v>
      </c>
      <c r="K30" s="53" t="s">
        <v>64</v>
      </c>
      <c r="L30" s="53" t="s">
        <v>66</v>
      </c>
      <c r="M30" s="53" t="s">
        <v>68</v>
      </c>
      <c r="N30" s="53" t="s">
        <v>71</v>
      </c>
      <c r="O30" s="54" t="s">
        <v>72</v>
      </c>
    </row>
    <row r="31" spans="1:15" ht="21" customHeight="1" thickBot="1" x14ac:dyDescent="0.35">
      <c r="A31" s="34"/>
      <c r="B31" s="49" t="s">
        <v>40</v>
      </c>
      <c r="C31" s="99">
        <v>2000</v>
      </c>
      <c r="D31" s="100">
        <v>2000</v>
      </c>
      <c r="E31" s="100">
        <v>2000</v>
      </c>
      <c r="F31" s="100">
        <v>2000</v>
      </c>
      <c r="G31" s="100">
        <v>2000</v>
      </c>
      <c r="H31" s="100">
        <v>2000</v>
      </c>
      <c r="I31" s="100">
        <v>2000</v>
      </c>
      <c r="J31" s="100">
        <v>2000</v>
      </c>
      <c r="K31" s="100">
        <v>2000</v>
      </c>
      <c r="L31" s="100">
        <v>2000</v>
      </c>
      <c r="M31" s="100">
        <v>2000</v>
      </c>
      <c r="N31" s="100">
        <v>2000</v>
      </c>
      <c r="O31" s="101">
        <f>SUM(C31:N31)</f>
        <v>24000</v>
      </c>
    </row>
    <row r="32" spans="1:15" ht="21" customHeight="1" thickBot="1" x14ac:dyDescent="0.35">
      <c r="A32" s="34"/>
      <c r="B32" s="49" t="s">
        <v>41</v>
      </c>
      <c r="C32" s="99">
        <v>2000</v>
      </c>
      <c r="D32" s="100">
        <v>2000</v>
      </c>
      <c r="E32" s="100">
        <v>2000</v>
      </c>
      <c r="F32" s="100">
        <v>2000</v>
      </c>
      <c r="G32" s="100">
        <v>2000</v>
      </c>
      <c r="H32" s="100">
        <v>2000</v>
      </c>
      <c r="I32" s="100">
        <v>2000</v>
      </c>
      <c r="J32" s="100">
        <v>2000</v>
      </c>
      <c r="K32" s="100">
        <v>2000</v>
      </c>
      <c r="L32" s="100">
        <v>2000</v>
      </c>
      <c r="M32" s="100">
        <v>2000</v>
      </c>
      <c r="N32" s="100">
        <v>2000</v>
      </c>
      <c r="O32" s="101">
        <f>SUM(C32:N32)</f>
        <v>24000</v>
      </c>
    </row>
    <row r="33" spans="1:15" ht="21" customHeight="1" x14ac:dyDescent="0.3">
      <c r="A33" s="34"/>
      <c r="B33" s="51" t="s">
        <v>22</v>
      </c>
      <c r="C33" s="102">
        <f>SUBTOTAL(109,TrainingAndTravelPlan[Jan])</f>
        <v>4000</v>
      </c>
      <c r="D33" s="103">
        <f>SUBTOTAL(109,TrainingAndTravelPlan[Feb])</f>
        <v>4000</v>
      </c>
      <c r="E33" s="103">
        <f>SUBTOTAL(109,TrainingAndTravelPlan[Mar])</f>
        <v>4000</v>
      </c>
      <c r="F33" s="103">
        <f>SUBTOTAL(109,TrainingAndTravelPlan[Apr])</f>
        <v>4000</v>
      </c>
      <c r="G33" s="103">
        <f>SUBTOTAL(109,TrainingAndTravelPlan[May])</f>
        <v>4000</v>
      </c>
      <c r="H33" s="103">
        <f>SUBTOTAL(109,TrainingAndTravelPlan[Jun])</f>
        <v>4000</v>
      </c>
      <c r="I33" s="103">
        <f>SUBTOTAL(109,TrainingAndTravelPlan[Jul])</f>
        <v>4000</v>
      </c>
      <c r="J33" s="103">
        <f>SUBTOTAL(109,TrainingAndTravelPlan[Aug])</f>
        <v>4000</v>
      </c>
      <c r="K33" s="103">
        <f>SUBTOTAL(109,TrainingAndTravelPlan[Sep])</f>
        <v>4000</v>
      </c>
      <c r="L33" s="103">
        <f>SUBTOTAL(109,TrainingAndTravelPlan[Oct])</f>
        <v>4000</v>
      </c>
      <c r="M33" s="103">
        <f>SUBTOTAL(109,TrainingAndTravelPlan[Nov])</f>
        <v>4000</v>
      </c>
      <c r="N33" s="103">
        <f>SUBTOTAL(109,TrainingAndTravelPlan[Dec])</f>
        <v>4000</v>
      </c>
      <c r="O33" s="104">
        <f>SUBTOTAL(109,TrainingAndTravelPlan[YEAR])</f>
        <v>48000</v>
      </c>
    </row>
    <row r="34" spans="1:15" ht="21" customHeight="1" x14ac:dyDescent="0.3">
      <c r="A34" s="34"/>
      <c r="B34" s="132"/>
      <c r="C34" s="132"/>
      <c r="D34" s="125"/>
      <c r="E34" s="125"/>
      <c r="F34" s="125"/>
      <c r="G34" s="125"/>
      <c r="H34" s="125"/>
      <c r="I34" s="125"/>
      <c r="J34" s="125"/>
      <c r="K34" s="125"/>
      <c r="L34" s="125"/>
      <c r="M34" s="125"/>
      <c r="N34" s="125"/>
      <c r="O34" s="125"/>
    </row>
    <row r="35" spans="1:15" ht="24.95" customHeight="1" thickBot="1" x14ac:dyDescent="0.35">
      <c r="A35" s="34" t="s">
        <v>16</v>
      </c>
      <c r="B35" s="25" t="s">
        <v>42</v>
      </c>
      <c r="C35" s="27" t="s">
        <v>46</v>
      </c>
      <c r="D35" s="27" t="s">
        <v>48</v>
      </c>
      <c r="E35" s="27" t="s">
        <v>50</v>
      </c>
      <c r="F35" s="27" t="s">
        <v>52</v>
      </c>
      <c r="G35" s="27" t="s">
        <v>54</v>
      </c>
      <c r="H35" s="27" t="s">
        <v>56</v>
      </c>
      <c r="I35" s="27" t="s">
        <v>58</v>
      </c>
      <c r="J35" s="27" t="s">
        <v>60</v>
      </c>
      <c r="K35" s="27" t="s">
        <v>64</v>
      </c>
      <c r="L35" s="27" t="s">
        <v>66</v>
      </c>
      <c r="M35" s="27" t="s">
        <v>68</v>
      </c>
      <c r="N35" s="27" t="s">
        <v>71</v>
      </c>
      <c r="O35" s="27" t="s">
        <v>73</v>
      </c>
    </row>
    <row r="36" spans="1:15" ht="24.95" customHeight="1" thickBot="1" x14ac:dyDescent="0.35">
      <c r="A36" s="34"/>
      <c r="B36" s="26" t="s">
        <v>43</v>
      </c>
      <c r="C36" s="105">
        <f>TrainingAndTravelPlan[[#Totals],[Jan]]+MarketingPlan[[#Totals],[Jan]]+OfficePlan[[#Totals],[Jan]]+EmployeePlan[[#Totals],[Jan]]</f>
        <v>131420</v>
      </c>
      <c r="D36" s="105">
        <f>TrainingAndTravelPlan[[#Totals],[Feb]]+MarketingPlan[[#Totals],[Feb]]+OfficePlan[[#Totals],[Feb]]+EmployeePlan[[#Totals],[Feb]]</f>
        <v>126820</v>
      </c>
      <c r="E36" s="105">
        <f>TrainingAndTravelPlan[[#Totals],[Mar]]+MarketingPlan[[#Totals],[Mar]]+OfficePlan[[#Totals],[Mar]]+EmployeePlan[[#Totals],[Mar]]</f>
        <v>126820</v>
      </c>
      <c r="F36" s="105">
        <f>TrainingAndTravelPlan[[#Totals],[Apr]]+MarketingPlan[[#Totals],[Apr]]+OfficePlan[[#Totals],[Apr]]+EmployeePlan[[#Totals],[Apr]]</f>
        <v>137695</v>
      </c>
      <c r="G36" s="105">
        <f>TrainingAndTravelPlan[[#Totals],[May]]+MarketingPlan[[#Totals],[May]]+OfficePlan[[#Totals],[May]]+EmployeePlan[[#Totals],[May]]</f>
        <v>129695</v>
      </c>
      <c r="H36" s="105">
        <f>TrainingAndTravelPlan[[#Totals],[Jun]]+MarketingPlan[[#Totals],[Jun]]+OfficePlan[[#Totals],[Jun]]+EmployeePlan[[#Totals],[Jun]]</f>
        <v>130495</v>
      </c>
      <c r="I36" s="106">
        <f>TrainingAndTravelPlan[[#Totals],[Jul]]+MarketingPlan[[#Totals],[Jul]]+OfficePlan[[#Totals],[Jul]]+EmployeePlan[[#Totals],[Jul]]</f>
        <v>134695</v>
      </c>
      <c r="J36" s="105">
        <f>TrainingAndTravelPlan[[#Totals],[Aug]]+MarketingPlan[[#Totals],[Aug]]+OfficePlan[[#Totals],[Aug]]+EmployeePlan[[#Totals],[Aug]]</f>
        <v>138918</v>
      </c>
      <c r="K36" s="105">
        <f>TrainingAndTravelPlan[[#Totals],[Sep]]+MarketingPlan[[#Totals],[Sep]]+OfficePlan[[#Totals],[Sep]]+EmployeePlan[[#Totals],[Sep]]</f>
        <v>135918</v>
      </c>
      <c r="L36" s="105">
        <f>TrainingAndTravelPlan[[#Totals],[Oct]]+MarketingPlan[[#Totals],[Oct]]+OfficePlan[[#Totals],[Oct]]+EmployeePlan[[#Totals],[Oct]]</f>
        <v>140918</v>
      </c>
      <c r="M36" s="105">
        <f>TrainingAndTravelPlan[[#Totals],[Nov]]+MarketingPlan[[#Totals],[Nov]]+OfficePlan[[#Totals],[Nov]]+EmployeePlan[[#Totals],[Nov]]</f>
        <v>136218</v>
      </c>
      <c r="N36" s="105">
        <f>TrainingAndTravelPlan[[#Totals],[Dec]]+MarketingPlan[[#Totals],[Dec]]+OfficePlan[[#Totals],[Dec]]+EmployeePlan[[#Totals],[Dec]]</f>
        <v>140018</v>
      </c>
      <c r="O36" s="105">
        <f>TrainingAndTravelPlan[[#Totals],[YEAR]]+MarketingPlan[[#Totals],[YEAR]]+OfficePlan[[#Totals],[YEAR]]+EmployeePlan[[#Totals],[YEAR]]</f>
        <v>1609630</v>
      </c>
    </row>
    <row r="37" spans="1:15" ht="24.95" customHeight="1" x14ac:dyDescent="0.3">
      <c r="A37" s="34"/>
      <c r="B37" s="26" t="s">
        <v>44</v>
      </c>
      <c r="C37" s="105">
        <f>SUM($C$36:C36)</f>
        <v>131420</v>
      </c>
      <c r="D37" s="105">
        <f>SUM($C$36:D36)</f>
        <v>258240</v>
      </c>
      <c r="E37" s="105">
        <f>SUM($C$36:E36)</f>
        <v>385060</v>
      </c>
      <c r="F37" s="105">
        <f>SUM($C$36:F36)</f>
        <v>522755</v>
      </c>
      <c r="G37" s="105">
        <f>SUM($C$36:G36)</f>
        <v>652450</v>
      </c>
      <c r="H37" s="105">
        <f>SUM($C$36:H36)</f>
        <v>782945</v>
      </c>
      <c r="I37" s="105">
        <f>SUM($C$36:I36)</f>
        <v>917640</v>
      </c>
      <c r="J37" s="105">
        <f>SUM($C$36:J36)</f>
        <v>1056558</v>
      </c>
      <c r="K37" s="105">
        <f>SUM($C$36:K36)</f>
        <v>1192476</v>
      </c>
      <c r="L37" s="105">
        <f>SUM($C$36:L36)</f>
        <v>1333394</v>
      </c>
      <c r="M37" s="105">
        <f>SUM($C$36:M36)</f>
        <v>1469612</v>
      </c>
      <c r="N37" s="105">
        <f>SUM($C$36:N36)</f>
        <v>1609630</v>
      </c>
      <c r="O37" s="105"/>
    </row>
    <row r="38" spans="1:15" ht="21" customHeight="1" x14ac:dyDescent="0.3">
      <c r="A38" s="34"/>
      <c r="N38" s="3"/>
      <c r="O38" s="3"/>
    </row>
  </sheetData>
  <mergeCells count="9">
    <mergeCell ref="R4:T13"/>
    <mergeCell ref="N2:O3"/>
    <mergeCell ref="K2:M2"/>
    <mergeCell ref="B34:C34"/>
    <mergeCell ref="B29:C29"/>
    <mergeCell ref="B20:C20"/>
    <mergeCell ref="B9:C9"/>
    <mergeCell ref="B2:D3"/>
    <mergeCell ref="K3:M3"/>
  </mergeCells>
  <printOptions horizontalCentered="1"/>
  <pageMargins left="0.4" right="0.4" top="0.4" bottom="0.4" header="0.3" footer="0.3"/>
  <pageSetup paperSize="9" fitToHeight="0" orientation="landscape" r:id="rId1"/>
  <headerFooter differentFirst="1">
    <oddFooter>Page &amp;P of &amp;N</oddFooter>
  </headerFooter>
  <ignoredErrors>
    <ignoredError sqref="C6:N6 C36:O37" calculatedColumn="1"/>
    <ignoredError sqref="O12" emptyCellReference="1"/>
  </ignoredErrors>
  <drawing r:id="rId2"/>
  <tableParts count="5">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3B893D"/>
    <pageSetUpPr autoPageBreaks="0" fitToPage="1"/>
  </sheetPr>
  <dimension ref="A1:P41"/>
  <sheetViews>
    <sheetView showGridLines="0" zoomScaleNormal="100" workbookViewId="0"/>
  </sheetViews>
  <sheetFormatPr defaultColWidth="9.140625" defaultRowHeight="21" customHeight="1" x14ac:dyDescent="0.3"/>
  <cols>
    <col min="1" max="1" width="4.7109375" style="1" customWidth="1"/>
    <col min="2" max="2" width="33.42578125" style="4" customWidth="1"/>
    <col min="3" max="14" width="14.7109375" style="4" customWidth="1"/>
    <col min="15" max="15" width="16.28515625" style="4" customWidth="1"/>
    <col min="16" max="16" width="4.7109375" style="1" customWidth="1"/>
    <col min="17" max="16384" width="9.140625" style="4"/>
  </cols>
  <sheetData>
    <row r="1" spans="1:16" s="1" customFormat="1" ht="24" customHeight="1" x14ac:dyDescent="0.3">
      <c r="A1" s="35" t="s">
        <v>76</v>
      </c>
      <c r="B1" s="10"/>
      <c r="C1" s="10"/>
      <c r="D1" s="10"/>
      <c r="E1" s="10"/>
      <c r="F1" s="7"/>
      <c r="G1" s="7"/>
      <c r="H1" s="7"/>
      <c r="I1" s="7"/>
      <c r="J1" s="7"/>
      <c r="K1" s="7"/>
      <c r="L1" s="7"/>
      <c r="M1" s="7"/>
      <c r="N1" s="7"/>
      <c r="O1" s="7"/>
      <c r="P1" s="67" t="s">
        <v>74</v>
      </c>
    </row>
    <row r="2" spans="1:16" s="1" customFormat="1" ht="45" customHeight="1" x14ac:dyDescent="0.35">
      <c r="A2" s="33" t="s">
        <v>77</v>
      </c>
      <c r="B2" s="134" t="str">
        <f>'PLANNED EXPENSES'!B2:D3</f>
        <v>Company Name</v>
      </c>
      <c r="C2" s="134"/>
      <c r="D2" s="134"/>
      <c r="E2" s="123"/>
      <c r="F2" s="8"/>
      <c r="G2" s="8"/>
      <c r="H2" s="8"/>
      <c r="I2" s="8"/>
      <c r="J2" s="8"/>
      <c r="K2" s="131" t="str">
        <f>worksheet_title</f>
        <v>Detailed Expense Estimates</v>
      </c>
      <c r="L2" s="131"/>
      <c r="M2" s="131"/>
      <c r="N2" s="130" t="s">
        <v>69</v>
      </c>
      <c r="O2" s="130"/>
      <c r="P2" s="7"/>
    </row>
    <row r="3" spans="1:16" s="1" customFormat="1" ht="30" customHeight="1" x14ac:dyDescent="0.3">
      <c r="A3" s="33" t="s">
        <v>10</v>
      </c>
      <c r="B3" s="134"/>
      <c r="C3" s="134"/>
      <c r="D3" s="134"/>
      <c r="E3" s="124"/>
      <c r="F3" s="9"/>
      <c r="G3" s="9"/>
      <c r="H3" s="9"/>
      <c r="I3" s="9"/>
      <c r="J3" s="9"/>
      <c r="K3" s="136" t="s">
        <v>62</v>
      </c>
      <c r="L3" s="136"/>
      <c r="M3" s="136"/>
      <c r="N3" s="130"/>
      <c r="O3" s="130"/>
      <c r="P3" s="7"/>
    </row>
    <row r="4" spans="1:16" s="22" customFormat="1" ht="49.5" customHeight="1" x14ac:dyDescent="0.3">
      <c r="A4" s="36" t="s">
        <v>78</v>
      </c>
      <c r="B4" s="23" t="s">
        <v>84</v>
      </c>
      <c r="C4" s="24" t="s">
        <v>45</v>
      </c>
      <c r="D4" s="24" t="s">
        <v>47</v>
      </c>
      <c r="E4" s="24" t="s">
        <v>49</v>
      </c>
      <c r="F4" s="24" t="s">
        <v>51</v>
      </c>
      <c r="G4" s="24" t="s">
        <v>53</v>
      </c>
      <c r="H4" s="24" t="s">
        <v>55</v>
      </c>
      <c r="I4" s="24" t="s">
        <v>57</v>
      </c>
      <c r="J4" s="24" t="s">
        <v>59</v>
      </c>
      <c r="K4" s="24" t="s">
        <v>63</v>
      </c>
      <c r="L4" s="24" t="s">
        <v>65</v>
      </c>
      <c r="M4" s="24" t="s">
        <v>67</v>
      </c>
      <c r="N4" s="24" t="s">
        <v>70</v>
      </c>
      <c r="O4" s="24" t="s">
        <v>72</v>
      </c>
    </row>
    <row r="5" spans="1:16" s="5" customFormat="1" ht="24.95" customHeight="1" thickBot="1" x14ac:dyDescent="0.35">
      <c r="A5" s="43" t="s">
        <v>79</v>
      </c>
      <c r="B5" s="48" t="s">
        <v>19</v>
      </c>
      <c r="C5" s="72" t="s">
        <v>46</v>
      </c>
      <c r="D5" s="68" t="s">
        <v>48</v>
      </c>
      <c r="E5" s="68" t="s">
        <v>50</v>
      </c>
      <c r="F5" s="68" t="s">
        <v>52</v>
      </c>
      <c r="G5" s="68" t="s">
        <v>54</v>
      </c>
      <c r="H5" s="68" t="s">
        <v>56</v>
      </c>
      <c r="I5" s="68" t="s">
        <v>58</v>
      </c>
      <c r="J5" s="68" t="s">
        <v>60</v>
      </c>
      <c r="K5" s="68" t="s">
        <v>64</v>
      </c>
      <c r="L5" s="68" t="s">
        <v>66</v>
      </c>
      <c r="M5" s="68" t="s">
        <v>68</v>
      </c>
      <c r="N5" s="68" t="s">
        <v>71</v>
      </c>
      <c r="O5" s="69" t="s">
        <v>72</v>
      </c>
      <c r="P5" s="3"/>
    </row>
    <row r="6" spans="1:16" s="5" customFormat="1" ht="24.95" customHeight="1" thickBot="1" x14ac:dyDescent="0.35">
      <c r="A6" s="34"/>
      <c r="B6" s="49" t="s">
        <v>20</v>
      </c>
      <c r="C6" s="99">
        <v>85000</v>
      </c>
      <c r="D6" s="100">
        <v>85000</v>
      </c>
      <c r="E6" s="100">
        <v>85000</v>
      </c>
      <c r="F6" s="100">
        <v>88000</v>
      </c>
      <c r="G6" s="100">
        <v>88000</v>
      </c>
      <c r="H6" s="100">
        <v>88000</v>
      </c>
      <c r="I6" s="100"/>
      <c r="J6" s="100"/>
      <c r="K6" s="100"/>
      <c r="L6" s="100"/>
      <c r="M6" s="100"/>
      <c r="N6" s="100"/>
      <c r="O6" s="101">
        <f>SUM(C6:N6)</f>
        <v>519000</v>
      </c>
      <c r="P6" s="1"/>
    </row>
    <row r="7" spans="1:16" s="5" customFormat="1" ht="24.95" customHeight="1" thickBot="1" x14ac:dyDescent="0.35">
      <c r="A7" s="34"/>
      <c r="B7" s="49" t="s">
        <v>21</v>
      </c>
      <c r="C7" s="99">
        <f t="shared" ref="C7:N7" si="0">C6*0.27</f>
        <v>22950</v>
      </c>
      <c r="D7" s="100">
        <f t="shared" si="0"/>
        <v>22950</v>
      </c>
      <c r="E7" s="100">
        <f t="shared" si="0"/>
        <v>22950</v>
      </c>
      <c r="F7" s="100">
        <f t="shared" si="0"/>
        <v>23760</v>
      </c>
      <c r="G7" s="100">
        <f t="shared" si="0"/>
        <v>23760</v>
      </c>
      <c r="H7" s="100">
        <f t="shared" si="0"/>
        <v>23760</v>
      </c>
      <c r="I7" s="100">
        <f t="shared" si="0"/>
        <v>0</v>
      </c>
      <c r="J7" s="100">
        <f t="shared" si="0"/>
        <v>0</v>
      </c>
      <c r="K7" s="100">
        <f t="shared" si="0"/>
        <v>0</v>
      </c>
      <c r="L7" s="100">
        <f t="shared" si="0"/>
        <v>0</v>
      </c>
      <c r="M7" s="100">
        <f t="shared" si="0"/>
        <v>0</v>
      </c>
      <c r="N7" s="100">
        <f t="shared" si="0"/>
        <v>0</v>
      </c>
      <c r="O7" s="101">
        <f>SUM(C7:N7)</f>
        <v>140130</v>
      </c>
      <c r="P7" s="1"/>
    </row>
    <row r="8" spans="1:16" ht="24.95" customHeight="1" x14ac:dyDescent="0.3">
      <c r="A8" s="34"/>
      <c r="B8" s="73" t="s">
        <v>22</v>
      </c>
      <c r="C8" s="108">
        <f>SUBTOTAL(109,EmployeeActual[Jan])</f>
        <v>107950</v>
      </c>
      <c r="D8" s="109">
        <f>SUBTOTAL(109,EmployeeActual[Feb])</f>
        <v>107950</v>
      </c>
      <c r="E8" s="109">
        <f>SUBTOTAL(109,EmployeeActual[Mar])</f>
        <v>107950</v>
      </c>
      <c r="F8" s="109">
        <f>SUBTOTAL(109,EmployeeActual[Apr])</f>
        <v>111760</v>
      </c>
      <c r="G8" s="109">
        <f>SUBTOTAL(109,EmployeeActual[May])</f>
        <v>111760</v>
      </c>
      <c r="H8" s="109">
        <f>SUBTOTAL(109,EmployeeActual[Jun])</f>
        <v>111760</v>
      </c>
      <c r="I8" s="109">
        <f>SUBTOTAL(109,EmployeeActual[Jul])</f>
        <v>0</v>
      </c>
      <c r="J8" s="109">
        <f>SUBTOTAL(109,EmployeeActual[Aug])</f>
        <v>0</v>
      </c>
      <c r="K8" s="109">
        <f>SUBTOTAL(109,EmployeeActual[Sep])</f>
        <v>0</v>
      </c>
      <c r="L8" s="109">
        <f>SUBTOTAL(109,EmployeeActual[Oct])</f>
        <v>0</v>
      </c>
      <c r="M8" s="109">
        <f>SUBTOTAL(109,EmployeeActual[Nov])</f>
        <v>0</v>
      </c>
      <c r="N8" s="109">
        <f>SUBTOTAL(109,EmployeeActual[Dec])</f>
        <v>0</v>
      </c>
      <c r="O8" s="110">
        <f>SUBTOTAL(109,EmployeeActual[YEAR])</f>
        <v>659130</v>
      </c>
    </row>
    <row r="9" spans="1:16" s="1" customFormat="1" ht="21" customHeight="1" x14ac:dyDescent="0.3">
      <c r="A9" s="34"/>
      <c r="B9" s="132"/>
      <c r="C9" s="132"/>
      <c r="D9" s="127"/>
      <c r="E9" s="127"/>
      <c r="F9" s="127"/>
      <c r="G9" s="127"/>
      <c r="H9" s="127"/>
      <c r="I9" s="127"/>
      <c r="J9" s="127"/>
      <c r="K9" s="127"/>
      <c r="L9" s="127"/>
      <c r="M9" s="127"/>
      <c r="N9" s="127"/>
      <c r="O9" s="125"/>
    </row>
    <row r="10" spans="1:16" ht="24.95" customHeight="1" thickBot="1" x14ac:dyDescent="0.35">
      <c r="A10" s="34" t="s">
        <v>80</v>
      </c>
      <c r="B10" s="55" t="s">
        <v>23</v>
      </c>
      <c r="C10" s="72" t="s">
        <v>46</v>
      </c>
      <c r="D10" s="68" t="s">
        <v>48</v>
      </c>
      <c r="E10" s="107" t="s">
        <v>50</v>
      </c>
      <c r="F10" s="68" t="s">
        <v>52</v>
      </c>
      <c r="G10" s="68" t="s">
        <v>54</v>
      </c>
      <c r="H10" s="68" t="s">
        <v>56</v>
      </c>
      <c r="I10" s="68" t="s">
        <v>58</v>
      </c>
      <c r="J10" s="68" t="s">
        <v>60</v>
      </c>
      <c r="K10" s="68" t="s">
        <v>64</v>
      </c>
      <c r="L10" s="68" t="s">
        <v>66</v>
      </c>
      <c r="M10" s="68" t="s">
        <v>68</v>
      </c>
      <c r="N10" s="68" t="s">
        <v>71</v>
      </c>
      <c r="O10" s="69" t="s">
        <v>72</v>
      </c>
    </row>
    <row r="11" spans="1:16" ht="24.95" customHeight="1" thickBot="1" x14ac:dyDescent="0.35">
      <c r="A11" s="34"/>
      <c r="B11" s="49" t="s">
        <v>24</v>
      </c>
      <c r="C11" s="99">
        <v>9800</v>
      </c>
      <c r="D11" s="100">
        <v>9800</v>
      </c>
      <c r="E11" s="100">
        <v>9800</v>
      </c>
      <c r="F11" s="100">
        <v>9800</v>
      </c>
      <c r="G11" s="100">
        <v>9800</v>
      </c>
      <c r="H11" s="100">
        <v>9800</v>
      </c>
      <c r="I11" s="100"/>
      <c r="J11" s="100"/>
      <c r="K11" s="100"/>
      <c r="L11" s="100"/>
      <c r="M11" s="100"/>
      <c r="N11" s="100"/>
      <c r="O11" s="101">
        <f t="shared" ref="O11:O18" si="1">SUM(C11:N11)</f>
        <v>58800</v>
      </c>
    </row>
    <row r="12" spans="1:16" ht="24.95" customHeight="1" thickBot="1" x14ac:dyDescent="0.35">
      <c r="A12" s="34"/>
      <c r="B12" s="49" t="s">
        <v>25</v>
      </c>
      <c r="C12" s="99">
        <v>4</v>
      </c>
      <c r="D12" s="100">
        <v>430</v>
      </c>
      <c r="E12" s="100">
        <v>385</v>
      </c>
      <c r="F12" s="100">
        <v>230</v>
      </c>
      <c r="G12" s="100">
        <v>87</v>
      </c>
      <c r="H12" s="100">
        <v>88</v>
      </c>
      <c r="I12" s="100"/>
      <c r="J12" s="100"/>
      <c r="K12" s="100"/>
      <c r="L12" s="100"/>
      <c r="M12" s="100"/>
      <c r="N12" s="100"/>
      <c r="O12" s="101">
        <f t="shared" si="1"/>
        <v>1224</v>
      </c>
    </row>
    <row r="13" spans="1:16" ht="24.95" customHeight="1" thickBot="1" x14ac:dyDescent="0.35">
      <c r="A13" s="34"/>
      <c r="B13" s="49" t="s">
        <v>26</v>
      </c>
      <c r="C13" s="99">
        <v>288</v>
      </c>
      <c r="D13" s="100">
        <v>278</v>
      </c>
      <c r="E13" s="100">
        <v>268</v>
      </c>
      <c r="F13" s="100">
        <v>299</v>
      </c>
      <c r="G13" s="100">
        <v>306</v>
      </c>
      <c r="H13" s="100">
        <v>290</v>
      </c>
      <c r="I13" s="100"/>
      <c r="J13" s="100"/>
      <c r="K13" s="100"/>
      <c r="L13" s="100"/>
      <c r="M13" s="100"/>
      <c r="N13" s="100"/>
      <c r="O13" s="101">
        <f t="shared" si="1"/>
        <v>1729</v>
      </c>
    </row>
    <row r="14" spans="1:16" ht="24.95" customHeight="1" thickBot="1" x14ac:dyDescent="0.35">
      <c r="A14" s="34"/>
      <c r="B14" s="49" t="s">
        <v>27</v>
      </c>
      <c r="C14" s="99">
        <v>35</v>
      </c>
      <c r="D14" s="100">
        <v>33</v>
      </c>
      <c r="E14" s="100">
        <v>34</v>
      </c>
      <c r="F14" s="100">
        <v>36</v>
      </c>
      <c r="G14" s="100">
        <v>34</v>
      </c>
      <c r="H14" s="100">
        <v>36</v>
      </c>
      <c r="I14" s="100"/>
      <c r="J14" s="100"/>
      <c r="K14" s="100"/>
      <c r="L14" s="100"/>
      <c r="M14" s="100"/>
      <c r="N14" s="100"/>
      <c r="O14" s="101">
        <f t="shared" si="1"/>
        <v>208</v>
      </c>
    </row>
    <row r="15" spans="1:16" ht="24.95" customHeight="1" thickBot="1" x14ac:dyDescent="0.35">
      <c r="A15" s="34"/>
      <c r="B15" s="49" t="s">
        <v>28</v>
      </c>
      <c r="C15" s="99">
        <v>224</v>
      </c>
      <c r="D15" s="100">
        <v>235</v>
      </c>
      <c r="E15" s="100">
        <v>265</v>
      </c>
      <c r="F15" s="100">
        <v>245</v>
      </c>
      <c r="G15" s="100">
        <v>245</v>
      </c>
      <c r="H15" s="100">
        <v>220</v>
      </c>
      <c r="I15" s="100"/>
      <c r="J15" s="100"/>
      <c r="K15" s="100"/>
      <c r="L15" s="100"/>
      <c r="M15" s="100"/>
      <c r="N15" s="100"/>
      <c r="O15" s="101">
        <f t="shared" si="1"/>
        <v>1434</v>
      </c>
    </row>
    <row r="16" spans="1:16" ht="24.95" customHeight="1" thickBot="1" x14ac:dyDescent="0.35">
      <c r="A16" s="34"/>
      <c r="B16" s="49" t="s">
        <v>29</v>
      </c>
      <c r="C16" s="99">
        <v>180</v>
      </c>
      <c r="D16" s="100">
        <v>180</v>
      </c>
      <c r="E16" s="100">
        <v>180</v>
      </c>
      <c r="F16" s="100">
        <v>180</v>
      </c>
      <c r="G16" s="100">
        <v>180</v>
      </c>
      <c r="H16" s="100">
        <v>180</v>
      </c>
      <c r="I16" s="100"/>
      <c r="J16" s="100"/>
      <c r="K16" s="100"/>
      <c r="L16" s="100"/>
      <c r="M16" s="100"/>
      <c r="N16" s="100"/>
      <c r="O16" s="101">
        <f t="shared" si="1"/>
        <v>1080</v>
      </c>
    </row>
    <row r="17" spans="1:15" ht="24.95" customHeight="1" thickBot="1" x14ac:dyDescent="0.35">
      <c r="A17" s="34"/>
      <c r="B17" s="49" t="s">
        <v>30</v>
      </c>
      <c r="C17" s="99">
        <v>256</v>
      </c>
      <c r="D17" s="100">
        <v>142</v>
      </c>
      <c r="E17" s="100">
        <v>160</v>
      </c>
      <c r="F17" s="100">
        <v>221</v>
      </c>
      <c r="G17" s="100">
        <v>256</v>
      </c>
      <c r="H17" s="100">
        <v>240</v>
      </c>
      <c r="I17" s="100"/>
      <c r="J17" s="100"/>
      <c r="K17" s="100"/>
      <c r="L17" s="100"/>
      <c r="M17" s="100"/>
      <c r="N17" s="100"/>
      <c r="O17" s="101">
        <f t="shared" si="1"/>
        <v>1275</v>
      </c>
    </row>
    <row r="18" spans="1:15" ht="24.95" customHeight="1" thickBot="1" x14ac:dyDescent="0.35">
      <c r="A18" s="34"/>
      <c r="B18" s="49" t="s">
        <v>31</v>
      </c>
      <c r="C18" s="99">
        <v>600</v>
      </c>
      <c r="D18" s="100">
        <v>600</v>
      </c>
      <c r="E18" s="100">
        <v>600</v>
      </c>
      <c r="F18" s="100">
        <v>600</v>
      </c>
      <c r="G18" s="100">
        <v>600</v>
      </c>
      <c r="H18" s="100">
        <v>600</v>
      </c>
      <c r="I18" s="100"/>
      <c r="J18" s="100"/>
      <c r="K18" s="100"/>
      <c r="L18" s="100"/>
      <c r="M18" s="100"/>
      <c r="N18" s="100"/>
      <c r="O18" s="101">
        <f t="shared" si="1"/>
        <v>3600</v>
      </c>
    </row>
    <row r="19" spans="1:15" ht="24.95" customHeight="1" x14ac:dyDescent="0.3">
      <c r="A19" s="34"/>
      <c r="B19" s="74" t="s">
        <v>22</v>
      </c>
      <c r="C19" s="103">
        <f>SUBTOTAL(109,OfficeActual[Jan])</f>
        <v>11387</v>
      </c>
      <c r="D19" s="103">
        <f>SUBTOTAL(109,OfficeActual[Feb])</f>
        <v>11698</v>
      </c>
      <c r="E19" s="103">
        <f>SUBTOTAL(109,OfficeActual[Mar])</f>
        <v>11692</v>
      </c>
      <c r="F19" s="103">
        <f>SUBTOTAL(109,OfficeActual[Apr])</f>
        <v>11611</v>
      </c>
      <c r="G19" s="103">
        <f>SUBTOTAL(109,OfficeActual[May])</f>
        <v>11508</v>
      </c>
      <c r="H19" s="103">
        <f>SUBTOTAL(109,OfficeActual[Jun])</f>
        <v>11454</v>
      </c>
      <c r="I19" s="103">
        <f>SUBTOTAL(109,OfficeActual[Jul])</f>
        <v>0</v>
      </c>
      <c r="J19" s="103">
        <f>SUBTOTAL(109,OfficeActual[Aug])</f>
        <v>0</v>
      </c>
      <c r="K19" s="103">
        <f>SUBTOTAL(109,OfficeActual[Sep])</f>
        <v>0</v>
      </c>
      <c r="L19" s="103">
        <f>SUBTOTAL(109,OfficeActual[Oct])</f>
        <v>0</v>
      </c>
      <c r="M19" s="103">
        <f>SUBTOTAL(109,OfficeActual[Nov])</f>
        <v>0</v>
      </c>
      <c r="N19" s="103">
        <f>SUBTOTAL(109,OfficeActual[Dec])</f>
        <v>0</v>
      </c>
      <c r="O19" s="104">
        <f>SUBTOTAL(109,OfficeActual[YEAR])</f>
        <v>69350</v>
      </c>
    </row>
    <row r="20" spans="1:15" ht="21" customHeight="1" x14ac:dyDescent="0.3">
      <c r="A20" s="34"/>
      <c r="B20" s="133"/>
      <c r="C20" s="133"/>
      <c r="D20" s="127"/>
      <c r="E20" s="127"/>
      <c r="F20" s="126"/>
      <c r="G20" s="126"/>
      <c r="H20" s="126"/>
      <c r="I20" s="126"/>
      <c r="J20" s="126"/>
      <c r="K20" s="126"/>
      <c r="L20" s="126"/>
      <c r="M20" s="126"/>
      <c r="N20" s="126"/>
      <c r="O20" s="125"/>
    </row>
    <row r="21" spans="1:15" ht="24.95" customHeight="1" thickBot="1" x14ac:dyDescent="0.35">
      <c r="A21" s="34" t="s">
        <v>81</v>
      </c>
      <c r="B21" s="75" t="s">
        <v>32</v>
      </c>
      <c r="C21" s="72" t="s">
        <v>46</v>
      </c>
      <c r="D21" s="68" t="s">
        <v>48</v>
      </c>
      <c r="E21" s="107" t="s">
        <v>50</v>
      </c>
      <c r="F21" s="68" t="s">
        <v>52</v>
      </c>
      <c r="G21" s="68" t="s">
        <v>54</v>
      </c>
      <c r="H21" s="68" t="s">
        <v>56</v>
      </c>
      <c r="I21" s="68" t="s">
        <v>58</v>
      </c>
      <c r="J21" s="68" t="s">
        <v>60</v>
      </c>
      <c r="K21" s="68" t="s">
        <v>64</v>
      </c>
      <c r="L21" s="68" t="s">
        <v>66</v>
      </c>
      <c r="M21" s="68" t="s">
        <v>68</v>
      </c>
      <c r="N21" s="68" t="s">
        <v>71</v>
      </c>
      <c r="O21" s="69" t="s">
        <v>72</v>
      </c>
    </row>
    <row r="22" spans="1:15" ht="24.95" customHeight="1" thickBot="1" x14ac:dyDescent="0.35">
      <c r="A22" s="34"/>
      <c r="B22" s="49" t="s">
        <v>33</v>
      </c>
      <c r="C22" s="99">
        <v>500</v>
      </c>
      <c r="D22" s="100">
        <v>500</v>
      </c>
      <c r="E22" s="100">
        <v>500</v>
      </c>
      <c r="F22" s="100">
        <v>500</v>
      </c>
      <c r="G22" s="100">
        <v>500</v>
      </c>
      <c r="H22" s="100">
        <v>500</v>
      </c>
      <c r="I22" s="100"/>
      <c r="J22" s="100"/>
      <c r="K22" s="100"/>
      <c r="L22" s="100"/>
      <c r="M22" s="100"/>
      <c r="N22" s="100"/>
      <c r="O22" s="101">
        <f t="shared" ref="O22:O27" si="2">SUM(C22:N22)</f>
        <v>3000</v>
      </c>
    </row>
    <row r="23" spans="1:15" ht="24.95" customHeight="1" thickBot="1" x14ac:dyDescent="0.35">
      <c r="A23" s="34"/>
      <c r="B23" s="49" t="s">
        <v>34</v>
      </c>
      <c r="C23" s="99">
        <v>200</v>
      </c>
      <c r="D23" s="100">
        <v>200</v>
      </c>
      <c r="E23" s="100">
        <v>200</v>
      </c>
      <c r="F23" s="100">
        <v>200</v>
      </c>
      <c r="G23" s="100">
        <v>200</v>
      </c>
      <c r="H23" s="100">
        <v>1500</v>
      </c>
      <c r="I23" s="100"/>
      <c r="J23" s="100"/>
      <c r="K23" s="100"/>
      <c r="L23" s="100"/>
      <c r="M23" s="100"/>
      <c r="N23" s="100"/>
      <c r="O23" s="101">
        <f t="shared" si="2"/>
        <v>2500</v>
      </c>
    </row>
    <row r="24" spans="1:15" ht="24.95" customHeight="1" thickBot="1" x14ac:dyDescent="0.35">
      <c r="A24" s="34"/>
      <c r="B24" s="49" t="s">
        <v>35</v>
      </c>
      <c r="C24" s="99">
        <v>4800</v>
      </c>
      <c r="D24" s="100">
        <v>0</v>
      </c>
      <c r="E24" s="100">
        <v>0</v>
      </c>
      <c r="F24" s="100">
        <v>5500</v>
      </c>
      <c r="G24" s="100">
        <v>0</v>
      </c>
      <c r="H24" s="100">
        <v>0</v>
      </c>
      <c r="I24" s="100"/>
      <c r="J24" s="100"/>
      <c r="K24" s="100"/>
      <c r="L24" s="100"/>
      <c r="M24" s="100"/>
      <c r="N24" s="100"/>
      <c r="O24" s="101">
        <f t="shared" si="2"/>
        <v>10300</v>
      </c>
    </row>
    <row r="25" spans="1:15" ht="24.95" customHeight="1" thickBot="1" x14ac:dyDescent="0.35">
      <c r="A25" s="34"/>
      <c r="B25" s="49" t="s">
        <v>36</v>
      </c>
      <c r="C25" s="99">
        <v>100</v>
      </c>
      <c r="D25" s="100">
        <v>500</v>
      </c>
      <c r="E25" s="100">
        <v>100</v>
      </c>
      <c r="F25" s="100">
        <v>100</v>
      </c>
      <c r="G25" s="100">
        <v>600</v>
      </c>
      <c r="H25" s="100">
        <v>180</v>
      </c>
      <c r="I25" s="100"/>
      <c r="J25" s="100"/>
      <c r="K25" s="100"/>
      <c r="L25" s="100"/>
      <c r="M25" s="100"/>
      <c r="N25" s="100"/>
      <c r="O25" s="101">
        <f t="shared" si="2"/>
        <v>1580</v>
      </c>
    </row>
    <row r="26" spans="1:15" ht="24.95" customHeight="1" thickBot="1" x14ac:dyDescent="0.35">
      <c r="A26" s="34"/>
      <c r="B26" s="49" t="s">
        <v>37</v>
      </c>
      <c r="C26" s="99">
        <v>1800</v>
      </c>
      <c r="D26" s="100">
        <v>2200</v>
      </c>
      <c r="E26" s="100">
        <v>2200</v>
      </c>
      <c r="F26" s="100">
        <v>4700</v>
      </c>
      <c r="G26" s="100">
        <v>1500</v>
      </c>
      <c r="H26" s="100">
        <v>2300</v>
      </c>
      <c r="I26" s="100"/>
      <c r="J26" s="100"/>
      <c r="K26" s="100"/>
      <c r="L26" s="100"/>
      <c r="M26" s="100"/>
      <c r="N26" s="100"/>
      <c r="O26" s="101">
        <f t="shared" si="2"/>
        <v>14700</v>
      </c>
    </row>
    <row r="27" spans="1:15" ht="24.95" customHeight="1" thickBot="1" x14ac:dyDescent="0.35">
      <c r="A27" s="34"/>
      <c r="B27" s="49" t="s">
        <v>38</v>
      </c>
      <c r="C27" s="99">
        <v>145</v>
      </c>
      <c r="D27" s="100">
        <v>156</v>
      </c>
      <c r="E27" s="100">
        <v>123</v>
      </c>
      <c r="F27" s="100">
        <v>223</v>
      </c>
      <c r="G27" s="100">
        <v>187</v>
      </c>
      <c r="H27" s="100">
        <v>245</v>
      </c>
      <c r="I27" s="100"/>
      <c r="J27" s="100"/>
      <c r="K27" s="100"/>
      <c r="L27" s="100"/>
      <c r="M27" s="100"/>
      <c r="N27" s="100"/>
      <c r="O27" s="101">
        <f t="shared" si="2"/>
        <v>1079</v>
      </c>
    </row>
    <row r="28" spans="1:15" ht="24.95" customHeight="1" x14ac:dyDescent="0.3">
      <c r="A28" s="34"/>
      <c r="B28" s="71" t="s">
        <v>22</v>
      </c>
      <c r="C28" s="111">
        <f>SUBTOTAL(109,MarketingActual[Jan])</f>
        <v>7545</v>
      </c>
      <c r="D28" s="103">
        <f>SUBTOTAL(109,MarketingActual[Feb])</f>
        <v>3556</v>
      </c>
      <c r="E28" s="103">
        <f>SUBTOTAL(109,MarketingActual[Mar])</f>
        <v>3123</v>
      </c>
      <c r="F28" s="103">
        <f>SUBTOTAL(109,MarketingActual[Apr])</f>
        <v>11223</v>
      </c>
      <c r="G28" s="103">
        <f>SUBTOTAL(109,MarketingActual[May])</f>
        <v>2987</v>
      </c>
      <c r="H28" s="103">
        <f>SUBTOTAL(109,MarketingActual[Jun])</f>
        <v>4725</v>
      </c>
      <c r="I28" s="103">
        <f>SUBTOTAL(109,MarketingActual[Jul])</f>
        <v>0</v>
      </c>
      <c r="J28" s="103">
        <f>SUBTOTAL(109,MarketingActual[Aug])</f>
        <v>0</v>
      </c>
      <c r="K28" s="103">
        <f>SUBTOTAL(109,MarketingActual[Sep])</f>
        <v>0</v>
      </c>
      <c r="L28" s="103">
        <f>SUBTOTAL(109,MarketingActual[Oct])</f>
        <v>0</v>
      </c>
      <c r="M28" s="103">
        <f>SUBTOTAL(109,MarketingActual[Nov])</f>
        <v>0</v>
      </c>
      <c r="N28" s="103">
        <f>SUBTOTAL(109,MarketingActual[Dec])</f>
        <v>0</v>
      </c>
      <c r="O28" s="104">
        <f>SUBTOTAL(109,MarketingActual[YEAR])</f>
        <v>33159</v>
      </c>
    </row>
    <row r="29" spans="1:15" ht="21" customHeight="1" x14ac:dyDescent="0.3">
      <c r="A29" s="34"/>
      <c r="B29" s="132"/>
      <c r="C29" s="132"/>
      <c r="D29" s="126"/>
      <c r="E29" s="126"/>
      <c r="F29" s="126"/>
      <c r="G29" s="126"/>
      <c r="H29" s="126"/>
      <c r="I29" s="126"/>
      <c r="J29" s="126"/>
      <c r="K29" s="126"/>
      <c r="L29" s="126"/>
      <c r="M29" s="126"/>
      <c r="N29" s="126"/>
      <c r="O29" s="125"/>
    </row>
    <row r="30" spans="1:15" ht="24.95" customHeight="1" thickBot="1" x14ac:dyDescent="0.35">
      <c r="A30" s="34" t="s">
        <v>82</v>
      </c>
      <c r="B30" s="62" t="s">
        <v>39</v>
      </c>
      <c r="C30" s="68" t="s">
        <v>46</v>
      </c>
      <c r="D30" s="68" t="s">
        <v>48</v>
      </c>
      <c r="E30" s="107" t="s">
        <v>50</v>
      </c>
      <c r="F30" s="68" t="s">
        <v>52</v>
      </c>
      <c r="G30" s="68" t="s">
        <v>54</v>
      </c>
      <c r="H30" s="68" t="s">
        <v>56</v>
      </c>
      <c r="I30" s="68" t="s">
        <v>58</v>
      </c>
      <c r="J30" s="68" t="s">
        <v>60</v>
      </c>
      <c r="K30" s="68" t="s">
        <v>64</v>
      </c>
      <c r="L30" s="68" t="s">
        <v>66</v>
      </c>
      <c r="M30" s="68" t="s">
        <v>68</v>
      </c>
      <c r="N30" s="68" t="s">
        <v>71</v>
      </c>
      <c r="O30" s="69" t="s">
        <v>72</v>
      </c>
    </row>
    <row r="31" spans="1:15" ht="24.95" customHeight="1" thickBot="1" x14ac:dyDescent="0.35">
      <c r="A31" s="34"/>
      <c r="B31" s="70" t="s">
        <v>40</v>
      </c>
      <c r="C31" s="100">
        <v>1600</v>
      </c>
      <c r="D31" s="100">
        <v>2400</v>
      </c>
      <c r="E31" s="100">
        <v>1400</v>
      </c>
      <c r="F31" s="100">
        <v>1600</v>
      </c>
      <c r="G31" s="100">
        <v>1200</v>
      </c>
      <c r="H31" s="100">
        <v>2800</v>
      </c>
      <c r="I31" s="100"/>
      <c r="J31" s="100"/>
      <c r="K31" s="100"/>
      <c r="L31" s="100"/>
      <c r="M31" s="100"/>
      <c r="N31" s="100"/>
      <c r="O31" s="101">
        <f>SUM(C31:N31)</f>
        <v>11000</v>
      </c>
    </row>
    <row r="32" spans="1:15" ht="24.95" customHeight="1" thickBot="1" x14ac:dyDescent="0.35">
      <c r="A32" s="34"/>
      <c r="B32" s="70" t="s">
        <v>41</v>
      </c>
      <c r="C32" s="100">
        <v>1200</v>
      </c>
      <c r="D32" s="100">
        <v>2200</v>
      </c>
      <c r="E32" s="100">
        <v>1400</v>
      </c>
      <c r="F32" s="100">
        <v>1200</v>
      </c>
      <c r="G32" s="100">
        <v>800</v>
      </c>
      <c r="H32" s="100">
        <v>3500</v>
      </c>
      <c r="I32" s="100"/>
      <c r="J32" s="100"/>
      <c r="K32" s="100"/>
      <c r="L32" s="100"/>
      <c r="M32" s="100"/>
      <c r="N32" s="100"/>
      <c r="O32" s="101">
        <f>SUM(C32:N32)</f>
        <v>10300</v>
      </c>
    </row>
    <row r="33" spans="1:16" ht="24.95" customHeight="1" x14ac:dyDescent="0.3">
      <c r="A33" s="34"/>
      <c r="B33" s="74" t="s">
        <v>22</v>
      </c>
      <c r="C33" s="103">
        <f>SUBTOTAL(109,TrainingAndTravelActual[Jan])</f>
        <v>2800</v>
      </c>
      <c r="D33" s="103">
        <f>SUBTOTAL(109,TrainingAndTravelActual[Feb])</f>
        <v>4600</v>
      </c>
      <c r="E33" s="103">
        <f>SUBTOTAL(109,TrainingAndTravelActual[Mar])</f>
        <v>2800</v>
      </c>
      <c r="F33" s="103">
        <f>SUBTOTAL(109,TrainingAndTravelActual[Apr])</f>
        <v>2800</v>
      </c>
      <c r="G33" s="103">
        <f>SUBTOTAL(109,TrainingAndTravelActual[May])</f>
        <v>2000</v>
      </c>
      <c r="H33" s="103">
        <f>SUBTOTAL(109,TrainingAndTravelActual[Jun])</f>
        <v>6300</v>
      </c>
      <c r="I33" s="103">
        <f>SUBTOTAL(109,TrainingAndTravelActual[Jul])</f>
        <v>0</v>
      </c>
      <c r="J33" s="103">
        <f>SUBTOTAL(109,TrainingAndTravelActual[Aug])</f>
        <v>0</v>
      </c>
      <c r="K33" s="103">
        <f>SUBTOTAL(109,TrainingAndTravelActual[Sep])</f>
        <v>0</v>
      </c>
      <c r="L33" s="103">
        <f>SUBTOTAL(109,TrainingAndTravelActual[Oct])</f>
        <v>0</v>
      </c>
      <c r="M33" s="103">
        <f>SUBTOTAL(109,TrainingAndTravelActual[Nov])</f>
        <v>0</v>
      </c>
      <c r="N33" s="103">
        <f>SUBTOTAL(109,TrainingAndTravelActual[Dec])</f>
        <v>0</v>
      </c>
      <c r="O33" s="104">
        <f>SUBTOTAL(109,TrainingAndTravelActual[YEAR])</f>
        <v>21300</v>
      </c>
    </row>
    <row r="34" spans="1:16" ht="21" customHeight="1" x14ac:dyDescent="0.3">
      <c r="A34" s="34"/>
      <c r="B34" s="132"/>
      <c r="C34" s="132"/>
      <c r="D34" s="125"/>
      <c r="E34" s="125"/>
      <c r="F34" s="125"/>
      <c r="G34" s="125"/>
      <c r="H34" s="125"/>
      <c r="I34" s="125"/>
      <c r="J34" s="125"/>
      <c r="K34" s="125"/>
      <c r="L34" s="125"/>
      <c r="M34" s="125"/>
      <c r="N34" s="125"/>
      <c r="O34" s="125"/>
    </row>
    <row r="35" spans="1:16" ht="24.95" customHeight="1" thickBot="1" x14ac:dyDescent="0.35">
      <c r="A35" s="34" t="s">
        <v>83</v>
      </c>
      <c r="B35" s="29" t="s">
        <v>44</v>
      </c>
      <c r="C35" s="30" t="s">
        <v>46</v>
      </c>
      <c r="D35" s="30" t="s">
        <v>48</v>
      </c>
      <c r="E35" s="30" t="s">
        <v>50</v>
      </c>
      <c r="F35" s="30" t="s">
        <v>52</v>
      </c>
      <c r="G35" s="30" t="s">
        <v>54</v>
      </c>
      <c r="H35" s="30" t="s">
        <v>56</v>
      </c>
      <c r="I35" s="30" t="s">
        <v>58</v>
      </c>
      <c r="J35" s="30" t="s">
        <v>60</v>
      </c>
      <c r="K35" s="30" t="s">
        <v>64</v>
      </c>
      <c r="L35" s="30" t="s">
        <v>66</v>
      </c>
      <c r="M35" s="30" t="s">
        <v>68</v>
      </c>
      <c r="N35" s="30" t="s">
        <v>71</v>
      </c>
      <c r="O35" s="77" t="s">
        <v>73</v>
      </c>
    </row>
    <row r="36" spans="1:16" ht="24.95" customHeight="1" thickBot="1" x14ac:dyDescent="0.35">
      <c r="A36" s="34"/>
      <c r="B36" s="76" t="s">
        <v>85</v>
      </c>
      <c r="C36" s="112">
        <f>TrainingAndTravelActual[[#Totals],[Jan]]+MarketingActual[[#Totals],[Jan]]+OfficeActual[[#Totals],[Jan]]+EmployeeActual[[#Totals],[Jan]]</f>
        <v>129682</v>
      </c>
      <c r="D36" s="113">
        <f>TrainingAndTravelActual[[#Totals],[Feb]]+MarketingActual[[#Totals],[Feb]]+OfficeActual[[#Totals],[Feb]]+EmployeeActual[[#Totals],[Feb]]</f>
        <v>127804</v>
      </c>
      <c r="E36" s="113">
        <f>TrainingAndTravelActual[[#Totals],[Mar]]+MarketingActual[[#Totals],[Mar]]+OfficeActual[[#Totals],[Mar]]+EmployeeActual[[#Totals],[Mar]]</f>
        <v>125565</v>
      </c>
      <c r="F36" s="113">
        <f>TrainingAndTravelActual[[#Totals],[Apr]]+MarketingActual[[#Totals],[Apr]]+OfficeActual[[#Totals],[Apr]]+EmployeeActual[[#Totals],[Apr]]</f>
        <v>137394</v>
      </c>
      <c r="G36" s="113">
        <f>TrainingAndTravelActual[[#Totals],[May]]+MarketingActual[[#Totals],[May]]+OfficeActual[[#Totals],[May]]+EmployeeActual[[#Totals],[May]]</f>
        <v>128255</v>
      </c>
      <c r="H36" s="113">
        <f>TrainingAndTravelActual[[#Totals],[Jun]]+MarketingActual[[#Totals],[Jun]]+OfficeActual[[#Totals],[Jun]]+EmployeeActual[[#Totals],[Jun]]</f>
        <v>134239</v>
      </c>
      <c r="I36" s="113">
        <f>TrainingAndTravelActual[[#Totals],[Jul]]+MarketingActual[[#Totals],[Jul]]+OfficeActual[[#Totals],[Jul]]+EmployeeActual[[#Totals],[Jul]]</f>
        <v>0</v>
      </c>
      <c r="J36" s="113">
        <f>TrainingAndTravelActual[[#Totals],[Aug]]+MarketingActual[[#Totals],[Aug]]+OfficeActual[[#Totals],[Aug]]+EmployeeActual[[#Totals],[Aug]]</f>
        <v>0</v>
      </c>
      <c r="K36" s="113">
        <f>TrainingAndTravelActual[[#Totals],[Sep]]+MarketingActual[[#Totals],[Sep]]+OfficeActual[[#Totals],[Sep]]+EmployeeActual[[#Totals],[Sep]]</f>
        <v>0</v>
      </c>
      <c r="L36" s="113">
        <f>TrainingAndTravelActual[[#Totals],[Oct]]+MarketingActual[[#Totals],[Oct]]+OfficeActual[[#Totals],[Oct]]+EmployeeActual[[#Totals],[Oct]]</f>
        <v>0</v>
      </c>
      <c r="M36" s="113">
        <f>TrainingAndTravelActual[[#Totals],[Nov]]+MarketingActual[[#Totals],[Nov]]+OfficeActual[[#Totals],[Nov]]+EmployeeActual[[#Totals],[Nov]]</f>
        <v>0</v>
      </c>
      <c r="N36" s="113">
        <f>TrainingAndTravelActual[[#Totals],[Dec]]+MarketingActual[[#Totals],[Dec]]+OfficeActual[[#Totals],[Dec]]+EmployeeActual[[#Totals],[Dec]]</f>
        <v>0</v>
      </c>
      <c r="O36" s="113">
        <f>TrainingAndTravelActual[[#Totals],[YEAR]]+MarketingActual[[#Totals],[YEAR]]+OfficeActual[[#Totals],[YEAR]]+EmployeeActual[[#Totals],[YEAR]]</f>
        <v>782939</v>
      </c>
      <c r="P36"/>
    </row>
    <row r="37" spans="1:16" ht="24.95" customHeight="1" thickBot="1" x14ac:dyDescent="0.35">
      <c r="A37" s="34"/>
      <c r="B37" s="76" t="s">
        <v>86</v>
      </c>
      <c r="C37" s="114">
        <f>SUM($C$36:C36)</f>
        <v>129682</v>
      </c>
      <c r="D37" s="115">
        <f>SUM($C$36:D36)</f>
        <v>257486</v>
      </c>
      <c r="E37" s="115">
        <f>SUM($C$36:E36)</f>
        <v>383051</v>
      </c>
      <c r="F37" s="115">
        <f>SUM($C$36:F36)</f>
        <v>520445</v>
      </c>
      <c r="G37" s="115">
        <f>SUM($C$36:G36)</f>
        <v>648700</v>
      </c>
      <c r="H37" s="116">
        <f>SUM($C$36:H36)</f>
        <v>782939</v>
      </c>
      <c r="I37" s="115">
        <f>SUM($C$36:I36)</f>
        <v>782939</v>
      </c>
      <c r="J37" s="115">
        <f>SUM($C$36:J36)</f>
        <v>782939</v>
      </c>
      <c r="K37" s="115">
        <f>SUM($C$36:K36)</f>
        <v>782939</v>
      </c>
      <c r="L37" s="115">
        <f>SUM($C$36:L36)</f>
        <v>782939</v>
      </c>
      <c r="M37" s="116">
        <f>SUM($C$36:M36)</f>
        <v>782939</v>
      </c>
      <c r="N37" s="115">
        <f>SUM($C$36:N36)</f>
        <v>782939</v>
      </c>
      <c r="O37" s="116"/>
      <c r="P37"/>
    </row>
    <row r="38" spans="1:16" ht="21" customHeight="1" x14ac:dyDescent="0.3">
      <c r="B38" s="2"/>
      <c r="C38" s="2"/>
      <c r="D38" s="2"/>
      <c r="E38" s="2"/>
      <c r="F38" s="2"/>
      <c r="G38" s="2"/>
      <c r="H38" s="2"/>
      <c r="I38" s="2"/>
      <c r="J38" s="2"/>
      <c r="K38" s="2"/>
      <c r="L38" s="14"/>
      <c r="M38" s="14"/>
      <c r="N38" s="14"/>
      <c r="O38" s="14"/>
    </row>
    <row r="39" spans="1:16" ht="21" customHeight="1" x14ac:dyDescent="0.3">
      <c r="B39" s="2"/>
      <c r="C39" s="2"/>
      <c r="D39" s="2"/>
      <c r="E39" s="2"/>
      <c r="F39" s="2"/>
      <c r="G39" s="2"/>
      <c r="H39" s="2"/>
      <c r="I39" s="2"/>
      <c r="J39" s="2"/>
      <c r="K39" s="2"/>
      <c r="L39" s="2"/>
      <c r="M39" s="2"/>
      <c r="N39" s="2"/>
      <c r="O39" s="2"/>
    </row>
    <row r="40" spans="1:16" ht="21" customHeight="1" x14ac:dyDescent="0.3">
      <c r="B40" s="2"/>
      <c r="C40" s="2"/>
      <c r="D40" s="2"/>
      <c r="E40" s="2"/>
      <c r="F40" s="2"/>
      <c r="G40" s="2"/>
      <c r="H40" s="2"/>
      <c r="I40" s="2"/>
      <c r="J40" s="2"/>
      <c r="K40" s="2"/>
      <c r="L40" s="2"/>
      <c r="M40" s="2"/>
      <c r="N40" s="2"/>
      <c r="O40" s="2"/>
    </row>
    <row r="41" spans="1:16" ht="21" customHeight="1" x14ac:dyDescent="0.3">
      <c r="B41" s="2"/>
      <c r="C41" s="2"/>
      <c r="D41" s="2"/>
      <c r="E41" s="2"/>
      <c r="F41" s="2"/>
      <c r="G41" s="2"/>
      <c r="H41" s="2"/>
      <c r="I41" s="2"/>
      <c r="J41" s="2"/>
      <c r="K41" s="2"/>
      <c r="L41" s="2"/>
      <c r="M41" s="2"/>
      <c r="N41" s="2"/>
      <c r="O41" s="2"/>
    </row>
  </sheetData>
  <mergeCells count="8">
    <mergeCell ref="N2:O3"/>
    <mergeCell ref="K2:M2"/>
    <mergeCell ref="K3:M3"/>
    <mergeCell ref="B34:C34"/>
    <mergeCell ref="B29:C29"/>
    <mergeCell ref="B20:C20"/>
    <mergeCell ref="B9:C9"/>
    <mergeCell ref="B2:D3"/>
  </mergeCells>
  <printOptions horizontalCentered="1"/>
  <pageMargins left="0.4" right="0.4" top="0.4" bottom="0.4" header="0.3" footer="0.3"/>
  <pageSetup paperSize="9" fitToHeight="0" orientation="landscape" r:id="rId1"/>
  <headerFooter differentFirst="1">
    <oddFooter>Page &amp;P of &amp;N</oddFooter>
  </headerFooter>
  <ignoredErrors>
    <ignoredError sqref="B2 O31:O33 O22:O28 O11:O19" emptyCellReference="1"/>
    <ignoredError sqref="C36:O37 C7:H7 C6:N6 O7" calculatedColumn="1"/>
    <ignoredError sqref="O6 I7:N7" emptyCellReference="1" calculatedColumn="1"/>
  </ignoredErrors>
  <drawing r:id="rId2"/>
  <tableParts count="5">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7"/>
    <pageSetUpPr autoPageBreaks="0" fitToPage="1"/>
  </sheetPr>
  <dimension ref="A1:P38"/>
  <sheetViews>
    <sheetView showGridLines="0" zoomScaleNormal="100" workbookViewId="0"/>
  </sheetViews>
  <sheetFormatPr defaultColWidth="9.140625" defaultRowHeight="21" customHeight="1" x14ac:dyDescent="0.3"/>
  <cols>
    <col min="1" max="1" width="4.7109375" style="1" customWidth="1"/>
    <col min="2" max="2" width="33.42578125" style="4" customWidth="1"/>
    <col min="3" max="14" width="14.7109375" style="4" customWidth="1"/>
    <col min="15" max="15" width="16.28515625" style="4" customWidth="1"/>
    <col min="16" max="16" width="4.7109375" style="1" customWidth="1"/>
    <col min="17" max="16384" width="9.140625" style="4"/>
  </cols>
  <sheetData>
    <row r="1" spans="1:16" s="1" customFormat="1" ht="24" customHeight="1" x14ac:dyDescent="0.3">
      <c r="A1" s="35" t="s">
        <v>87</v>
      </c>
      <c r="B1" s="10"/>
      <c r="C1" s="10"/>
      <c r="D1" s="10"/>
      <c r="E1" s="10"/>
      <c r="F1" s="7"/>
      <c r="G1" s="7"/>
      <c r="H1" s="7"/>
      <c r="I1" s="7"/>
      <c r="J1" s="7"/>
      <c r="K1" s="7"/>
      <c r="L1" s="7"/>
      <c r="M1" s="7"/>
      <c r="N1" s="7"/>
      <c r="O1" s="7"/>
      <c r="P1" s="67" t="s">
        <v>74</v>
      </c>
    </row>
    <row r="2" spans="1:16" s="1" customFormat="1" ht="45" customHeight="1" x14ac:dyDescent="0.35">
      <c r="A2" s="33" t="s">
        <v>77</v>
      </c>
      <c r="B2" s="134" t="str">
        <f>'PLANNED EXPENSES'!B2:D3</f>
        <v>Company Name</v>
      </c>
      <c r="C2" s="134"/>
      <c r="D2" s="134"/>
      <c r="E2" s="123"/>
      <c r="F2" s="8"/>
      <c r="G2" s="8"/>
      <c r="H2" s="8"/>
      <c r="I2" s="8"/>
      <c r="J2" s="8"/>
      <c r="K2" s="131" t="str">
        <f>worksheet_title</f>
        <v>Detailed Expense Estimates</v>
      </c>
      <c r="L2" s="131"/>
      <c r="M2" s="131"/>
      <c r="N2" s="130" t="s">
        <v>69</v>
      </c>
      <c r="O2" s="130"/>
      <c r="P2" s="7"/>
    </row>
    <row r="3" spans="1:16" s="1" customFormat="1" ht="30" customHeight="1" x14ac:dyDescent="0.3">
      <c r="A3" s="33" t="s">
        <v>10</v>
      </c>
      <c r="B3" s="134"/>
      <c r="C3" s="134"/>
      <c r="D3" s="134"/>
      <c r="E3" s="124"/>
      <c r="F3" s="9"/>
      <c r="G3" s="9"/>
      <c r="H3" s="9"/>
      <c r="I3" s="9"/>
      <c r="J3" s="9"/>
      <c r="K3" s="136" t="s">
        <v>62</v>
      </c>
      <c r="L3" s="136"/>
      <c r="M3" s="136"/>
      <c r="N3" s="130"/>
      <c r="O3" s="130"/>
      <c r="P3" s="7"/>
    </row>
    <row r="4" spans="1:16" s="22" customFormat="1" ht="49.5" customHeight="1" x14ac:dyDescent="0.3">
      <c r="A4" s="36" t="s">
        <v>88</v>
      </c>
      <c r="B4" s="23" t="s">
        <v>94</v>
      </c>
      <c r="C4" s="24" t="s">
        <v>45</v>
      </c>
      <c r="D4" s="24" t="s">
        <v>47</v>
      </c>
      <c r="E4" s="24" t="s">
        <v>49</v>
      </c>
      <c r="F4" s="24" t="s">
        <v>51</v>
      </c>
      <c r="G4" s="24" t="s">
        <v>53</v>
      </c>
      <c r="H4" s="24" t="s">
        <v>55</v>
      </c>
      <c r="I4" s="24" t="s">
        <v>57</v>
      </c>
      <c r="J4" s="24" t="s">
        <v>59</v>
      </c>
      <c r="K4" s="24" t="s">
        <v>63</v>
      </c>
      <c r="L4" s="24" t="s">
        <v>65</v>
      </c>
      <c r="M4" s="24" t="s">
        <v>67</v>
      </c>
      <c r="N4" s="24" t="s">
        <v>70</v>
      </c>
      <c r="O4" s="24" t="s">
        <v>72</v>
      </c>
    </row>
    <row r="5" spans="1:16" s="5" customFormat="1" ht="24.95" customHeight="1" thickBot="1" x14ac:dyDescent="0.35">
      <c r="A5" s="43" t="s">
        <v>89</v>
      </c>
      <c r="B5" s="62" t="s">
        <v>19</v>
      </c>
      <c r="C5" s="78" t="s">
        <v>46</v>
      </c>
      <c r="D5" s="78" t="s">
        <v>48</v>
      </c>
      <c r="E5" s="78" t="s">
        <v>50</v>
      </c>
      <c r="F5" s="78" t="s">
        <v>52</v>
      </c>
      <c r="G5" s="78" t="s">
        <v>54</v>
      </c>
      <c r="H5" s="78" t="s">
        <v>56</v>
      </c>
      <c r="I5" s="78" t="s">
        <v>58</v>
      </c>
      <c r="J5" s="78" t="s">
        <v>60</v>
      </c>
      <c r="K5" s="78" t="s">
        <v>64</v>
      </c>
      <c r="L5" s="78" t="s">
        <v>66</v>
      </c>
      <c r="M5" s="78" t="s">
        <v>68</v>
      </c>
      <c r="N5" s="78" t="s">
        <v>71</v>
      </c>
      <c r="O5" s="79" t="s">
        <v>72</v>
      </c>
      <c r="P5" s="3"/>
    </row>
    <row r="6" spans="1:16" ht="24.95" customHeight="1" thickBot="1" x14ac:dyDescent="0.35">
      <c r="A6" s="34"/>
      <c r="B6" s="49" t="s">
        <v>20</v>
      </c>
      <c r="C6" s="99">
        <f>INDEX(EmployeePlan[],MATCH(INDEX(EmployeeVariances[],ROW()-ROW(EmployeeVariances[[#Headers],[Jan]]),1),INDEX(EmployeePlan[],,1),0),MATCH(EmployeeVariances[[#Headers],[Jan]],EmployeePlan[#Headers],0))-INDEX(EmployeeActual[],MATCH(INDEX(EmployeeVariances[],ROW()-ROW(EmployeeVariances[[#Headers],[Jan]]),1),INDEX(EmployeePlan[],,1),0),MATCH(EmployeeVariances[[#Headers],[Jan]],EmployeeActual[#Headers],0))</f>
        <v>0</v>
      </c>
      <c r="D6" s="100">
        <f>INDEX(EmployeePlan[],MATCH(INDEX(EmployeeVariances[],ROW()-ROW(EmployeeVariances[[#Headers],[Feb]]),1),INDEX(EmployeePlan[],,1),0),MATCH(EmployeeVariances[[#Headers],[Feb]],EmployeePlan[#Headers],0))-INDEX(EmployeeActual[],MATCH(INDEX(EmployeeVariances[],ROW()-ROW(EmployeeVariances[[#Headers],[Feb]]),1),INDEX(EmployeePlan[],,1),0),MATCH(EmployeeVariances[[#Headers],[Feb]],EmployeeActual[#Headers],0))</f>
        <v>0</v>
      </c>
      <c r="E6" s="100">
        <f>INDEX(EmployeePlan[],MATCH(INDEX(EmployeeVariances[],ROW()-ROW(EmployeeVariances[[#Headers],[Mar]]),1),INDEX(EmployeePlan[],,1),0),MATCH(EmployeeVariances[[#Headers],[Mar]],EmployeePlan[#Headers],0))-INDEX(EmployeeActual[],MATCH(INDEX(EmployeeVariances[],ROW()-ROW(EmployeeVariances[[#Headers],[Mar]]),1),INDEX(EmployeePlan[],,1),0),MATCH(EmployeeVariances[[#Headers],[Mar]],EmployeeActual[#Headers],0))</f>
        <v>0</v>
      </c>
      <c r="F6" s="100">
        <f>INDEX(EmployeePlan[],MATCH(INDEX(EmployeeVariances[],ROW()-ROW(EmployeeVariances[[#Headers],[Apr]]),1),INDEX(EmployeePlan[],,1),0),MATCH(EmployeeVariances[[#Headers],[Apr]],EmployeePlan[#Headers],0))-INDEX(EmployeeActual[],MATCH(INDEX(EmployeeVariances[],ROW()-ROW(EmployeeVariances[[#Headers],[Apr]]),1),INDEX(EmployeePlan[],,1),0),MATCH(EmployeeVariances[[#Headers],[Apr]],EmployeeActual[#Headers],0))</f>
        <v>-500</v>
      </c>
      <c r="G6" s="100">
        <f>INDEX(EmployeePlan[],MATCH(INDEX(EmployeeVariances[],ROW()-ROW(EmployeeVariances[[#Headers],[May]]),1),INDEX(EmployeePlan[],,1),0),MATCH(EmployeeVariances[[#Headers],[May]],EmployeePlan[#Headers],0))-INDEX(EmployeeActual[],MATCH(INDEX(EmployeeVariances[],ROW()-ROW(EmployeeVariances[[#Headers],[May]]),1),INDEX(EmployeePlan[],,1),0),MATCH(EmployeeVariances[[#Headers],[May]],EmployeeActual[#Headers],0))</f>
        <v>-500</v>
      </c>
      <c r="H6" s="100">
        <f>INDEX(EmployeePlan[],MATCH(INDEX(EmployeeVariances[],ROW()-ROW(EmployeeVariances[[#Headers],[Jun]]),1),INDEX(EmployeePlan[],,1),0),MATCH(EmployeeVariances[[#Headers],[Jun]],EmployeePlan[#Headers],0))-INDEX(EmployeeActual[],MATCH(INDEX(EmployeeVariances[],ROW()-ROW(EmployeeVariances[[#Headers],[Jun]]),1),INDEX(EmployeePlan[],,1),0),MATCH(EmployeeVariances[[#Headers],[Jun]],EmployeeActual[#Headers],0))</f>
        <v>-500</v>
      </c>
      <c r="I6" s="100">
        <f>INDEX(EmployeePlan[],MATCH(INDEX(EmployeeVariances[],ROW()-ROW(EmployeeVariances[[#Headers],[Jul]]),1),INDEX(EmployeePlan[],,1),0),MATCH(EmployeeVariances[[#Headers],[Jul]],EmployeePlan[#Headers],0))-INDEX(EmployeeActual[],MATCH(INDEX(EmployeeVariances[],ROW()-ROW(EmployeeVariances[[#Headers],[Jul]]),1),INDEX(EmployeePlan[],,1),0),MATCH(EmployeeVariances[[#Headers],[Jul]],EmployeeActual[#Headers],0))</f>
        <v>87500</v>
      </c>
      <c r="J6" s="100">
        <f>INDEX(EmployeePlan[],MATCH(INDEX(EmployeeVariances[],ROW()-ROW(EmployeeVariances[[#Headers],[Aug]]),1),INDEX(EmployeePlan[],,1),0),MATCH(EmployeeVariances[[#Headers],[Aug]],EmployeePlan[#Headers],0))-INDEX(EmployeeActual[],MATCH(INDEX(EmployeeVariances[],ROW()-ROW(EmployeeVariances[[#Headers],[Aug]]),1),INDEX(EmployeePlan[],,1),0),MATCH(EmployeeVariances[[#Headers],[Aug]],EmployeeActual[#Headers],0))</f>
        <v>92400</v>
      </c>
      <c r="K6" s="100">
        <f>INDEX(EmployeePlan[],MATCH(INDEX(EmployeeVariances[],ROW()-ROW(EmployeeVariances[[#Headers],[Sep]]),1),INDEX(EmployeePlan[],,1),0),MATCH(EmployeeVariances[[#Headers],[Sep]],EmployeePlan[#Headers],0))-INDEX(EmployeeActual[],MATCH(INDEX(EmployeeVariances[],ROW()-ROW(EmployeeVariances[[#Headers],[Sep]]),1),INDEX(EmployeePlan[],,1),0),MATCH(EmployeeVariances[[#Headers],[Sep]],EmployeeActual[#Headers],0))</f>
        <v>92400</v>
      </c>
      <c r="L6" s="100">
        <f>INDEX(EmployeePlan[],MATCH(INDEX(EmployeeVariances[],ROW()-ROW(EmployeeVariances[[#Headers],[Oct]]),1),INDEX(EmployeePlan[],,1),0),MATCH(EmployeeVariances[[#Headers],[Oct]],EmployeePlan[#Headers],0))-INDEX(EmployeeActual[],MATCH(INDEX(EmployeeVariances[],ROW()-ROW(EmployeeVariances[[#Headers],[Oct]]),1),INDEX(EmployeePlan[],,1),0),MATCH(EmployeeVariances[[#Headers],[Oct]],EmployeeActual[#Headers],0))</f>
        <v>92400</v>
      </c>
      <c r="M6" s="100">
        <f>INDEX(EmployeePlan[],MATCH(INDEX(EmployeeVariances[],ROW()-ROW(EmployeeVariances[[#Headers],[Nov]]),1),INDEX(EmployeePlan[],,1),0),MATCH(EmployeeVariances[[#Headers],[Nov]],EmployeePlan[#Headers],0))-INDEX(EmployeeActual[],MATCH(INDEX(EmployeeVariances[],ROW()-ROW(EmployeeVariances[[#Headers],[Nov]]),1),INDEX(EmployeePlan[],,1),0),MATCH(EmployeeVariances[[#Headers],[Nov]],EmployeeActual[#Headers],0))</f>
        <v>92400</v>
      </c>
      <c r="N6" s="100">
        <f>INDEX(EmployeePlan[],MATCH(INDEX(EmployeeVariances[],ROW()-ROW(EmployeeVariances[[#Headers],[Dec]]),1),INDEX(EmployeePlan[],,1),0),MATCH(EmployeeVariances[[#Headers],[Dec]],EmployeePlan[#Headers],0))-INDEX(EmployeeActual[],MATCH(INDEX(EmployeeVariances[],ROW()-ROW(EmployeeVariances[[#Headers],[Dec]]),1),INDEX(EmployeePlan[],,1),0),MATCH(EmployeeVariances[[#Headers],[Dec]],EmployeeActual[#Headers],0))</f>
        <v>92400</v>
      </c>
      <c r="O6" s="101">
        <f>SUM(EmployeeVariances[[#This Row],[Jan]:[Dec]])</f>
        <v>548000</v>
      </c>
    </row>
    <row r="7" spans="1:16" ht="24.95" customHeight="1" thickBot="1" x14ac:dyDescent="0.35">
      <c r="A7" s="34"/>
      <c r="B7" s="49" t="s">
        <v>21</v>
      </c>
      <c r="C7" s="99">
        <f>INDEX(EmployeePlan[],MATCH(INDEX(EmployeeVariances[],ROW()-ROW(EmployeeVariances[[#Headers],[Jan]]),1),INDEX(EmployeePlan[],,1),0),MATCH(EmployeeVariances[[#Headers],[Jan]],EmployeePlan[#Headers],0))-INDEX(EmployeeActual[],MATCH(INDEX(EmployeeVariances[],ROW()-ROW(EmployeeVariances[[#Headers],[Jan]]),1),INDEX(EmployeePlan[],,1),0),MATCH(EmployeeVariances[[#Headers],[Jan]],EmployeeActual[#Headers],0))</f>
        <v>0</v>
      </c>
      <c r="D7" s="100">
        <f>INDEX(EmployeePlan[],MATCH(INDEX(EmployeeVariances[],ROW()-ROW(EmployeeVariances[[#Headers],[Feb]]),1),INDEX(EmployeePlan[],,1),0),MATCH(EmployeeVariances[[#Headers],[Feb]],EmployeePlan[#Headers],0))-INDEX(EmployeeActual[],MATCH(INDEX(EmployeeVariances[],ROW()-ROW(EmployeeVariances[[#Headers],[Feb]]),1),INDEX(EmployeePlan[],,1),0),MATCH(EmployeeVariances[[#Headers],[Feb]],EmployeeActual[#Headers],0))</f>
        <v>0</v>
      </c>
      <c r="E7" s="100">
        <f>INDEX(EmployeePlan[],MATCH(INDEX(EmployeeVariances[],ROW()-ROW(EmployeeVariances[[#Headers],[Mar]]),1),INDEX(EmployeePlan[],,1),0),MATCH(EmployeeVariances[[#Headers],[Mar]],EmployeePlan[#Headers],0))-INDEX(EmployeeActual[],MATCH(INDEX(EmployeeVariances[],ROW()-ROW(EmployeeVariances[[#Headers],[Mar]]),1),INDEX(EmployeePlan[],,1),0),MATCH(EmployeeVariances[[#Headers],[Mar]],EmployeeActual[#Headers],0))</f>
        <v>0</v>
      </c>
      <c r="F7" s="100">
        <f>INDEX(EmployeePlan[],MATCH(INDEX(EmployeeVariances[],ROW()-ROW(EmployeeVariances[[#Headers],[Apr]]),1),INDEX(EmployeePlan[],,1),0),MATCH(EmployeeVariances[[#Headers],[Apr]],EmployeePlan[#Headers],0))-INDEX(EmployeeActual[],MATCH(INDEX(EmployeeVariances[],ROW()-ROW(EmployeeVariances[[#Headers],[Apr]]),1),INDEX(EmployeePlan[],,1),0),MATCH(EmployeeVariances[[#Headers],[Apr]],EmployeeActual[#Headers],0))</f>
        <v>-135</v>
      </c>
      <c r="G7" s="100">
        <f>INDEX(EmployeePlan[],MATCH(INDEX(EmployeeVariances[],ROW()-ROW(EmployeeVariances[[#Headers],[May]]),1),INDEX(EmployeePlan[],,1),0),MATCH(EmployeeVariances[[#Headers],[May]],EmployeePlan[#Headers],0))-INDEX(EmployeeActual[],MATCH(INDEX(EmployeeVariances[],ROW()-ROW(EmployeeVariances[[#Headers],[May]]),1),INDEX(EmployeePlan[],,1),0),MATCH(EmployeeVariances[[#Headers],[May]],EmployeeActual[#Headers],0))</f>
        <v>-135</v>
      </c>
      <c r="H7" s="100">
        <f>INDEX(EmployeePlan[],MATCH(INDEX(EmployeeVariances[],ROW()-ROW(EmployeeVariances[[#Headers],[Jun]]),1),INDEX(EmployeePlan[],,1),0),MATCH(EmployeeVariances[[#Headers],[Jun]],EmployeePlan[#Headers],0))-INDEX(EmployeeActual[],MATCH(INDEX(EmployeeVariances[],ROW()-ROW(EmployeeVariances[[#Headers],[Jun]]),1),INDEX(EmployeePlan[],,1),0),MATCH(EmployeeVariances[[#Headers],[Jun]],EmployeeActual[#Headers],0))</f>
        <v>-135</v>
      </c>
      <c r="I7" s="100">
        <f>INDEX(EmployeePlan[],MATCH(INDEX(EmployeeVariances[],ROW()-ROW(EmployeeVariances[[#Headers],[Jul]]),1),INDEX(EmployeePlan[],,1),0),MATCH(EmployeeVariances[[#Headers],[Jul]],EmployeePlan[#Headers],0))-INDEX(EmployeeActual[],MATCH(INDEX(EmployeeVariances[],ROW()-ROW(EmployeeVariances[[#Headers],[Jul]]),1),INDEX(EmployeePlan[],,1),0),MATCH(EmployeeVariances[[#Headers],[Jul]],EmployeeActual[#Headers],0))</f>
        <v>23625</v>
      </c>
      <c r="J7" s="100">
        <f>INDEX(EmployeePlan[],MATCH(INDEX(EmployeeVariances[],ROW()-ROW(EmployeeVariances[[#Headers],[Aug]]),1),INDEX(EmployeePlan[],,1),0),MATCH(EmployeeVariances[[#Headers],[Aug]],EmployeePlan[#Headers],0))-INDEX(EmployeeActual[],MATCH(INDEX(EmployeeVariances[],ROW()-ROW(EmployeeVariances[[#Headers],[Aug]]),1),INDEX(EmployeePlan[],,1),0),MATCH(EmployeeVariances[[#Headers],[Aug]],EmployeeActual[#Headers],0))</f>
        <v>24948</v>
      </c>
      <c r="K7" s="100">
        <f>INDEX(EmployeePlan[],MATCH(INDEX(EmployeeVariances[],ROW()-ROW(EmployeeVariances[[#Headers],[Sep]]),1),INDEX(EmployeePlan[],,1),0),MATCH(EmployeeVariances[[#Headers],[Sep]],EmployeePlan[#Headers],0))-INDEX(EmployeeActual[],MATCH(INDEX(EmployeeVariances[],ROW()-ROW(EmployeeVariances[[#Headers],[Sep]]),1),INDEX(EmployeePlan[],,1),0),MATCH(EmployeeVariances[[#Headers],[Sep]],EmployeeActual[#Headers],0))</f>
        <v>24948</v>
      </c>
      <c r="L7" s="100">
        <f>INDEX(EmployeePlan[],MATCH(INDEX(EmployeeVariances[],ROW()-ROW(EmployeeVariances[[#Headers],[Oct]]),1),INDEX(EmployeePlan[],,1),0),MATCH(EmployeeVariances[[#Headers],[Oct]],EmployeePlan[#Headers],0))-INDEX(EmployeeActual[],MATCH(INDEX(EmployeeVariances[],ROW()-ROW(EmployeeVariances[[#Headers],[Oct]]),1),INDEX(EmployeePlan[],,1),0),MATCH(EmployeeVariances[[#Headers],[Oct]],EmployeeActual[#Headers],0))</f>
        <v>24948</v>
      </c>
      <c r="M7" s="100">
        <f>INDEX(EmployeePlan[],MATCH(INDEX(EmployeeVariances[],ROW()-ROW(EmployeeVariances[[#Headers],[Nov]]),1),INDEX(EmployeePlan[],,1),0),MATCH(EmployeeVariances[[#Headers],[Nov]],EmployeePlan[#Headers],0))-INDEX(EmployeeActual[],MATCH(INDEX(EmployeeVariances[],ROW()-ROW(EmployeeVariances[[#Headers],[Nov]]),1),INDEX(EmployeePlan[],,1),0),MATCH(EmployeeVariances[[#Headers],[Nov]],EmployeeActual[#Headers],0))</f>
        <v>24948</v>
      </c>
      <c r="N7" s="100">
        <f>INDEX(EmployeePlan[],MATCH(INDEX(EmployeeVariances[],ROW()-ROW(EmployeeVariances[[#Headers],[Dec]]),1),INDEX(EmployeePlan[],,1),0),MATCH(EmployeeVariances[[#Headers],[Dec]],EmployeePlan[#Headers],0))-INDEX(EmployeeActual[],MATCH(INDEX(EmployeeVariances[],ROW()-ROW(EmployeeVariances[[#Headers],[Dec]]),1),INDEX(EmployeePlan[],,1),0),MATCH(EmployeeVariances[[#Headers],[Dec]],EmployeeActual[#Headers],0))</f>
        <v>24948</v>
      </c>
      <c r="O7" s="101">
        <f>SUM(EmployeeVariances[[#This Row],[Jan]:[Dec]])</f>
        <v>147960</v>
      </c>
    </row>
    <row r="8" spans="1:16" ht="24.95" customHeight="1" x14ac:dyDescent="0.3">
      <c r="A8" s="34"/>
      <c r="B8" s="80" t="s">
        <v>22</v>
      </c>
      <c r="C8" s="109">
        <f>SUBTOTAL(109,EmployeeVariances[Jan])</f>
        <v>0</v>
      </c>
      <c r="D8" s="109">
        <f>SUBTOTAL(109,EmployeeVariances[Feb])</f>
        <v>0</v>
      </c>
      <c r="E8" s="109">
        <f>SUBTOTAL(109,EmployeeVariances[Mar])</f>
        <v>0</v>
      </c>
      <c r="F8" s="109">
        <f>SUBTOTAL(109,EmployeeVariances[Apr])</f>
        <v>-635</v>
      </c>
      <c r="G8" s="109">
        <f>SUBTOTAL(109,EmployeeVariances[May])</f>
        <v>-635</v>
      </c>
      <c r="H8" s="109">
        <f>SUBTOTAL(109,EmployeeVariances[Jun])</f>
        <v>-635</v>
      </c>
      <c r="I8" s="109">
        <f>SUBTOTAL(109,EmployeeVariances[Jul])</f>
        <v>111125</v>
      </c>
      <c r="J8" s="109">
        <f>SUBTOTAL(109,EmployeeVariances[Aug])</f>
        <v>117348</v>
      </c>
      <c r="K8" s="109">
        <f>SUBTOTAL(109,EmployeeVariances[Sep])</f>
        <v>117348</v>
      </c>
      <c r="L8" s="109">
        <f>SUBTOTAL(109,EmployeeVariances[Oct])</f>
        <v>117348</v>
      </c>
      <c r="M8" s="109">
        <f>SUBTOTAL(109,EmployeeVariances[Nov])</f>
        <v>117348</v>
      </c>
      <c r="N8" s="109">
        <f>SUBTOTAL(109,EmployeeVariances[Dec])</f>
        <v>117348</v>
      </c>
      <c r="O8" s="110">
        <f>SUBTOTAL(109,EmployeeVariances[YEAR])</f>
        <v>695960</v>
      </c>
    </row>
    <row r="9" spans="1:16" ht="21" customHeight="1" x14ac:dyDescent="0.3">
      <c r="A9" s="34"/>
      <c r="B9" s="137"/>
      <c r="C9" s="137"/>
      <c r="D9" s="127"/>
      <c r="E9" s="127"/>
      <c r="F9" s="127"/>
      <c r="G9" s="127"/>
      <c r="H9" s="127"/>
      <c r="I9" s="127"/>
      <c r="J9" s="127"/>
      <c r="K9" s="127"/>
      <c r="L9" s="127"/>
      <c r="M9" s="127"/>
      <c r="N9" s="127"/>
      <c r="O9" s="125"/>
    </row>
    <row r="10" spans="1:16" ht="24.95" customHeight="1" thickBot="1" x14ac:dyDescent="0.35">
      <c r="A10" s="34" t="s">
        <v>90</v>
      </c>
      <c r="B10" s="52" t="s">
        <v>23</v>
      </c>
      <c r="C10" s="68" t="s">
        <v>46</v>
      </c>
      <c r="D10" s="68" t="s">
        <v>48</v>
      </c>
      <c r="E10" s="107" t="s">
        <v>50</v>
      </c>
      <c r="F10" s="68" t="s">
        <v>52</v>
      </c>
      <c r="G10" s="68" t="s">
        <v>54</v>
      </c>
      <c r="H10" s="68" t="s">
        <v>56</v>
      </c>
      <c r="I10" s="68" t="s">
        <v>58</v>
      </c>
      <c r="J10" s="68" t="s">
        <v>60</v>
      </c>
      <c r="K10" s="68" t="s">
        <v>64</v>
      </c>
      <c r="L10" s="68" t="s">
        <v>66</v>
      </c>
      <c r="M10" s="68" t="s">
        <v>68</v>
      </c>
      <c r="N10" s="68" t="s">
        <v>71</v>
      </c>
      <c r="O10" s="69" t="s">
        <v>72</v>
      </c>
    </row>
    <row r="11" spans="1:16" ht="24.95" customHeight="1" thickBot="1" x14ac:dyDescent="0.35">
      <c r="A11" s="34"/>
      <c r="B11" s="70" t="s">
        <v>24</v>
      </c>
      <c r="C11" s="100">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0</v>
      </c>
      <c r="D11" s="100">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0</v>
      </c>
      <c r="E11" s="100">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0</v>
      </c>
      <c r="F11" s="100">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0</v>
      </c>
      <c r="G11" s="100">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0</v>
      </c>
      <c r="H11" s="100">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0</v>
      </c>
      <c r="I11" s="100">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9800</v>
      </c>
      <c r="J11" s="100">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9800</v>
      </c>
      <c r="K11" s="100">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9800</v>
      </c>
      <c r="L11" s="100">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9800</v>
      </c>
      <c r="M11" s="100">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9800</v>
      </c>
      <c r="N11" s="100">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9800</v>
      </c>
      <c r="O11" s="101">
        <f>SUM(OfficeVariances[[#This Row],[Jan]:[Dec]])</f>
        <v>58800</v>
      </c>
    </row>
    <row r="12" spans="1:16" ht="24.95" customHeight="1" thickBot="1" x14ac:dyDescent="0.35">
      <c r="A12" s="34"/>
      <c r="B12" s="70" t="s">
        <v>25</v>
      </c>
      <c r="C12" s="100">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-4</v>
      </c>
      <c r="D12" s="100">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-30</v>
      </c>
      <c r="E12" s="100">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15</v>
      </c>
      <c r="F12" s="100">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-130</v>
      </c>
      <c r="G12" s="100">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13</v>
      </c>
      <c r="H12" s="100">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12</v>
      </c>
      <c r="I12" s="100">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100</v>
      </c>
      <c r="J12" s="100">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100</v>
      </c>
      <c r="K12" s="100">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100</v>
      </c>
      <c r="L12" s="100">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100</v>
      </c>
      <c r="M12" s="100">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400</v>
      </c>
      <c r="N12" s="100">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400</v>
      </c>
      <c r="O12" s="101">
        <f>SUM(OfficeVariances[[#This Row],[Jan]:[Dec]])</f>
        <v>1076</v>
      </c>
    </row>
    <row r="13" spans="1:16" ht="24.95" customHeight="1" thickBot="1" x14ac:dyDescent="0.35">
      <c r="A13" s="34"/>
      <c r="B13" s="70" t="s">
        <v>26</v>
      </c>
      <c r="C13" s="100">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12</v>
      </c>
      <c r="D13" s="100">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22</v>
      </c>
      <c r="E13" s="100">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32</v>
      </c>
      <c r="F13" s="100">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1</v>
      </c>
      <c r="G13" s="100">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-6</v>
      </c>
      <c r="H13" s="100">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10</v>
      </c>
      <c r="I13" s="100">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300</v>
      </c>
      <c r="J13" s="100">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300</v>
      </c>
      <c r="K13" s="100">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300</v>
      </c>
      <c r="L13" s="100">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300</v>
      </c>
      <c r="M13" s="100">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300</v>
      </c>
      <c r="N13" s="100">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300</v>
      </c>
      <c r="O13" s="101">
        <f>SUM(OfficeVariances[[#This Row],[Jan]:[Dec]])</f>
        <v>1871</v>
      </c>
    </row>
    <row r="14" spans="1:16" ht="24.95" customHeight="1" thickBot="1" x14ac:dyDescent="0.35">
      <c r="A14" s="34"/>
      <c r="B14" s="70" t="s">
        <v>27</v>
      </c>
      <c r="C14" s="100">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5</v>
      </c>
      <c r="D14" s="100">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7</v>
      </c>
      <c r="E14" s="100">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6</v>
      </c>
      <c r="F14" s="100">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4</v>
      </c>
      <c r="G14" s="100">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6</v>
      </c>
      <c r="H14" s="100">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4</v>
      </c>
      <c r="I14" s="100">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40</v>
      </c>
      <c r="J14" s="100">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40</v>
      </c>
      <c r="K14" s="100">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40</v>
      </c>
      <c r="L14" s="100">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40</v>
      </c>
      <c r="M14" s="100">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40</v>
      </c>
      <c r="N14" s="100">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40</v>
      </c>
      <c r="O14" s="101">
        <f>SUM(OfficeVariances[[#This Row],[Jan]:[Dec]])</f>
        <v>272</v>
      </c>
    </row>
    <row r="15" spans="1:16" ht="24.95" customHeight="1" thickBot="1" x14ac:dyDescent="0.35">
      <c r="A15" s="34"/>
      <c r="B15" s="70" t="s">
        <v>28</v>
      </c>
      <c r="C15" s="100">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26</v>
      </c>
      <c r="D15" s="100">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15</v>
      </c>
      <c r="E15" s="100">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-15</v>
      </c>
      <c r="F15" s="100">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5</v>
      </c>
      <c r="G15" s="100">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5</v>
      </c>
      <c r="H15" s="100">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30</v>
      </c>
      <c r="I15" s="100">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250</v>
      </c>
      <c r="J15" s="100">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250</v>
      </c>
      <c r="K15" s="100">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250</v>
      </c>
      <c r="L15" s="100">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250</v>
      </c>
      <c r="M15" s="100">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250</v>
      </c>
      <c r="N15" s="100">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250</v>
      </c>
      <c r="O15" s="101">
        <f>SUM(OfficeVariances[[#This Row],[Jan]:[Dec]])</f>
        <v>1566</v>
      </c>
    </row>
    <row r="16" spans="1:16" ht="24.95" customHeight="1" thickBot="1" x14ac:dyDescent="0.35">
      <c r="A16" s="34"/>
      <c r="B16" s="70" t="s">
        <v>29</v>
      </c>
      <c r="C16" s="100">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0</v>
      </c>
      <c r="D16" s="100">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0</v>
      </c>
      <c r="E16" s="100">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0</v>
      </c>
      <c r="F16" s="100">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0</v>
      </c>
      <c r="G16" s="100">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0</v>
      </c>
      <c r="H16" s="100">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0</v>
      </c>
      <c r="I16" s="100">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180</v>
      </c>
      <c r="J16" s="100">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180</v>
      </c>
      <c r="K16" s="100">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180</v>
      </c>
      <c r="L16" s="100">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180</v>
      </c>
      <c r="M16" s="100">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180</v>
      </c>
      <c r="N16" s="100">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180</v>
      </c>
      <c r="O16" s="101">
        <f>SUM(OfficeVariances[[#This Row],[Jan]:[Dec]])</f>
        <v>1080</v>
      </c>
    </row>
    <row r="17" spans="1:15" ht="24.95" customHeight="1" thickBot="1" x14ac:dyDescent="0.35">
      <c r="A17" s="34"/>
      <c r="B17" s="70" t="s">
        <v>30</v>
      </c>
      <c r="C17" s="100">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-56</v>
      </c>
      <c r="D17" s="100">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58</v>
      </c>
      <c r="E17" s="100">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40</v>
      </c>
      <c r="F17" s="100">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-21</v>
      </c>
      <c r="G17" s="100">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-56</v>
      </c>
      <c r="H17" s="100">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-40</v>
      </c>
      <c r="I17" s="100">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200</v>
      </c>
      <c r="J17" s="100">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200</v>
      </c>
      <c r="K17" s="100">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200</v>
      </c>
      <c r="L17" s="100">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200</v>
      </c>
      <c r="M17" s="100">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200</v>
      </c>
      <c r="N17" s="100">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200</v>
      </c>
      <c r="O17" s="101">
        <f>SUM(OfficeVariances[[#This Row],[Jan]:[Dec]])</f>
        <v>1125</v>
      </c>
    </row>
    <row r="18" spans="1:15" ht="24.95" customHeight="1" thickBot="1" x14ac:dyDescent="0.35">
      <c r="A18" s="34"/>
      <c r="B18" s="70" t="s">
        <v>31</v>
      </c>
      <c r="C18" s="100">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0</v>
      </c>
      <c r="D18" s="100">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0</v>
      </c>
      <c r="E18" s="100">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0</v>
      </c>
      <c r="F18" s="100">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0</v>
      </c>
      <c r="G18" s="100">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0</v>
      </c>
      <c r="H18" s="100">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0</v>
      </c>
      <c r="I18" s="100">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600</v>
      </c>
      <c r="J18" s="100">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600</v>
      </c>
      <c r="K18" s="100">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600</v>
      </c>
      <c r="L18" s="100">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600</v>
      </c>
      <c r="M18" s="100">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600</v>
      </c>
      <c r="N18" s="100">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600</v>
      </c>
      <c r="O18" s="101">
        <f>SUM(OfficeVariances[[#This Row],[Jan]:[Dec]])</f>
        <v>3600</v>
      </c>
    </row>
    <row r="19" spans="1:15" ht="24.95" customHeight="1" x14ac:dyDescent="0.3">
      <c r="A19" s="34"/>
      <c r="B19" s="82" t="s">
        <v>22</v>
      </c>
      <c r="C19" s="117">
        <f>SUBTOTAL(109,OfficeVariances[Jan])</f>
        <v>-17</v>
      </c>
      <c r="D19" s="109">
        <f>SUBTOTAL(109,OfficeVariances[Feb])</f>
        <v>72</v>
      </c>
      <c r="E19" s="109">
        <f>SUBTOTAL(109,OfficeVariances[Mar])</f>
        <v>78</v>
      </c>
      <c r="F19" s="109">
        <f>SUBTOTAL(109,OfficeVariances[Apr])</f>
        <v>-141</v>
      </c>
      <c r="G19" s="109">
        <f>SUBTOTAL(109,OfficeVariances[May])</f>
        <v>-38</v>
      </c>
      <c r="H19" s="109">
        <f>SUBTOTAL(109,OfficeVariances[Jun])</f>
        <v>16</v>
      </c>
      <c r="I19" s="109">
        <f>SUBTOTAL(109,OfficeVariances[Jul])</f>
        <v>11470</v>
      </c>
      <c r="J19" s="109">
        <f>SUBTOTAL(109,OfficeVariances[Aug])</f>
        <v>11470</v>
      </c>
      <c r="K19" s="109">
        <f>SUBTOTAL(109,OfficeVariances[Sep])</f>
        <v>11470</v>
      </c>
      <c r="L19" s="109">
        <f>SUBTOTAL(109,OfficeVariances[Oct])</f>
        <v>11470</v>
      </c>
      <c r="M19" s="109">
        <f>SUBTOTAL(109,OfficeVariances[Nov])</f>
        <v>11770</v>
      </c>
      <c r="N19" s="109">
        <f>SUBTOTAL(109,OfficeVariances[Dec])</f>
        <v>11770</v>
      </c>
      <c r="O19" s="110">
        <f>SUBTOTAL(109,OfficeVariances[YEAR])</f>
        <v>69390</v>
      </c>
    </row>
    <row r="20" spans="1:15" ht="21" customHeight="1" x14ac:dyDescent="0.3">
      <c r="A20" s="34"/>
      <c r="B20" s="138"/>
      <c r="C20" s="138"/>
      <c r="D20" s="127"/>
      <c r="E20" s="127"/>
      <c r="F20" s="126"/>
      <c r="G20" s="126"/>
      <c r="H20" s="126"/>
      <c r="I20" s="126"/>
      <c r="J20" s="126"/>
      <c r="K20" s="126"/>
      <c r="L20" s="126"/>
      <c r="M20" s="126"/>
      <c r="N20" s="126"/>
      <c r="O20" s="125"/>
    </row>
    <row r="21" spans="1:15" ht="24.95" customHeight="1" thickBot="1" x14ac:dyDescent="0.35">
      <c r="A21" s="34" t="s">
        <v>91</v>
      </c>
      <c r="B21" s="60" t="s">
        <v>32</v>
      </c>
      <c r="C21" s="68" t="s">
        <v>46</v>
      </c>
      <c r="D21" s="68" t="s">
        <v>48</v>
      </c>
      <c r="E21" s="107" t="s">
        <v>50</v>
      </c>
      <c r="F21" s="68" t="s">
        <v>52</v>
      </c>
      <c r="G21" s="68" t="s">
        <v>54</v>
      </c>
      <c r="H21" s="68" t="s">
        <v>56</v>
      </c>
      <c r="I21" s="68" t="s">
        <v>58</v>
      </c>
      <c r="J21" s="68" t="s">
        <v>60</v>
      </c>
      <c r="K21" s="68" t="s">
        <v>64</v>
      </c>
      <c r="L21" s="68" t="s">
        <v>66</v>
      </c>
      <c r="M21" s="68" t="s">
        <v>68</v>
      </c>
      <c r="N21" s="68" t="s">
        <v>71</v>
      </c>
      <c r="O21" s="69" t="s">
        <v>72</v>
      </c>
    </row>
    <row r="22" spans="1:15" ht="24.95" customHeight="1" thickBot="1" x14ac:dyDescent="0.35">
      <c r="A22" s="34"/>
      <c r="B22" s="70" t="s">
        <v>33</v>
      </c>
      <c r="C22" s="100">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0</v>
      </c>
      <c r="D22" s="100">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0</v>
      </c>
      <c r="E22" s="100">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0</v>
      </c>
      <c r="F22" s="100">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0</v>
      </c>
      <c r="G22" s="100">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0</v>
      </c>
      <c r="H22" s="100">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0</v>
      </c>
      <c r="I22" s="100">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500</v>
      </c>
      <c r="J22" s="100">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500</v>
      </c>
      <c r="K22" s="100">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500</v>
      </c>
      <c r="L22" s="100">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500</v>
      </c>
      <c r="M22" s="100">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500</v>
      </c>
      <c r="N22" s="100">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500</v>
      </c>
      <c r="O22" s="101">
        <f>SUM(MarketingVariances[[#This Row],[Jan]:[Dec]])</f>
        <v>3000</v>
      </c>
    </row>
    <row r="23" spans="1:15" ht="24.95" customHeight="1" thickBot="1" x14ac:dyDescent="0.35">
      <c r="A23" s="34"/>
      <c r="B23" s="70" t="s">
        <v>34</v>
      </c>
      <c r="C23" s="100">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0</v>
      </c>
      <c r="D23" s="100">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0</v>
      </c>
      <c r="E23" s="100">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0</v>
      </c>
      <c r="F23" s="100">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0</v>
      </c>
      <c r="G23" s="100">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0</v>
      </c>
      <c r="H23" s="100">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-500</v>
      </c>
      <c r="I23" s="100">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200</v>
      </c>
      <c r="J23" s="100">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200</v>
      </c>
      <c r="K23" s="100">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200</v>
      </c>
      <c r="L23" s="100">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200</v>
      </c>
      <c r="M23" s="100">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200</v>
      </c>
      <c r="N23" s="100">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1000</v>
      </c>
      <c r="O23" s="101">
        <f>SUM(MarketingVariances[[#This Row],[Jan]:[Dec]])</f>
        <v>1500</v>
      </c>
    </row>
    <row r="24" spans="1:15" ht="24.95" customHeight="1" thickBot="1" x14ac:dyDescent="0.35">
      <c r="A24" s="34"/>
      <c r="B24" s="70" t="s">
        <v>35</v>
      </c>
      <c r="C24" s="100">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200</v>
      </c>
      <c r="D24" s="100">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0</v>
      </c>
      <c r="E24" s="100">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0</v>
      </c>
      <c r="F24" s="100">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-500</v>
      </c>
      <c r="G24" s="100">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0</v>
      </c>
      <c r="H24" s="100">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0</v>
      </c>
      <c r="I24" s="100">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5000</v>
      </c>
      <c r="J24" s="100">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0</v>
      </c>
      <c r="K24" s="100">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0</v>
      </c>
      <c r="L24" s="100">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5000</v>
      </c>
      <c r="M24" s="100">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0</v>
      </c>
      <c r="N24" s="100">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0</v>
      </c>
      <c r="O24" s="101">
        <f>SUM(MarketingVariances[[#This Row],[Jan]:[Dec]])</f>
        <v>9700</v>
      </c>
    </row>
    <row r="25" spans="1:15" ht="24.95" customHeight="1" thickBot="1" x14ac:dyDescent="0.35">
      <c r="A25" s="34"/>
      <c r="B25" s="70" t="s">
        <v>36</v>
      </c>
      <c r="C25" s="100">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100</v>
      </c>
      <c r="D25" s="100">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-300</v>
      </c>
      <c r="E25" s="100">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100</v>
      </c>
      <c r="F25" s="100">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100</v>
      </c>
      <c r="G25" s="100">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-400</v>
      </c>
      <c r="H25" s="100">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20</v>
      </c>
      <c r="I25" s="100">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200</v>
      </c>
      <c r="J25" s="100">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200</v>
      </c>
      <c r="K25" s="100">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200</v>
      </c>
      <c r="L25" s="100">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200</v>
      </c>
      <c r="M25" s="100">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200</v>
      </c>
      <c r="N25" s="100">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200</v>
      </c>
      <c r="O25" s="101">
        <f>SUM(MarketingVariances[[#This Row],[Jan]:[Dec]])</f>
        <v>820</v>
      </c>
    </row>
    <row r="26" spans="1:15" ht="24.95" customHeight="1" thickBot="1" x14ac:dyDescent="0.35">
      <c r="A26" s="34"/>
      <c r="B26" s="70" t="s">
        <v>37</v>
      </c>
      <c r="C26" s="100">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200</v>
      </c>
      <c r="D26" s="100">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-200</v>
      </c>
      <c r="E26" s="100">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-200</v>
      </c>
      <c r="F26" s="100">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300</v>
      </c>
      <c r="G26" s="100">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500</v>
      </c>
      <c r="H26" s="100">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-300</v>
      </c>
      <c r="I26" s="100">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2000</v>
      </c>
      <c r="J26" s="100">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5000</v>
      </c>
      <c r="K26" s="100">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2000</v>
      </c>
      <c r="L26" s="100">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2000</v>
      </c>
      <c r="M26" s="100">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2000</v>
      </c>
      <c r="N26" s="100">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5000</v>
      </c>
      <c r="O26" s="101">
        <f>SUM(MarketingVariances[[#This Row],[Jan]:[Dec]])</f>
        <v>18300</v>
      </c>
    </row>
    <row r="27" spans="1:15" ht="24.95" customHeight="1" thickBot="1" x14ac:dyDescent="0.35">
      <c r="A27" s="34"/>
      <c r="B27" s="70" t="s">
        <v>38</v>
      </c>
      <c r="C27" s="100">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55</v>
      </c>
      <c r="D27" s="100">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44</v>
      </c>
      <c r="E27" s="100">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77</v>
      </c>
      <c r="F27" s="100">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-23</v>
      </c>
      <c r="G27" s="100">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13</v>
      </c>
      <c r="H27" s="100">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-45</v>
      </c>
      <c r="I27" s="100">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200</v>
      </c>
      <c r="J27" s="100">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200</v>
      </c>
      <c r="K27" s="100">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200</v>
      </c>
      <c r="L27" s="100">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200</v>
      </c>
      <c r="M27" s="100">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200</v>
      </c>
      <c r="N27" s="100">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200</v>
      </c>
      <c r="O27" s="101">
        <f>SUM(MarketingVariances[[#This Row],[Jan]:[Dec]])</f>
        <v>1321</v>
      </c>
    </row>
    <row r="28" spans="1:15" ht="24.95" customHeight="1" x14ac:dyDescent="0.3">
      <c r="A28" s="34"/>
      <c r="B28" s="81" t="s">
        <v>22</v>
      </c>
      <c r="C28" s="109">
        <f>SUBTOTAL(109,MarketingVariances[Jan])</f>
        <v>555</v>
      </c>
      <c r="D28" s="109">
        <f>SUBTOTAL(109,MarketingVariances[Feb])</f>
        <v>-456</v>
      </c>
      <c r="E28" s="109">
        <f>SUBTOTAL(109,MarketingVariances[Mar])</f>
        <v>-23</v>
      </c>
      <c r="F28" s="109">
        <f>SUBTOTAL(109,MarketingVariances[Apr])</f>
        <v>-123</v>
      </c>
      <c r="G28" s="109">
        <f>SUBTOTAL(109,MarketingVariances[May])</f>
        <v>113</v>
      </c>
      <c r="H28" s="109">
        <f>SUBTOTAL(109,MarketingVariances[Jun])</f>
        <v>-825</v>
      </c>
      <c r="I28" s="109">
        <f>SUBTOTAL(109,MarketingVariances[Jul])</f>
        <v>8100</v>
      </c>
      <c r="J28" s="109">
        <f>SUBTOTAL(109,MarketingVariances[Aug])</f>
        <v>6100</v>
      </c>
      <c r="K28" s="109">
        <f>SUBTOTAL(109,MarketingVariances[Sep])</f>
        <v>3100</v>
      </c>
      <c r="L28" s="109">
        <f>SUBTOTAL(109,MarketingVariances[Oct])</f>
        <v>8100</v>
      </c>
      <c r="M28" s="109">
        <f>SUBTOTAL(109,MarketingVariances[Nov])</f>
        <v>3100</v>
      </c>
      <c r="N28" s="109">
        <f>SUBTOTAL(109,MarketingVariances[Dec])</f>
        <v>6900</v>
      </c>
      <c r="O28" s="110">
        <f>SUBTOTAL(109,MarketingVariances[YEAR])</f>
        <v>34641</v>
      </c>
    </row>
    <row r="29" spans="1:15" ht="21" customHeight="1" x14ac:dyDescent="0.3">
      <c r="A29" s="34"/>
      <c r="B29" s="137"/>
      <c r="C29" s="137"/>
      <c r="D29" s="126"/>
      <c r="E29" s="126"/>
      <c r="F29" s="126"/>
      <c r="G29" s="126"/>
      <c r="H29" s="126"/>
      <c r="I29" s="126"/>
      <c r="J29" s="126"/>
      <c r="K29" s="126"/>
      <c r="L29" s="126"/>
      <c r="M29" s="126"/>
      <c r="N29" s="126"/>
      <c r="O29" s="125"/>
    </row>
    <row r="30" spans="1:15" ht="24.95" customHeight="1" thickBot="1" x14ac:dyDescent="0.35">
      <c r="A30" s="34" t="s">
        <v>92</v>
      </c>
      <c r="B30" s="61" t="s">
        <v>39</v>
      </c>
      <c r="C30" s="68" t="s">
        <v>46</v>
      </c>
      <c r="D30" s="68" t="s">
        <v>48</v>
      </c>
      <c r="E30" s="107" t="s">
        <v>50</v>
      </c>
      <c r="F30" s="68" t="s">
        <v>52</v>
      </c>
      <c r="G30" s="68" t="s">
        <v>54</v>
      </c>
      <c r="H30" s="68" t="s">
        <v>56</v>
      </c>
      <c r="I30" s="68" t="s">
        <v>58</v>
      </c>
      <c r="J30" s="68" t="s">
        <v>60</v>
      </c>
      <c r="K30" s="68" t="s">
        <v>64</v>
      </c>
      <c r="L30" s="68" t="s">
        <v>66</v>
      </c>
      <c r="M30" s="68" t="s">
        <v>68</v>
      </c>
      <c r="N30" s="68" t="s">
        <v>71</v>
      </c>
      <c r="O30" s="69" t="s">
        <v>72</v>
      </c>
    </row>
    <row r="31" spans="1:15" ht="24.95" customHeight="1" thickBot="1" x14ac:dyDescent="0.35">
      <c r="A31" s="34"/>
      <c r="B31" s="70" t="s">
        <v>40</v>
      </c>
      <c r="C31" s="100">
        <f>INDEX(TrainingAndTravelPlan[],MATCH(INDEX(TrainingAndTravelVariances[],ROW()-ROW(TrainingAndTravelVariances[[#Headers],[Jan]]),1),INDEX(TrainingAndTravelPlan[],,1),0),MATCH(TrainingAndTravelVariances[[#Headers],[Jan]],TrainingAndTravelPlan[#Headers],0))-INDEX(TrainingAndTravelActual[],MATCH(INDEX(TrainingAndTravelVariances[],ROW()-ROW(TrainingAndTravelVariances[[#Headers],[Jan]]),1),INDEX(TrainingAndTravelPlan[],,1),0),MATCH(TrainingAndTravelVariances[[#Headers],[Jan]],TrainingAndTravelActual[#Headers],0))</f>
        <v>400</v>
      </c>
      <c r="D31" s="100">
        <f>INDEX(TrainingAndTravelPlan[],MATCH(INDEX(TrainingAndTravelVariances[],ROW()-ROW(TrainingAndTravelVariances[[#Headers],[Feb]]),1),INDEX(TrainingAndTravelPlan[],,1),0),MATCH(TrainingAndTravelVariances[[#Headers],[Feb]],TrainingAndTravelPlan[#Headers],0))-INDEX(TrainingAndTravelActual[],MATCH(INDEX(TrainingAndTravelVariances[],ROW()-ROW(TrainingAndTravelVariances[[#Headers],[Feb]]),1),INDEX(TrainingAndTravelPlan[],,1),0),MATCH(TrainingAndTravelVariances[[#Headers],[Feb]],TrainingAndTravelActual[#Headers],0))</f>
        <v>-400</v>
      </c>
      <c r="E31" s="100">
        <f>INDEX(TrainingAndTravelPlan[],MATCH(INDEX(TrainingAndTravelVariances[],ROW()-ROW(TrainingAndTravelVariances[[#Headers],[Mar]]),1),INDEX(TrainingAndTravelPlan[],,1),0),MATCH(TrainingAndTravelVariances[[#Headers],[Mar]],TrainingAndTravelPlan[#Headers],0))-INDEX(TrainingAndTravelActual[],MATCH(INDEX(TrainingAndTravelVariances[],ROW()-ROW(TrainingAndTravelVariances[[#Headers],[Mar]]),1),INDEX(TrainingAndTravelPlan[],,1),0),MATCH(TrainingAndTravelVariances[[#Headers],[Mar]],TrainingAndTravelActual[#Headers],0))</f>
        <v>600</v>
      </c>
      <c r="F31" s="100">
        <f>INDEX(TrainingAndTravelPlan[],MATCH(INDEX(TrainingAndTravelVariances[],ROW()-ROW(TrainingAndTravelVariances[[#Headers],[Apr]]),1),INDEX(TrainingAndTravelPlan[],,1),0),MATCH(TrainingAndTravelVariances[[#Headers],[Apr]],TrainingAndTravelPlan[#Headers],0))-INDEX(TrainingAndTravelActual[],MATCH(INDEX(TrainingAndTravelVariances[],ROW()-ROW(TrainingAndTravelVariances[[#Headers],[Apr]]),1),INDEX(TrainingAndTravelPlan[],,1),0),MATCH(TrainingAndTravelVariances[[#Headers],[Apr]],TrainingAndTravelActual[#Headers],0))</f>
        <v>400</v>
      </c>
      <c r="G31" s="100">
        <f>INDEX(TrainingAndTravelPlan[],MATCH(INDEX(TrainingAndTravelVariances[],ROW()-ROW(TrainingAndTravelVariances[[#Headers],[May]]),1),INDEX(TrainingAndTravelPlan[],,1),0),MATCH(TrainingAndTravelVariances[[#Headers],[May]],TrainingAndTravelPlan[#Headers],0))-INDEX(TrainingAndTravelActual[],MATCH(INDEX(TrainingAndTravelVariances[],ROW()-ROW(TrainingAndTravelVariances[[#Headers],[May]]),1),INDEX(TrainingAndTravelPlan[],,1),0),MATCH(TrainingAndTravelVariances[[#Headers],[May]],TrainingAndTravelActual[#Headers],0))</f>
        <v>800</v>
      </c>
      <c r="H31" s="100">
        <f>INDEX(TrainingAndTravelPlan[],MATCH(INDEX(TrainingAndTravelVariances[],ROW()-ROW(TrainingAndTravelVariances[[#Headers],[Jun]]),1),INDEX(TrainingAndTravelPlan[],,1),0),MATCH(TrainingAndTravelVariances[[#Headers],[Jun]],TrainingAndTravelPlan[#Headers],0))-INDEX(TrainingAndTravelActual[],MATCH(INDEX(TrainingAndTravelVariances[],ROW()-ROW(TrainingAndTravelVariances[[#Headers],[Jun]]),1),INDEX(TrainingAndTravelPlan[],,1),0),MATCH(TrainingAndTravelVariances[[#Headers],[Jun]],TrainingAndTravelActual[#Headers],0))</f>
        <v>-800</v>
      </c>
      <c r="I31" s="100">
        <f>INDEX(TrainingAndTravelPlan[],MATCH(INDEX(TrainingAndTravelVariances[],ROW()-ROW(TrainingAndTravelVariances[[#Headers],[Jul]]),1),INDEX(TrainingAndTravelPlan[],,1),0),MATCH(TrainingAndTravelVariances[[#Headers],[Jul]],TrainingAndTravelPlan[#Headers],0))-INDEX(TrainingAndTravelActual[],MATCH(INDEX(TrainingAndTravelVariances[],ROW()-ROW(TrainingAndTravelVariances[[#Headers],[Jul]]),1),INDEX(TrainingAndTravelPlan[],,1),0),MATCH(TrainingAndTravelVariances[[#Headers],[Jul]],TrainingAndTravelActual[#Headers],0))</f>
        <v>2000</v>
      </c>
      <c r="J31" s="100">
        <f>INDEX(TrainingAndTravelPlan[],MATCH(INDEX(TrainingAndTravelVariances[],ROW()-ROW(TrainingAndTravelVariances[[#Headers],[Aug]]),1),INDEX(TrainingAndTravelPlan[],,1),0),MATCH(TrainingAndTravelVariances[[#Headers],[Aug]],TrainingAndTravelPlan[#Headers],0))-INDEX(TrainingAndTravelActual[],MATCH(INDEX(TrainingAndTravelVariances[],ROW()-ROW(TrainingAndTravelVariances[[#Headers],[Aug]]),1),INDEX(TrainingAndTravelPlan[],,1),0),MATCH(TrainingAndTravelVariances[[#Headers],[Aug]],TrainingAndTravelActual[#Headers],0))</f>
        <v>2000</v>
      </c>
      <c r="K31" s="100">
        <f>INDEX(TrainingAndTravelPlan[],MATCH(INDEX(TrainingAndTravelVariances[],ROW()-ROW(TrainingAndTravelVariances[[#Headers],[Sep]]),1),INDEX(TrainingAndTravelPlan[],,1),0),MATCH(TrainingAndTravelVariances[[#Headers],[Sep]],TrainingAndTravelPlan[#Headers],0))-INDEX(TrainingAndTravelActual[],MATCH(INDEX(TrainingAndTravelVariances[],ROW()-ROW(TrainingAndTravelVariances[[#Headers],[Sep]]),1),INDEX(TrainingAndTravelPlan[],,1),0),MATCH(TrainingAndTravelVariances[[#Headers],[Sep]],TrainingAndTravelActual[#Headers],0))</f>
        <v>2000</v>
      </c>
      <c r="L31" s="100">
        <f>INDEX(TrainingAndTravelPlan[],MATCH(INDEX(TrainingAndTravelVariances[],ROW()-ROW(TrainingAndTravelVariances[[#Headers],[Oct]]),1),INDEX(TrainingAndTravelPlan[],,1),0),MATCH(TrainingAndTravelVariances[[#Headers],[Oct]],TrainingAndTravelPlan[#Headers],0))-INDEX(TrainingAndTravelActual[],MATCH(INDEX(TrainingAndTravelVariances[],ROW()-ROW(TrainingAndTravelVariances[[#Headers],[Oct]]),1),INDEX(TrainingAndTravelPlan[],,1),0),MATCH(TrainingAndTravelVariances[[#Headers],[Oct]],TrainingAndTravelActual[#Headers],0))</f>
        <v>2000</v>
      </c>
      <c r="M31" s="100">
        <f>INDEX(TrainingAndTravelPlan[],MATCH(INDEX(TrainingAndTravelVariances[],ROW()-ROW(TrainingAndTravelVariances[[#Headers],[Nov]]),1),INDEX(TrainingAndTravelPlan[],,1),0),MATCH(TrainingAndTravelVariances[[#Headers],[Nov]],TrainingAndTravelPlan[#Headers],0))-INDEX(TrainingAndTravelActual[],MATCH(INDEX(TrainingAndTravelVariances[],ROW()-ROW(TrainingAndTravelVariances[[#Headers],[Nov]]),1),INDEX(TrainingAndTravelPlan[],,1),0),MATCH(TrainingAndTravelVariances[[#Headers],[Nov]],TrainingAndTravelActual[#Headers],0))</f>
        <v>2000</v>
      </c>
      <c r="N31" s="100">
        <f>INDEX(TrainingAndTravelPlan[],MATCH(INDEX(TrainingAndTravelVariances[],ROW()-ROW(TrainingAndTravelVariances[[#Headers],[Dec]]),1),INDEX(TrainingAndTravelPlan[],,1),0),MATCH(TrainingAndTravelVariances[[#Headers],[Dec]],TrainingAndTravelPlan[#Headers],0))-INDEX(TrainingAndTravelActual[],MATCH(INDEX(TrainingAndTravelVariances[],ROW()-ROW(TrainingAndTravelVariances[[#Headers],[Dec]]),1),INDEX(TrainingAndTravelPlan[],,1),0),MATCH(TrainingAndTravelVariances[[#Headers],[Dec]],TrainingAndTravelActual[#Headers],0))</f>
        <v>2000</v>
      </c>
      <c r="O31" s="101">
        <f>SUM(TrainingAndTravelVariances[[#This Row],[Jan]:[Dec]])</f>
        <v>13000</v>
      </c>
    </row>
    <row r="32" spans="1:15" ht="24.95" customHeight="1" thickBot="1" x14ac:dyDescent="0.35">
      <c r="A32" s="34"/>
      <c r="B32" s="70" t="s">
        <v>41</v>
      </c>
      <c r="C32" s="100">
        <f>INDEX(TrainingAndTravelPlan[],MATCH(INDEX(TrainingAndTravelVariances[],ROW()-ROW(TrainingAndTravelVariances[[#Headers],[Jan]]),1),INDEX(TrainingAndTravelPlan[],,1),0),MATCH(TrainingAndTravelVariances[[#Headers],[Jan]],TrainingAndTravelPlan[#Headers],0))-INDEX(TrainingAndTravelActual[],MATCH(INDEX(TrainingAndTravelVariances[],ROW()-ROW(TrainingAndTravelVariances[[#Headers],[Jan]]),1),INDEX(TrainingAndTravelPlan[],,1),0),MATCH(TrainingAndTravelVariances[[#Headers],[Jan]],TrainingAndTravelActual[#Headers],0))</f>
        <v>800</v>
      </c>
      <c r="D32" s="100">
        <f>INDEX(TrainingAndTravelPlan[],MATCH(INDEX(TrainingAndTravelVariances[],ROW()-ROW(TrainingAndTravelVariances[[#Headers],[Feb]]),1),INDEX(TrainingAndTravelPlan[],,1),0),MATCH(TrainingAndTravelVariances[[#Headers],[Feb]],TrainingAndTravelPlan[#Headers],0))-INDEX(TrainingAndTravelActual[],MATCH(INDEX(TrainingAndTravelVariances[],ROW()-ROW(TrainingAndTravelVariances[[#Headers],[Feb]]),1),INDEX(TrainingAndTravelPlan[],,1),0),MATCH(TrainingAndTravelVariances[[#Headers],[Feb]],TrainingAndTravelActual[#Headers],0))</f>
        <v>-200</v>
      </c>
      <c r="E32" s="100">
        <f>INDEX(TrainingAndTravelPlan[],MATCH(INDEX(TrainingAndTravelVariances[],ROW()-ROW(TrainingAndTravelVariances[[#Headers],[Mar]]),1),INDEX(TrainingAndTravelPlan[],,1),0),MATCH(TrainingAndTravelVariances[[#Headers],[Mar]],TrainingAndTravelPlan[#Headers],0))-INDEX(TrainingAndTravelActual[],MATCH(INDEX(TrainingAndTravelVariances[],ROW()-ROW(TrainingAndTravelVariances[[#Headers],[Mar]]),1),INDEX(TrainingAndTravelPlan[],,1),0),MATCH(TrainingAndTravelVariances[[#Headers],[Mar]],TrainingAndTravelActual[#Headers],0))</f>
        <v>600</v>
      </c>
      <c r="F32" s="100">
        <f>INDEX(TrainingAndTravelPlan[],MATCH(INDEX(TrainingAndTravelVariances[],ROW()-ROW(TrainingAndTravelVariances[[#Headers],[Apr]]),1),INDEX(TrainingAndTravelPlan[],,1),0),MATCH(TrainingAndTravelVariances[[#Headers],[Apr]],TrainingAndTravelPlan[#Headers],0))-INDEX(TrainingAndTravelActual[],MATCH(INDEX(TrainingAndTravelVariances[],ROW()-ROW(TrainingAndTravelVariances[[#Headers],[Apr]]),1),INDEX(TrainingAndTravelPlan[],,1),0),MATCH(TrainingAndTravelVariances[[#Headers],[Apr]],TrainingAndTravelActual[#Headers],0))</f>
        <v>800</v>
      </c>
      <c r="G32" s="100">
        <f>INDEX(TrainingAndTravelPlan[],MATCH(INDEX(TrainingAndTravelVariances[],ROW()-ROW(TrainingAndTravelVariances[[#Headers],[May]]),1),INDEX(TrainingAndTravelPlan[],,1),0),MATCH(TrainingAndTravelVariances[[#Headers],[May]],TrainingAndTravelPlan[#Headers],0))-INDEX(TrainingAndTravelActual[],MATCH(INDEX(TrainingAndTravelVariances[],ROW()-ROW(TrainingAndTravelVariances[[#Headers],[May]]),1),INDEX(TrainingAndTravelPlan[],,1),0),MATCH(TrainingAndTravelVariances[[#Headers],[May]],TrainingAndTravelActual[#Headers],0))</f>
        <v>1200</v>
      </c>
      <c r="H32" s="100">
        <f>INDEX(TrainingAndTravelPlan[],MATCH(INDEX(TrainingAndTravelVariances[],ROW()-ROW(TrainingAndTravelVariances[[#Headers],[Jun]]),1),INDEX(TrainingAndTravelPlan[],,1),0),MATCH(TrainingAndTravelVariances[[#Headers],[Jun]],TrainingAndTravelPlan[#Headers],0))-INDEX(TrainingAndTravelActual[],MATCH(INDEX(TrainingAndTravelVariances[],ROW()-ROW(TrainingAndTravelVariances[[#Headers],[Jun]]),1),INDEX(TrainingAndTravelPlan[],,1),0),MATCH(TrainingAndTravelVariances[[#Headers],[Jun]],TrainingAndTravelActual[#Headers],0))</f>
        <v>-1500</v>
      </c>
      <c r="I32" s="100">
        <f>INDEX(TrainingAndTravelPlan[],MATCH(INDEX(TrainingAndTravelVariances[],ROW()-ROW(TrainingAndTravelVariances[[#Headers],[Jul]]),1),INDEX(TrainingAndTravelPlan[],,1),0),MATCH(TrainingAndTravelVariances[[#Headers],[Jul]],TrainingAndTravelPlan[#Headers],0))-INDEX(TrainingAndTravelActual[],MATCH(INDEX(TrainingAndTravelVariances[],ROW()-ROW(TrainingAndTravelVariances[[#Headers],[Jul]]),1),INDEX(TrainingAndTravelPlan[],,1),0),MATCH(TrainingAndTravelVariances[[#Headers],[Jul]],TrainingAndTravelActual[#Headers],0))</f>
        <v>2000</v>
      </c>
      <c r="J32" s="100">
        <f>INDEX(TrainingAndTravelPlan[],MATCH(INDEX(TrainingAndTravelVariances[],ROW()-ROW(TrainingAndTravelVariances[[#Headers],[Aug]]),1),INDEX(TrainingAndTravelPlan[],,1),0),MATCH(TrainingAndTravelVariances[[#Headers],[Aug]],TrainingAndTravelPlan[#Headers],0))-INDEX(TrainingAndTravelActual[],MATCH(INDEX(TrainingAndTravelVariances[],ROW()-ROW(TrainingAndTravelVariances[[#Headers],[Aug]]),1),INDEX(TrainingAndTravelPlan[],,1),0),MATCH(TrainingAndTravelVariances[[#Headers],[Aug]],TrainingAndTravelActual[#Headers],0))</f>
        <v>2000</v>
      </c>
      <c r="K32" s="100">
        <f>INDEX(TrainingAndTravelPlan[],MATCH(INDEX(TrainingAndTravelVariances[],ROW()-ROW(TrainingAndTravelVariances[[#Headers],[Sep]]),1),INDEX(TrainingAndTravelPlan[],,1),0),MATCH(TrainingAndTravelVariances[[#Headers],[Sep]],TrainingAndTravelPlan[#Headers],0))-INDEX(TrainingAndTravelActual[],MATCH(INDEX(TrainingAndTravelVariances[],ROW()-ROW(TrainingAndTravelVariances[[#Headers],[Sep]]),1),INDEX(TrainingAndTravelPlan[],,1),0),MATCH(TrainingAndTravelVariances[[#Headers],[Sep]],TrainingAndTravelActual[#Headers],0))</f>
        <v>2000</v>
      </c>
      <c r="L32" s="100">
        <f>INDEX(TrainingAndTravelPlan[],MATCH(INDEX(TrainingAndTravelVariances[],ROW()-ROW(TrainingAndTravelVariances[[#Headers],[Oct]]),1),INDEX(TrainingAndTravelPlan[],,1),0),MATCH(TrainingAndTravelVariances[[#Headers],[Oct]],TrainingAndTravelPlan[#Headers],0))-INDEX(TrainingAndTravelActual[],MATCH(INDEX(TrainingAndTravelVariances[],ROW()-ROW(TrainingAndTravelVariances[[#Headers],[Oct]]),1),INDEX(TrainingAndTravelPlan[],,1),0),MATCH(TrainingAndTravelVariances[[#Headers],[Oct]],TrainingAndTravelActual[#Headers],0))</f>
        <v>2000</v>
      </c>
      <c r="M32" s="100">
        <f>INDEX(TrainingAndTravelPlan[],MATCH(INDEX(TrainingAndTravelVariances[],ROW()-ROW(TrainingAndTravelVariances[[#Headers],[Nov]]),1),INDEX(TrainingAndTravelPlan[],,1),0),MATCH(TrainingAndTravelVariances[[#Headers],[Nov]],TrainingAndTravelPlan[#Headers],0))-INDEX(TrainingAndTravelActual[],MATCH(INDEX(TrainingAndTravelVariances[],ROW()-ROW(TrainingAndTravelVariances[[#Headers],[Nov]]),1),INDEX(TrainingAndTravelPlan[],,1),0),MATCH(TrainingAndTravelVariances[[#Headers],[Nov]],TrainingAndTravelActual[#Headers],0))</f>
        <v>2000</v>
      </c>
      <c r="N32" s="100">
        <f>INDEX(TrainingAndTravelPlan[],MATCH(INDEX(TrainingAndTravelVariances[],ROW()-ROW(TrainingAndTravelVariances[[#Headers],[Dec]]),1),INDEX(TrainingAndTravelPlan[],,1),0),MATCH(TrainingAndTravelVariances[[#Headers],[Dec]],TrainingAndTravelPlan[#Headers],0))-INDEX(TrainingAndTravelActual[],MATCH(INDEX(TrainingAndTravelVariances[],ROW()-ROW(TrainingAndTravelVariances[[#Headers],[Dec]]),1),INDEX(TrainingAndTravelPlan[],,1),0),MATCH(TrainingAndTravelVariances[[#Headers],[Dec]],TrainingAndTravelActual[#Headers],0))</f>
        <v>2000</v>
      </c>
      <c r="O32" s="101">
        <f>SUM(TrainingAndTravelVariances[[#This Row],[Jan]:[Dec]])</f>
        <v>13700</v>
      </c>
    </row>
    <row r="33" spans="1:15" ht="24.95" customHeight="1" x14ac:dyDescent="0.3">
      <c r="A33" s="34"/>
      <c r="B33" s="83" t="s">
        <v>22</v>
      </c>
      <c r="C33" s="109">
        <f>SUBTOTAL(109,TrainingAndTravelVariances[Jan])</f>
        <v>1200</v>
      </c>
      <c r="D33" s="109">
        <f>SUBTOTAL(109,TrainingAndTravelVariances[Feb])</f>
        <v>-600</v>
      </c>
      <c r="E33" s="109">
        <f>SUBTOTAL(109,TrainingAndTravelVariances[Mar])</f>
        <v>1200</v>
      </c>
      <c r="F33" s="109">
        <f>SUBTOTAL(109,TrainingAndTravelVariances[Apr])</f>
        <v>1200</v>
      </c>
      <c r="G33" s="109">
        <f>SUBTOTAL(109,TrainingAndTravelVariances[May])</f>
        <v>2000</v>
      </c>
      <c r="H33" s="109">
        <f>SUBTOTAL(109,TrainingAndTravelVariances[Jun])</f>
        <v>-2300</v>
      </c>
      <c r="I33" s="109">
        <f>SUBTOTAL(109,TrainingAndTravelVariances[Jul])</f>
        <v>4000</v>
      </c>
      <c r="J33" s="109">
        <f>SUBTOTAL(109,TrainingAndTravelVariances[Aug])</f>
        <v>4000</v>
      </c>
      <c r="K33" s="109">
        <f>SUBTOTAL(109,TrainingAndTravelVariances[Sep])</f>
        <v>4000</v>
      </c>
      <c r="L33" s="109">
        <f>SUBTOTAL(109,TrainingAndTravelVariances[Oct])</f>
        <v>4000</v>
      </c>
      <c r="M33" s="109">
        <f>SUBTOTAL(109,TrainingAndTravelVariances[Nov])</f>
        <v>4000</v>
      </c>
      <c r="N33" s="109">
        <f>SUBTOTAL(109,TrainingAndTravelVariances[Dec])</f>
        <v>4000</v>
      </c>
      <c r="O33" s="110">
        <f>SUBTOTAL(109,TrainingAndTravelVariances[YEAR])</f>
        <v>26700</v>
      </c>
    </row>
    <row r="34" spans="1:15" ht="21" customHeight="1" x14ac:dyDescent="0.3">
      <c r="A34" s="34"/>
      <c r="B34" s="137"/>
      <c r="C34" s="137"/>
      <c r="D34" s="125"/>
      <c r="E34" s="125"/>
      <c r="F34" s="125"/>
      <c r="G34" s="125"/>
      <c r="H34" s="125"/>
      <c r="I34" s="125"/>
      <c r="J34" s="125"/>
      <c r="K34" s="125"/>
      <c r="L34" s="125"/>
      <c r="M34" s="125"/>
      <c r="N34" s="125"/>
      <c r="O34" s="125"/>
    </row>
    <row r="35" spans="1:15" ht="24.95" customHeight="1" thickBot="1" x14ac:dyDescent="0.35">
      <c r="A35" s="44" t="s">
        <v>93</v>
      </c>
      <c r="B35" s="12" t="s">
        <v>42</v>
      </c>
      <c r="C35" s="30" t="s">
        <v>46</v>
      </c>
      <c r="D35" s="30" t="s">
        <v>48</v>
      </c>
      <c r="E35" s="30" t="s">
        <v>50</v>
      </c>
      <c r="F35" s="30" t="s">
        <v>52</v>
      </c>
      <c r="G35" s="30" t="s">
        <v>54</v>
      </c>
      <c r="H35" s="30" t="s">
        <v>56</v>
      </c>
      <c r="I35" s="30" t="s">
        <v>58</v>
      </c>
      <c r="J35" s="30" t="s">
        <v>60</v>
      </c>
      <c r="K35" s="30" t="s">
        <v>64</v>
      </c>
      <c r="L35" s="30" t="s">
        <v>66</v>
      </c>
      <c r="M35" s="30" t="s">
        <v>68</v>
      </c>
      <c r="N35" s="30" t="s">
        <v>71</v>
      </c>
      <c r="O35" s="30" t="s">
        <v>73</v>
      </c>
    </row>
    <row r="36" spans="1:15" ht="24.95" customHeight="1" thickBot="1" x14ac:dyDescent="0.35">
      <c r="A36" s="34"/>
      <c r="B36" s="13" t="s">
        <v>85</v>
      </c>
      <c r="C36" s="118">
        <f>TrainingAndTravelVariances[[#Totals],[Jan]]+MarketingVariances[[#Totals],[Jan]]+OfficeVariances[[#Totals],[Jan]]+EmployeeVariances[[#Totals],[Jan]]</f>
        <v>1738</v>
      </c>
      <c r="D36" s="118">
        <f>TrainingAndTravelVariances[[#Totals],[Feb]]+MarketingVariances[[#Totals],[Feb]]+OfficeVariances[[#Totals],[Feb]]+EmployeeVariances[[#Totals],[Feb]]</f>
        <v>-984</v>
      </c>
      <c r="E36" s="118">
        <f>TrainingAndTravelVariances[[#Totals],[Mar]]+MarketingVariances[[#Totals],[Mar]]+OfficeVariances[[#Totals],[Mar]]+EmployeeVariances[[#Totals],[Mar]]</f>
        <v>1255</v>
      </c>
      <c r="F36" s="118">
        <f>TrainingAndTravelVariances[[#Totals],[Apr]]+MarketingVariances[[#Totals],[Apr]]+OfficeVariances[[#Totals],[Apr]]+EmployeeVariances[[#Totals],[Apr]]</f>
        <v>301</v>
      </c>
      <c r="G36" s="118">
        <f>TrainingAndTravelVariances[[#Totals],[May]]+MarketingVariances[[#Totals],[May]]+OfficeVariances[[#Totals],[May]]+EmployeeVariances[[#Totals],[May]]</f>
        <v>1440</v>
      </c>
      <c r="H36" s="118">
        <f>TrainingAndTravelVariances[[#Totals],[Jun]]+MarketingVariances[[#Totals],[Jun]]+OfficeVariances[[#Totals],[Jun]]+EmployeeVariances[[#Totals],[Jun]]</f>
        <v>-3744</v>
      </c>
      <c r="I36" s="118">
        <f>TrainingAndTravelVariances[[#Totals],[Jul]]+MarketingVariances[[#Totals],[Jul]]+OfficeVariances[[#Totals],[Jul]]+EmployeeVariances[[#Totals],[Jul]]</f>
        <v>134695</v>
      </c>
      <c r="J36" s="118">
        <f>TrainingAndTravelVariances[[#Totals],[Aug]]+MarketingVariances[[#Totals],[Aug]]+OfficeVariances[[#Totals],[Aug]]+EmployeeVariances[[#Totals],[Aug]]</f>
        <v>138918</v>
      </c>
      <c r="K36" s="118">
        <f>TrainingAndTravelVariances[[#Totals],[Sep]]+MarketingVariances[[#Totals],[Sep]]+OfficeVariances[[#Totals],[Sep]]+EmployeeVariances[[#Totals],[Sep]]</f>
        <v>135918</v>
      </c>
      <c r="L36" s="118">
        <f>TrainingAndTravelVariances[[#Totals],[Oct]]+MarketingVariances[[#Totals],[Oct]]+OfficeVariances[[#Totals],[Oct]]+EmployeeVariances[[#Totals],[Oct]]</f>
        <v>140918</v>
      </c>
      <c r="M36" s="118">
        <f>TrainingAndTravelVariances[[#Totals],[Nov]]+MarketingVariances[[#Totals],[Nov]]+OfficeVariances[[#Totals],[Nov]]+EmployeeVariances[[#Totals],[Nov]]</f>
        <v>136218</v>
      </c>
      <c r="N36" s="118">
        <f>TrainingAndTravelVariances[[#Totals],[Dec]]+MarketingVariances[[#Totals],[Dec]]+OfficeVariances[[#Totals],[Dec]]+EmployeeVariances[[#Totals],[Dec]]</f>
        <v>140018</v>
      </c>
      <c r="O36" s="118">
        <f>TrainingAndTravelVariances[[#Totals],[YEAR]]+MarketingVariances[[#Totals],[YEAR]]+OfficeVariances[[#Totals],[YEAR]]+EmployeeVariances[[#Totals],[YEAR]]</f>
        <v>826691</v>
      </c>
    </row>
    <row r="37" spans="1:15" ht="24.95" customHeight="1" thickBot="1" x14ac:dyDescent="0.35">
      <c r="A37" s="34"/>
      <c r="B37" s="13" t="s">
        <v>86</v>
      </c>
      <c r="C37" s="119">
        <f>SUM($C$36:C36)</f>
        <v>1738</v>
      </c>
      <c r="D37" s="119">
        <f>SUM($C$36:D36)</f>
        <v>754</v>
      </c>
      <c r="E37" s="119">
        <f>SUM($C$36:E36)</f>
        <v>2009</v>
      </c>
      <c r="F37" s="119">
        <f>SUM($C$36:F36)</f>
        <v>2310</v>
      </c>
      <c r="G37" s="119">
        <f>SUM($C$36:G36)</f>
        <v>3750</v>
      </c>
      <c r="H37" s="119">
        <f>SUM($C$36:H36)</f>
        <v>6</v>
      </c>
      <c r="I37" s="119">
        <f>SUM($C$36:I36)</f>
        <v>134701</v>
      </c>
      <c r="J37" s="119">
        <f>SUM($C$36:J36)</f>
        <v>273619</v>
      </c>
      <c r="K37" s="119">
        <f>SUM($C$36:K36)</f>
        <v>409537</v>
      </c>
      <c r="L37" s="119">
        <f>SUM($C$36:L36)</f>
        <v>550455</v>
      </c>
      <c r="M37" s="119">
        <f>SUM($C$36:M36)</f>
        <v>686673</v>
      </c>
      <c r="N37" s="119">
        <f>SUM($C$36:N36)</f>
        <v>826691</v>
      </c>
      <c r="O37" s="119"/>
    </row>
    <row r="38" spans="1:15" ht="21" customHeight="1" x14ac:dyDescent="0.3">
      <c r="A38" s="34"/>
      <c r="B38" s="2"/>
      <c r="C38" s="2"/>
      <c r="D38" s="14"/>
      <c r="E38" s="2"/>
      <c r="F38" s="2"/>
      <c r="G38" s="2"/>
      <c r="H38" s="2"/>
      <c r="I38" s="2"/>
      <c r="J38" s="2"/>
      <c r="K38" s="2"/>
      <c r="L38" s="2"/>
      <c r="M38" s="2"/>
      <c r="N38" s="2"/>
      <c r="O38" s="2"/>
    </row>
  </sheetData>
  <mergeCells count="8">
    <mergeCell ref="N2:O3"/>
    <mergeCell ref="K2:M2"/>
    <mergeCell ref="K3:M3"/>
    <mergeCell ref="B34:C34"/>
    <mergeCell ref="B29:C29"/>
    <mergeCell ref="B20:C20"/>
    <mergeCell ref="B9:C9"/>
    <mergeCell ref="B2:D3"/>
  </mergeCells>
  <printOptions horizontalCentered="1"/>
  <pageMargins left="0.4" right="0.4" top="0.4" bottom="0.4" header="0.3" footer="0.3"/>
  <pageSetup paperSize="9" fitToHeight="0" orientation="landscape" r:id="rId1"/>
  <headerFooter differentFirst="1">
    <oddFooter>Page &amp;P of &amp;N</oddFooter>
  </headerFooter>
  <ignoredErrors>
    <ignoredError sqref="B2" emptyCellReference="1"/>
    <ignoredError sqref="C36:O37" calculatedColumn="1"/>
  </ignoredErrors>
  <drawing r:id="rId2"/>
  <tableParts count="5">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8"/>
    <pageSetUpPr autoPageBreaks="0" fitToPage="1"/>
  </sheetPr>
  <dimension ref="A1:P39"/>
  <sheetViews>
    <sheetView showGridLines="0" workbookViewId="0"/>
  </sheetViews>
  <sheetFormatPr defaultColWidth="9.140625" defaultRowHeight="18.75" x14ac:dyDescent="0.3"/>
  <cols>
    <col min="1" max="1" width="4.7109375" style="40" customWidth="1"/>
    <col min="2" max="2" width="26.28515625" style="4" customWidth="1"/>
    <col min="3" max="3" width="23.28515625" style="4" customWidth="1"/>
    <col min="4" max="4" width="24.28515625" style="4" customWidth="1"/>
    <col min="5" max="5" width="23" style="4" customWidth="1"/>
    <col min="6" max="6" width="24.5703125" style="4" customWidth="1"/>
    <col min="7" max="7" width="4.7109375" style="1" customWidth="1"/>
    <col min="8" max="8" width="8.85546875" customWidth="1"/>
    <col min="9" max="16384" width="9.140625" style="4"/>
  </cols>
  <sheetData>
    <row r="1" spans="1:16" s="1" customFormat="1" ht="24" customHeight="1" x14ac:dyDescent="0.3">
      <c r="A1" s="37" t="s">
        <v>95</v>
      </c>
      <c r="B1" s="10"/>
      <c r="C1" s="10"/>
      <c r="D1" s="10"/>
      <c r="E1" s="7"/>
      <c r="F1" s="7"/>
      <c r="G1" s="67" t="s">
        <v>74</v>
      </c>
      <c r="I1"/>
      <c r="J1"/>
      <c r="K1"/>
      <c r="L1"/>
      <c r="M1"/>
      <c r="N1"/>
      <c r="O1"/>
      <c r="P1" t="s">
        <v>74</v>
      </c>
    </row>
    <row r="2" spans="1:16" s="1" customFormat="1" ht="45" customHeight="1" x14ac:dyDescent="0.35">
      <c r="A2" s="37" t="s">
        <v>96</v>
      </c>
      <c r="B2" s="134" t="str">
        <f>'PLANNED EXPENSES'!B2:D3</f>
        <v>Company Name</v>
      </c>
      <c r="C2" s="134"/>
      <c r="D2" s="134"/>
      <c r="E2" s="15"/>
      <c r="F2" s="145" t="s">
        <v>69</v>
      </c>
      <c r="G2" s="145"/>
      <c r="I2"/>
      <c r="J2"/>
      <c r="K2"/>
      <c r="L2"/>
      <c r="M2"/>
      <c r="N2"/>
      <c r="O2"/>
      <c r="P2"/>
    </row>
    <row r="3" spans="1:16" s="1" customFormat="1" ht="30" customHeight="1" x14ac:dyDescent="0.3">
      <c r="A3" s="37" t="s">
        <v>97</v>
      </c>
      <c r="B3" s="134"/>
      <c r="C3" s="134"/>
      <c r="D3" s="134"/>
      <c r="E3" s="144" t="str">
        <f>worksheet_title</f>
        <v>Detailed Expense Estimates</v>
      </c>
      <c r="F3" s="144"/>
      <c r="G3" s="144"/>
      <c r="I3"/>
      <c r="J3"/>
      <c r="K3"/>
      <c r="L3"/>
      <c r="M3"/>
      <c r="N3"/>
      <c r="O3"/>
      <c r="P3"/>
    </row>
    <row r="4" spans="1:16" customFormat="1" ht="18.75" customHeight="1" x14ac:dyDescent="0.2">
      <c r="A4" s="28"/>
    </row>
    <row r="5" spans="1:16" ht="24.95" customHeight="1" thickBot="1" x14ac:dyDescent="0.35">
      <c r="A5" s="38" t="s">
        <v>98</v>
      </c>
      <c r="B5" s="16" t="s">
        <v>101</v>
      </c>
      <c r="C5" s="17" t="s">
        <v>103</v>
      </c>
      <c r="D5" s="18" t="s">
        <v>104</v>
      </c>
      <c r="E5" s="16" t="s">
        <v>106</v>
      </c>
      <c r="F5" s="19" t="s">
        <v>107</v>
      </c>
      <c r="G5" s="11"/>
      <c r="I5"/>
      <c r="J5"/>
      <c r="K5"/>
      <c r="L5"/>
      <c r="M5"/>
      <c r="N5"/>
      <c r="O5"/>
      <c r="P5"/>
    </row>
    <row r="6" spans="1:16" ht="24.95" customHeight="1" thickBot="1" x14ac:dyDescent="0.35">
      <c r="A6" s="39"/>
      <c r="B6" s="84" t="s">
        <v>19</v>
      </c>
      <c r="C6" s="120">
        <f>EmployeePlan[[#Totals],[YEAR]]</f>
        <v>1355090</v>
      </c>
      <c r="D6" s="120">
        <f>EmployeeActual[[#Totals],[YEAR]]</f>
        <v>659130</v>
      </c>
      <c r="E6" s="120">
        <f>C6-D6</f>
        <v>695960</v>
      </c>
      <c r="F6" s="21">
        <f>E6/C6</f>
        <v>0.5135895032802249</v>
      </c>
      <c r="G6" s="3"/>
    </row>
    <row r="7" spans="1:16" ht="24.95" customHeight="1" thickBot="1" x14ac:dyDescent="0.35">
      <c r="A7" s="38"/>
      <c r="B7" s="84" t="str">
        <f>'PLANNED EXPENSES'!B10</f>
        <v>Office Costs</v>
      </c>
      <c r="C7" s="120">
        <f>OfficePlan[[#Totals],[YEAR]]</f>
        <v>138740</v>
      </c>
      <c r="D7" s="120">
        <f>OfficeActual[[#Totals],[YEAR]]</f>
        <v>69350</v>
      </c>
      <c r="E7" s="120">
        <f>C7-D7</f>
        <v>69390</v>
      </c>
      <c r="F7" s="21">
        <f>E7/C7</f>
        <v>0.50014415453366012</v>
      </c>
    </row>
    <row r="8" spans="1:16" ht="24.95" customHeight="1" thickBot="1" x14ac:dyDescent="0.35">
      <c r="A8" s="38"/>
      <c r="B8" s="20" t="str">
        <f>'PLANNED EXPENSES'!B21</f>
        <v>Marketing Costs</v>
      </c>
      <c r="C8" s="120">
        <f>MarketingPlan[[#Totals],[YEAR]]</f>
        <v>67800</v>
      </c>
      <c r="D8" s="120">
        <f>MarketingActual[[#Totals],[YEAR]]</f>
        <v>33159</v>
      </c>
      <c r="E8" s="120">
        <f>C8-D8</f>
        <v>34641</v>
      </c>
      <c r="F8" s="21">
        <f>E8/C8</f>
        <v>0.51092920353982296</v>
      </c>
    </row>
    <row r="9" spans="1:16" ht="24.95" customHeight="1" thickBot="1" x14ac:dyDescent="0.35">
      <c r="A9" s="38"/>
      <c r="B9" s="20" t="str">
        <f>'PLANNED EXPENSES'!B30</f>
        <v>Training/Travel</v>
      </c>
      <c r="C9" s="120">
        <f>TrainingAndTravelPlan[[#Totals],[YEAR]]</f>
        <v>48000</v>
      </c>
      <c r="D9" s="120">
        <f>TrainingAndTravelActual[[#Totals],[YEAR]]</f>
        <v>21300</v>
      </c>
      <c r="E9" s="120">
        <f>C9-D9</f>
        <v>26700</v>
      </c>
      <c r="F9" s="21">
        <f>E9/C9</f>
        <v>0.55625000000000002</v>
      </c>
    </row>
    <row r="10" spans="1:16" ht="24.95" customHeight="1" x14ac:dyDescent="0.3">
      <c r="A10" s="38"/>
      <c r="B10" s="41" t="str">
        <f>'PLANNED EXPENSES'!B35</f>
        <v>TOTALS</v>
      </c>
      <c r="C10" s="121">
        <f>'PLANNED EXPENSES'!O36</f>
        <v>1609630</v>
      </c>
      <c r="D10" s="121">
        <f>'ACTUAL EXPENSES'!O36</f>
        <v>782939</v>
      </c>
      <c r="E10" s="121">
        <f>C10-D10</f>
        <v>826691</v>
      </c>
      <c r="F10" s="42">
        <f>E10/C10</f>
        <v>0.51359070096854553</v>
      </c>
    </row>
    <row r="11" spans="1:16" x14ac:dyDescent="0.3">
      <c r="A11" s="38"/>
      <c r="B11" s="86"/>
      <c r="C11" s="122"/>
      <c r="D11" s="122"/>
      <c r="E11" s="122"/>
      <c r="F11" s="6"/>
    </row>
    <row r="12" spans="1:16" ht="300" customHeight="1" x14ac:dyDescent="0.3">
      <c r="A12" s="38" t="s">
        <v>99</v>
      </c>
      <c r="B12" s="140" t="s">
        <v>102</v>
      </c>
      <c r="C12" s="139"/>
      <c r="D12" s="139" t="s">
        <v>105</v>
      </c>
      <c r="E12" s="139"/>
      <c r="F12" s="139"/>
      <c r="G12"/>
    </row>
    <row r="13" spans="1:16" ht="18.75" customHeight="1" x14ac:dyDescent="0.3">
      <c r="A13" s="38"/>
      <c r="B13" s="87"/>
    </row>
    <row r="14" spans="1:16" ht="409.5" x14ac:dyDescent="0.3">
      <c r="A14" s="38" t="s">
        <v>100</v>
      </c>
      <c r="B14" s="141"/>
      <c r="C14" s="142"/>
      <c r="D14" s="142"/>
      <c r="E14" s="142"/>
      <c r="F14" s="142"/>
    </row>
    <row r="15" spans="1:16" x14ac:dyDescent="0.3">
      <c r="A15" s="38"/>
      <c r="B15" s="141"/>
      <c r="C15" s="142"/>
      <c r="D15" s="142"/>
      <c r="E15" s="142"/>
      <c r="F15" s="142"/>
    </row>
    <row r="16" spans="1:16" x14ac:dyDescent="0.3">
      <c r="A16" s="38"/>
      <c r="B16" s="141"/>
      <c r="C16" s="142"/>
      <c r="D16" s="142"/>
      <c r="E16" s="142"/>
      <c r="F16" s="142"/>
    </row>
    <row r="17" spans="1:6" x14ac:dyDescent="0.3">
      <c r="A17" s="38"/>
      <c r="B17" s="141"/>
      <c r="C17" s="142"/>
      <c r="D17" s="142"/>
      <c r="E17" s="142"/>
      <c r="F17" s="142"/>
    </row>
    <row r="18" spans="1:6" x14ac:dyDescent="0.3">
      <c r="A18" s="38"/>
      <c r="B18" s="141"/>
      <c r="C18" s="142"/>
      <c r="D18" s="142"/>
      <c r="E18" s="142"/>
      <c r="F18" s="142"/>
    </row>
    <row r="19" spans="1:6" x14ac:dyDescent="0.3">
      <c r="A19" s="38"/>
      <c r="B19" s="142"/>
      <c r="C19" s="142"/>
      <c r="D19" s="142"/>
      <c r="E19" s="142"/>
      <c r="F19" s="142"/>
    </row>
    <row r="20" spans="1:6" x14ac:dyDescent="0.3">
      <c r="A20" s="38"/>
      <c r="B20" s="142"/>
      <c r="C20" s="142"/>
      <c r="D20" s="142"/>
      <c r="E20" s="142"/>
      <c r="F20" s="142"/>
    </row>
    <row r="21" spans="1:6" x14ac:dyDescent="0.3">
      <c r="A21" s="38"/>
      <c r="B21" s="142"/>
      <c r="C21" s="142"/>
      <c r="D21" s="142"/>
      <c r="E21" s="142"/>
      <c r="F21" s="142"/>
    </row>
    <row r="22" spans="1:6" x14ac:dyDescent="0.3">
      <c r="A22" s="38"/>
      <c r="B22" s="141"/>
      <c r="C22" s="142"/>
      <c r="D22" s="142"/>
      <c r="E22" s="142"/>
      <c r="F22" s="142"/>
    </row>
    <row r="23" spans="1:6" x14ac:dyDescent="0.3">
      <c r="A23" s="38"/>
      <c r="B23" s="141"/>
      <c r="C23" s="142"/>
      <c r="D23" s="142"/>
      <c r="E23" s="142"/>
      <c r="F23" s="142"/>
    </row>
    <row r="24" spans="1:6" x14ac:dyDescent="0.3">
      <c r="A24" s="38"/>
      <c r="B24" s="141"/>
      <c r="C24" s="142"/>
      <c r="D24" s="142"/>
      <c r="E24" s="142"/>
      <c r="F24" s="142"/>
    </row>
    <row r="25" spans="1:6" x14ac:dyDescent="0.3">
      <c r="A25" s="38"/>
      <c r="B25" s="141"/>
      <c r="C25" s="142"/>
      <c r="D25" s="142"/>
      <c r="E25" s="142"/>
      <c r="F25" s="142"/>
    </row>
    <row r="26" spans="1:6" x14ac:dyDescent="0.3">
      <c r="A26" s="38"/>
      <c r="B26" s="141"/>
      <c r="C26" s="142"/>
      <c r="D26" s="142"/>
      <c r="E26" s="142"/>
      <c r="F26" s="142"/>
    </row>
    <row r="27" spans="1:6" x14ac:dyDescent="0.3">
      <c r="A27" s="38"/>
      <c r="B27" s="141"/>
      <c r="C27" s="142"/>
      <c r="D27" s="142"/>
      <c r="E27" s="142"/>
      <c r="F27" s="142"/>
    </row>
    <row r="28" spans="1:6" x14ac:dyDescent="0.3">
      <c r="A28" s="38"/>
      <c r="B28" s="142"/>
      <c r="C28" s="142"/>
      <c r="D28" s="142"/>
      <c r="E28" s="142"/>
      <c r="F28" s="142"/>
    </row>
    <row r="29" spans="1:6" x14ac:dyDescent="0.3">
      <c r="A29" s="38"/>
      <c r="B29" s="142"/>
      <c r="C29" s="142"/>
      <c r="D29" s="142"/>
      <c r="E29" s="142"/>
      <c r="F29" s="142"/>
    </row>
    <row r="30" spans="1:6" x14ac:dyDescent="0.3">
      <c r="A30" s="38"/>
      <c r="B30" s="142"/>
      <c r="C30" s="142"/>
      <c r="D30" s="142"/>
      <c r="E30" s="142"/>
      <c r="F30" s="142"/>
    </row>
    <row r="31" spans="1:6" x14ac:dyDescent="0.3">
      <c r="A31" s="38"/>
      <c r="B31" s="141"/>
      <c r="C31" s="142"/>
      <c r="D31" s="142"/>
      <c r="E31" s="142"/>
      <c r="F31" s="142"/>
    </row>
    <row r="32" spans="1:6" x14ac:dyDescent="0.3">
      <c r="A32" s="38"/>
      <c r="B32" s="141"/>
      <c r="C32" s="142"/>
      <c r="D32" s="142"/>
      <c r="E32" s="142"/>
      <c r="F32" s="142"/>
    </row>
    <row r="33" spans="1:6" x14ac:dyDescent="0.3">
      <c r="A33" s="38"/>
      <c r="B33" s="142"/>
      <c r="C33" s="142"/>
      <c r="D33" s="142"/>
      <c r="E33" s="142"/>
      <c r="F33" s="142"/>
    </row>
    <row r="34" spans="1:6" x14ac:dyDescent="0.3">
      <c r="A34" s="38"/>
      <c r="B34" s="142"/>
      <c r="C34" s="142"/>
      <c r="D34" s="142"/>
      <c r="E34" s="142"/>
      <c r="F34" s="142"/>
    </row>
    <row r="35" spans="1:6" x14ac:dyDescent="0.3">
      <c r="A35" s="38"/>
      <c r="B35" s="142"/>
      <c r="C35" s="142"/>
      <c r="D35" s="142"/>
      <c r="E35" s="142"/>
      <c r="F35" s="142"/>
    </row>
    <row r="36" spans="1:6" x14ac:dyDescent="0.3">
      <c r="A36" s="38"/>
      <c r="B36" s="143"/>
      <c r="C36" s="142"/>
      <c r="D36" s="142"/>
      <c r="E36" s="142"/>
      <c r="F36" s="142"/>
    </row>
    <row r="37" spans="1:6" x14ac:dyDescent="0.3">
      <c r="A37" s="38"/>
      <c r="B37" s="143"/>
      <c r="C37" s="142"/>
      <c r="D37" s="142"/>
      <c r="E37" s="142"/>
      <c r="F37" s="142"/>
    </row>
    <row r="38" spans="1:6" x14ac:dyDescent="0.3">
      <c r="A38" s="38"/>
    </row>
    <row r="39" spans="1:6" x14ac:dyDescent="0.3">
      <c r="A39" s="38"/>
    </row>
  </sheetData>
  <mergeCells count="6">
    <mergeCell ref="D12:F12"/>
    <mergeCell ref="B12:C12"/>
    <mergeCell ref="B14:F37"/>
    <mergeCell ref="B2:D3"/>
    <mergeCell ref="E3:G3"/>
    <mergeCell ref="F2:G2"/>
  </mergeCells>
  <printOptions horizontalCentered="1"/>
  <pageMargins left="0.4" right="0.4" top="0.4" bottom="0.4" header="0.3" footer="0.3"/>
  <pageSetup paperSize="9" orientation="portrait" r:id="rId1"/>
  <ignoredErrors>
    <ignoredError sqref="B2" emptyCellReference="1"/>
  </ignoredErrors>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START</vt:lpstr>
      <vt:lpstr>PLANNED EXPENSES</vt:lpstr>
      <vt:lpstr>ACTUAL EXPENSES</vt:lpstr>
      <vt:lpstr>EXPENSE VARIANCES</vt:lpstr>
      <vt:lpstr>EXPENSE ANALYSIS</vt:lpstr>
      <vt:lpstr>worksheet_title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John Michaloudis</dc:creator>
  <cp:lastModifiedBy>John Michaloudis</cp:lastModifiedBy>
  <dcterms:created xsi:type="dcterms:W3CDTF">2018-05-30T05:56:59Z</dcterms:created>
  <dcterms:modified xsi:type="dcterms:W3CDTF">2019-02-07T15:33:50Z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2018-05-30T05:57:05.5225291Z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