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8800" windowHeight="12435" tabRatio="756"/>
  </bookViews>
  <sheets>
    <sheet name="START" sheetId="6" r:id="rId1"/>
    <sheet name="PLANNED EXPENSES" sheetId="2" r:id="rId2"/>
    <sheet name="ACTUAL EXPENSES" sheetId="3" r:id="rId3"/>
    <sheet name="EXPENSE VARIANCES" sheetId="4" r:id="rId4"/>
    <sheet name="EXPENSE ANALYSIS" sheetId="5" r:id="rId5"/>
  </sheets>
  <definedNames>
    <definedName name="_xlnm.Print_Titles" localSheetId="2">'ACTUAL EXPENSES'!$1:$4</definedName>
    <definedName name="_xlnm.Print_Titles" localSheetId="3">'EXPENSE VARIANCES'!$1:$4</definedName>
    <definedName name="_xlnm.Print_Titles" localSheetId="1">'PLANNED EXPENSES'!$1:$13</definedName>
    <definedName name="worksheet_title">'PLANNED EXPENSES'!$K$2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2" l="1"/>
  <c r="O23" i="2"/>
  <c r="O24" i="2"/>
  <c r="O25" i="2"/>
  <c r="O26" i="2"/>
  <c r="O27" i="2"/>
  <c r="O28" i="2"/>
  <c r="C7" i="5"/>
  <c r="O11" i="3"/>
  <c r="O12" i="3"/>
  <c r="O13" i="3"/>
  <c r="O14" i="3"/>
  <c r="O15" i="3"/>
  <c r="O16" i="3"/>
  <c r="O17" i="3"/>
  <c r="O18" i="3"/>
  <c r="O19" i="3"/>
  <c r="D6" i="5"/>
  <c r="I6" i="4"/>
  <c r="I7" i="2"/>
  <c r="I7" i="3"/>
  <c r="I7" i="4"/>
  <c r="I8" i="4"/>
  <c r="O6" i="2"/>
  <c r="C7" i="2"/>
  <c r="C8" i="2"/>
  <c r="C33" i="2"/>
  <c r="C28" i="2"/>
  <c r="C19" i="2"/>
  <c r="C36" i="2"/>
  <c r="D7" i="2"/>
  <c r="E7" i="2"/>
  <c r="F7" i="2"/>
  <c r="G7" i="2"/>
  <c r="H7" i="2"/>
  <c r="J7" i="2"/>
  <c r="K7" i="2"/>
  <c r="L7" i="2"/>
  <c r="M7" i="2"/>
  <c r="N7" i="2"/>
  <c r="O7" i="2"/>
  <c r="O8" i="2"/>
  <c r="C5" i="5"/>
  <c r="F8" i="2"/>
  <c r="F33" i="2"/>
  <c r="F28" i="2"/>
  <c r="F19" i="2"/>
  <c r="F36" i="2"/>
  <c r="G8" i="2"/>
  <c r="G33" i="2"/>
  <c r="G28" i="2"/>
  <c r="G19" i="2"/>
  <c r="G36" i="2"/>
  <c r="I8" i="2"/>
  <c r="K8" i="2"/>
  <c r="K33" i="2"/>
  <c r="K28" i="2"/>
  <c r="K19" i="2"/>
  <c r="K36" i="2"/>
  <c r="M8" i="2"/>
  <c r="N8" i="2"/>
  <c r="N33" i="2"/>
  <c r="N28" i="2"/>
  <c r="N19" i="2"/>
  <c r="N36" i="2"/>
  <c r="D8" i="2"/>
  <c r="H8" i="2"/>
  <c r="J8" i="2"/>
  <c r="L8" i="2"/>
  <c r="J7" i="3"/>
  <c r="K7" i="3"/>
  <c r="K8" i="3"/>
  <c r="K33" i="3"/>
  <c r="K28" i="3"/>
  <c r="K19" i="3"/>
  <c r="K36" i="3"/>
  <c r="L7" i="3"/>
  <c r="M7" i="3"/>
  <c r="N7" i="3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G31" i="4"/>
  <c r="G33" i="4"/>
  <c r="D31" i="4"/>
  <c r="D33" i="4"/>
  <c r="E31" i="4"/>
  <c r="F31" i="4"/>
  <c r="H31" i="4"/>
  <c r="I31" i="4"/>
  <c r="J31" i="4"/>
  <c r="K31" i="4"/>
  <c r="L31" i="4"/>
  <c r="L33" i="4"/>
  <c r="M31" i="4"/>
  <c r="N31" i="4"/>
  <c r="C31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C22" i="4"/>
  <c r="C25" i="4"/>
  <c r="C26" i="4"/>
  <c r="C27" i="4"/>
  <c r="C28" i="4"/>
  <c r="D24" i="4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O25" i="4"/>
  <c r="D26" i="4"/>
  <c r="E26" i="4"/>
  <c r="F26" i="4"/>
  <c r="G26" i="4"/>
  <c r="H26" i="4"/>
  <c r="I26" i="4"/>
  <c r="J26" i="4"/>
  <c r="K26" i="4"/>
  <c r="L26" i="4"/>
  <c r="M26" i="4"/>
  <c r="N26" i="4"/>
  <c r="O26" i="4"/>
  <c r="D27" i="4"/>
  <c r="E27" i="4"/>
  <c r="F27" i="4"/>
  <c r="G27" i="4"/>
  <c r="H27" i="4"/>
  <c r="I27" i="4"/>
  <c r="J27" i="4"/>
  <c r="K27" i="4"/>
  <c r="L27" i="4"/>
  <c r="M27" i="4"/>
  <c r="N27" i="4"/>
  <c r="O27" i="4"/>
  <c r="D22" i="4"/>
  <c r="D28" i="4"/>
  <c r="E22" i="4"/>
  <c r="F22" i="4"/>
  <c r="G22" i="4"/>
  <c r="H22" i="4"/>
  <c r="I22" i="4"/>
  <c r="J22" i="4"/>
  <c r="K22" i="4"/>
  <c r="K28" i="4"/>
  <c r="L22" i="4"/>
  <c r="L28" i="4"/>
  <c r="M22" i="4"/>
  <c r="N22" i="4"/>
  <c r="D6" i="4"/>
  <c r="E6" i="4"/>
  <c r="F6" i="4"/>
  <c r="G6" i="4"/>
  <c r="H6" i="4"/>
  <c r="H7" i="3"/>
  <c r="H7" i="4"/>
  <c r="H8" i="4"/>
  <c r="J6" i="4"/>
  <c r="K6" i="4"/>
  <c r="L6" i="4"/>
  <c r="M6" i="4"/>
  <c r="N6" i="4"/>
  <c r="C6" i="4"/>
  <c r="C12" i="4"/>
  <c r="D12" i="4"/>
  <c r="E12" i="4"/>
  <c r="F12" i="4"/>
  <c r="G12" i="4"/>
  <c r="H12" i="4"/>
  <c r="I12" i="4"/>
  <c r="J12" i="4"/>
  <c r="J11" i="4"/>
  <c r="J13" i="4"/>
  <c r="J14" i="4"/>
  <c r="J15" i="4"/>
  <c r="J16" i="4"/>
  <c r="J17" i="4"/>
  <c r="J18" i="4"/>
  <c r="J19" i="4"/>
  <c r="K12" i="4"/>
  <c r="L12" i="4"/>
  <c r="M12" i="4"/>
  <c r="N12" i="4"/>
  <c r="C13" i="4"/>
  <c r="D13" i="4"/>
  <c r="E13" i="4"/>
  <c r="F13" i="4"/>
  <c r="G13" i="4"/>
  <c r="H13" i="4"/>
  <c r="I13" i="4"/>
  <c r="K13" i="4"/>
  <c r="L13" i="4"/>
  <c r="M13" i="4"/>
  <c r="N13" i="4"/>
  <c r="C14" i="4"/>
  <c r="D14" i="4"/>
  <c r="E14" i="4"/>
  <c r="F14" i="4"/>
  <c r="G14" i="4"/>
  <c r="H14" i="4"/>
  <c r="I14" i="4"/>
  <c r="K14" i="4"/>
  <c r="L14" i="4"/>
  <c r="M14" i="4"/>
  <c r="N14" i="4"/>
  <c r="C15" i="4"/>
  <c r="D15" i="4"/>
  <c r="E15" i="4"/>
  <c r="F15" i="4"/>
  <c r="G15" i="4"/>
  <c r="H15" i="4"/>
  <c r="I15" i="4"/>
  <c r="K15" i="4"/>
  <c r="L15" i="4"/>
  <c r="M15" i="4"/>
  <c r="N15" i="4"/>
  <c r="C16" i="4"/>
  <c r="D16" i="4"/>
  <c r="E16" i="4"/>
  <c r="F16" i="4"/>
  <c r="G16" i="4"/>
  <c r="H16" i="4"/>
  <c r="I16" i="4"/>
  <c r="K16" i="4"/>
  <c r="L16" i="4"/>
  <c r="M16" i="4"/>
  <c r="N16" i="4"/>
  <c r="C17" i="4"/>
  <c r="D17" i="4"/>
  <c r="E17" i="4"/>
  <c r="F17" i="4"/>
  <c r="G17" i="4"/>
  <c r="H17" i="4"/>
  <c r="I17" i="4"/>
  <c r="K17" i="4"/>
  <c r="L17" i="4"/>
  <c r="M17" i="4"/>
  <c r="N17" i="4"/>
  <c r="O17" i="4"/>
  <c r="C18" i="4"/>
  <c r="D18" i="4"/>
  <c r="E18" i="4"/>
  <c r="F18" i="4"/>
  <c r="G18" i="4"/>
  <c r="H18" i="4"/>
  <c r="I18" i="4"/>
  <c r="K18" i="4"/>
  <c r="L18" i="4"/>
  <c r="M18" i="4"/>
  <c r="N18" i="4"/>
  <c r="D11" i="4"/>
  <c r="D19" i="4"/>
  <c r="E11" i="4"/>
  <c r="E19" i="4"/>
  <c r="F11" i="4"/>
  <c r="F19" i="4"/>
  <c r="G11" i="4"/>
  <c r="H11" i="4"/>
  <c r="H19" i="4"/>
  <c r="H33" i="4"/>
  <c r="H28" i="4"/>
  <c r="H36" i="4"/>
  <c r="I11" i="4"/>
  <c r="K11" i="4"/>
  <c r="L11" i="4"/>
  <c r="L19" i="4"/>
  <c r="M11" i="4"/>
  <c r="N11" i="4"/>
  <c r="N19" i="4"/>
  <c r="C11" i="4"/>
  <c r="C19" i="4"/>
  <c r="D19" i="3"/>
  <c r="E19" i="3"/>
  <c r="F19" i="3"/>
  <c r="G19" i="3"/>
  <c r="H19" i="3"/>
  <c r="I19" i="3"/>
  <c r="J19" i="3"/>
  <c r="L19" i="3"/>
  <c r="L33" i="3"/>
  <c r="L28" i="3"/>
  <c r="L8" i="3"/>
  <c r="L36" i="3"/>
  <c r="M19" i="3"/>
  <c r="M33" i="3"/>
  <c r="M28" i="3"/>
  <c r="M8" i="3"/>
  <c r="M36" i="3"/>
  <c r="N19" i="3"/>
  <c r="D28" i="3"/>
  <c r="E28" i="3"/>
  <c r="F28" i="3"/>
  <c r="G28" i="3"/>
  <c r="H28" i="3"/>
  <c r="I28" i="3"/>
  <c r="I33" i="3"/>
  <c r="I8" i="3"/>
  <c r="I36" i="3"/>
  <c r="J28" i="3"/>
  <c r="J33" i="3"/>
  <c r="J8" i="3"/>
  <c r="J36" i="3"/>
  <c r="N28" i="3"/>
  <c r="D33" i="3"/>
  <c r="E33" i="3"/>
  <c r="F33" i="3"/>
  <c r="F7" i="3"/>
  <c r="F8" i="3"/>
  <c r="F36" i="3"/>
  <c r="G33" i="3"/>
  <c r="G7" i="3"/>
  <c r="G8" i="3"/>
  <c r="G36" i="3"/>
  <c r="H33" i="3"/>
  <c r="H8" i="3"/>
  <c r="H36" i="3"/>
  <c r="N33" i="3"/>
  <c r="N8" i="3"/>
  <c r="N36" i="3"/>
  <c r="C33" i="3"/>
  <c r="C28" i="3"/>
  <c r="C19" i="3"/>
  <c r="C7" i="3"/>
  <c r="C8" i="3"/>
  <c r="C36" i="3"/>
  <c r="D33" i="2"/>
  <c r="E33" i="2"/>
  <c r="H33" i="2"/>
  <c r="H28" i="2"/>
  <c r="H19" i="2"/>
  <c r="H36" i="2"/>
  <c r="I33" i="2"/>
  <c r="I28" i="2"/>
  <c r="I19" i="2"/>
  <c r="I36" i="2"/>
  <c r="J33" i="2"/>
  <c r="L33" i="2"/>
  <c r="M33" i="2"/>
  <c r="D28" i="2"/>
  <c r="D19" i="2"/>
  <c r="D36" i="2"/>
  <c r="E28" i="2"/>
  <c r="J28" i="2"/>
  <c r="L28" i="2"/>
  <c r="L19" i="2"/>
  <c r="L36" i="2"/>
  <c r="M28" i="2"/>
  <c r="M19" i="2"/>
  <c r="M36" i="2"/>
  <c r="E19" i="2"/>
  <c r="J19" i="2"/>
  <c r="O24" i="4"/>
  <c r="O6" i="4"/>
  <c r="B9" i="5"/>
  <c r="B8" i="5"/>
  <c r="B7" i="5"/>
  <c r="B6" i="5"/>
  <c r="N33" i="4"/>
  <c r="M33" i="4"/>
  <c r="K33" i="4"/>
  <c r="J33" i="4"/>
  <c r="I33" i="4"/>
  <c r="E33" i="4"/>
  <c r="C33" i="4"/>
  <c r="N28" i="4"/>
  <c r="M28" i="4"/>
  <c r="J28" i="4"/>
  <c r="I28" i="4"/>
  <c r="F28" i="4"/>
  <c r="E28" i="4"/>
  <c r="M19" i="4"/>
  <c r="M7" i="4"/>
  <c r="M8" i="4"/>
  <c r="M36" i="4"/>
  <c r="K19" i="4"/>
  <c r="O32" i="3"/>
  <c r="O31" i="3"/>
  <c r="O27" i="3"/>
  <c r="O26" i="3"/>
  <c r="O25" i="3"/>
  <c r="O24" i="3"/>
  <c r="O23" i="3"/>
  <c r="O22" i="3"/>
  <c r="O28" i="3"/>
  <c r="D7" i="5"/>
  <c r="G7" i="4"/>
  <c r="E7" i="3"/>
  <c r="E8" i="3"/>
  <c r="D7" i="3"/>
  <c r="D8" i="3"/>
  <c r="O6" i="3"/>
  <c r="O32" i="2"/>
  <c r="O31" i="2"/>
  <c r="O33" i="2"/>
  <c r="O18" i="2"/>
  <c r="O17" i="2"/>
  <c r="O16" i="2"/>
  <c r="O15" i="2"/>
  <c r="O14" i="2"/>
  <c r="O13" i="2"/>
  <c r="O12" i="2"/>
  <c r="O11" i="2"/>
  <c r="J36" i="2"/>
  <c r="J7" i="4"/>
  <c r="J8" i="4"/>
  <c r="L7" i="4"/>
  <c r="L8" i="4"/>
  <c r="G8" i="4"/>
  <c r="N7" i="4"/>
  <c r="N8" i="4"/>
  <c r="D7" i="4"/>
  <c r="D8" i="4"/>
  <c r="E7" i="4"/>
  <c r="E8" i="4"/>
  <c r="K7" i="4"/>
  <c r="K8" i="4"/>
  <c r="F7" i="4"/>
  <c r="F8" i="4"/>
  <c r="C7" i="4"/>
  <c r="O7" i="4"/>
  <c r="C8" i="4"/>
  <c r="O33" i="3"/>
  <c r="D8" i="5"/>
  <c r="O19" i="2"/>
  <c r="C6" i="5"/>
  <c r="O8" i="4"/>
  <c r="E36" i="4"/>
  <c r="C36" i="4"/>
  <c r="D36" i="4"/>
  <c r="F33" i="4"/>
  <c r="F36" i="4"/>
  <c r="F37" i="4"/>
  <c r="J36" i="4"/>
  <c r="N36" i="4"/>
  <c r="O11" i="4"/>
  <c r="O18" i="4"/>
  <c r="O16" i="4"/>
  <c r="O15" i="4"/>
  <c r="O12" i="4"/>
  <c r="O13" i="4"/>
  <c r="O14" i="4"/>
  <c r="O19" i="4"/>
  <c r="K36" i="4"/>
  <c r="C8" i="5"/>
  <c r="E8" i="5"/>
  <c r="F8" i="5"/>
  <c r="O36" i="2"/>
  <c r="C9" i="5"/>
  <c r="C37" i="2"/>
  <c r="D37" i="2"/>
  <c r="D37" i="4"/>
  <c r="E7" i="5"/>
  <c r="F7" i="5"/>
  <c r="E6" i="5"/>
  <c r="F6" i="5"/>
  <c r="D36" i="3"/>
  <c r="E36" i="3"/>
  <c r="N37" i="3"/>
  <c r="E8" i="2"/>
  <c r="E36" i="2"/>
  <c r="J37" i="2"/>
  <c r="C37" i="3"/>
  <c r="H37" i="3"/>
  <c r="L36" i="4"/>
  <c r="O22" i="4"/>
  <c r="O28" i="4"/>
  <c r="G28" i="4"/>
  <c r="G19" i="4"/>
  <c r="O31" i="4"/>
  <c r="O33" i="4"/>
  <c r="O7" i="3"/>
  <c r="O8" i="3"/>
  <c r="D5" i="5"/>
  <c r="E5" i="5"/>
  <c r="F5" i="5"/>
  <c r="I19" i="4"/>
  <c r="I36" i="4"/>
  <c r="C37" i="4"/>
  <c r="G36" i="4"/>
  <c r="K37" i="4"/>
  <c r="E37" i="4"/>
  <c r="L37" i="4"/>
  <c r="I37" i="4"/>
  <c r="N37" i="4"/>
  <c r="O36" i="4"/>
  <c r="G37" i="4"/>
  <c r="M37" i="4"/>
  <c r="J37" i="4"/>
  <c r="H37" i="4"/>
  <c r="I37" i="3"/>
  <c r="H37" i="2"/>
  <c r="M37" i="2"/>
  <c r="D37" i="3"/>
  <c r="K37" i="2"/>
  <c r="F37" i="2"/>
  <c r="E37" i="2"/>
  <c r="L37" i="3"/>
  <c r="G37" i="3"/>
  <c r="F37" i="3"/>
  <c r="L37" i="2"/>
  <c r="I37" i="2"/>
  <c r="E37" i="3"/>
  <c r="K37" i="3"/>
  <c r="N37" i="2"/>
  <c r="M37" i="3"/>
  <c r="J37" i="3"/>
  <c r="G37" i="2"/>
  <c r="O36" i="3"/>
  <c r="D9" i="5"/>
  <c r="E9" i="5"/>
  <c r="F9" i="5"/>
</calcChain>
</file>

<file path=xl/sharedStrings.xml><?xml version="1.0" encoding="utf-8"?>
<sst xmlns="http://schemas.openxmlformats.org/spreadsheetml/2006/main" count="338" uniqueCount="73">
  <si>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</si>
  <si>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</si>
  <si>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</si>
  <si>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</si>
  <si>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</si>
  <si>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</si>
  <si>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</si>
  <si>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</si>
  <si>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</si>
  <si>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</si>
  <si>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</si>
  <si>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</si>
  <si>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</si>
  <si>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Wages</t>
  </si>
  <si>
    <t>Benefits</t>
  </si>
  <si>
    <t>Subtotal</t>
  </si>
  <si>
    <t>Office lease</t>
  </si>
  <si>
    <t>Gas</t>
  </si>
  <si>
    <t>Electric</t>
  </si>
  <si>
    <t>Water</t>
  </si>
  <si>
    <t>Telephone</t>
  </si>
  <si>
    <t>Internet access</t>
  </si>
  <si>
    <t>Office supplies</t>
  </si>
  <si>
    <t>Security</t>
  </si>
  <si>
    <t>Web site hosting</t>
  </si>
  <si>
    <t>Web site updates</t>
  </si>
  <si>
    <t>Collateral preparation</t>
  </si>
  <si>
    <t>Collateral printing</t>
  </si>
  <si>
    <t>Marketing events</t>
  </si>
  <si>
    <t>Miscellaneous expenses</t>
  </si>
  <si>
    <t>Training classes</t>
  </si>
  <si>
    <t>Training-related travel costs</t>
  </si>
  <si>
    <t>TOTALS</t>
  </si>
  <si>
    <t>Monthly Planned Expenses</t>
  </si>
  <si>
    <t>TOTAL Planned Expenses</t>
  </si>
  <si>
    <t>Monthly Actual Expenses</t>
  </si>
  <si>
    <t>TOTAL Actual Expenses</t>
  </si>
  <si>
    <t>PLANNED EXPENSES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</si>
  <si>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</si>
  <si>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</si>
  <si>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</si>
  <si>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</si>
  <si>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</si>
  <si>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</si>
  <si>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</si>
  <si>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</si>
  <si>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</si>
  <si>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</si>
  <si>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</si>
  <si>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</si>
  <si>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ACTUAL EXPENSES</t>
  </si>
  <si>
    <t>EXPENSE VARIANCES</t>
  </si>
  <si>
    <t>Year</t>
  </si>
  <si>
    <t>ABOUT THIS TEMPLATE</t>
  </si>
  <si>
    <t>Use this Business Expense Budget workbook to track Planned and Actual Expenses and Variances.</t>
  </si>
  <si>
    <t>Note: </t>
  </si>
  <si>
    <t>Additional instructions have been provided in column A in each worksheet. This text has been intentionally hidden. To remove text, select column A, then select DELETE. To unhide text, select column A, then change font color.</t>
  </si>
  <si>
    <t>To learn more about tables, press SHIFT and then F10 within a table, select the TABLE option, and then select ALTERNATIVE TEXT</t>
  </si>
  <si>
    <t>EMPLOYEE COSTS</t>
  </si>
  <si>
    <t>OFFICE COSTS</t>
  </si>
  <si>
    <t>MARKETING COSTS</t>
  </si>
  <si>
    <t>TRAINING/TRAVEL</t>
  </si>
  <si>
    <t>TRAINING COSTS</t>
  </si>
  <si>
    <t>TOTAL PLANNED EXPENSES</t>
  </si>
  <si>
    <t>EXPENSES CATEGORY</t>
  </si>
  <si>
    <t>VARIANCE PERCENTAGE</t>
  </si>
  <si>
    <t>- Fill in Company Name and add Logo.</t>
  </si>
  <si>
    <t>- Enter details in tables in Planned Expenses worksheet and Actual Expenses worksheet.</t>
  </si>
  <si>
    <t>- Tables are auto updated in Expense Variances worksheet and charts in Expense Analysis worksheet.</t>
  </si>
  <si>
    <t>TOTAL ACTUAL EXPENSES</t>
  </si>
  <si>
    <t>Monthly Expense Variances</t>
  </si>
  <si>
    <t>TOTAL Expense Variances</t>
  </si>
  <si>
    <t>EXPENSES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</si>
</sst>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_(&quot;$&quot;* #,##0_);_(&quot;$&quot;* \(#,##0\);_(&quot;$&quot;* &quot;-&quot;??_);_(@_)"/>
  </numFmts>
  <fonts count="53" x14ac:knownFonts="1">
    <font>
      <sz val="9"/>
      <color theme="1" tint="0.2499465926084170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4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b/>
      <sz val="10"/>
      <color theme="1"/>
      <name val="Gill Sans MT"/>
      <family val="2"/>
      <scheme val="minor"/>
    </font>
    <font>
      <b/>
      <i/>
      <sz val="10"/>
      <color theme="1"/>
      <name val="Gill Sans MT"/>
      <family val="2"/>
      <scheme val="minor"/>
    </font>
    <font>
      <b/>
      <sz val="22"/>
      <color theme="1" tint="0.24994659260841701"/>
      <name val="Gill Sans MT"/>
      <family val="2"/>
      <scheme val="major"/>
    </font>
    <font>
      <sz val="11"/>
      <color theme="1" tint="0.24994659260841701"/>
      <name val="Gill Sans MT"/>
      <family val="2"/>
      <scheme val="major"/>
    </font>
    <font>
      <b/>
      <sz val="10"/>
      <color theme="2"/>
      <name val="Gill Sans MT"/>
      <family val="2"/>
      <scheme val="major"/>
    </font>
    <font>
      <i/>
      <sz val="11"/>
      <color theme="3" tint="0.79998168889431442"/>
      <name val="Gill Sans MT"/>
      <family val="2"/>
      <scheme val="minor"/>
    </font>
    <font>
      <b/>
      <sz val="16"/>
      <color theme="0"/>
      <name val="Gill Sans MT"/>
      <family val="2"/>
      <scheme val="major"/>
    </font>
    <font>
      <sz val="14"/>
      <color theme="3"/>
      <name val="Gill Sans MT"/>
      <family val="2"/>
      <scheme val="minor"/>
    </font>
    <font>
      <sz val="10"/>
      <color theme="5" tint="0.79998168889431442"/>
      <name val="Gill Sans MT"/>
      <family val="2"/>
      <scheme val="minor"/>
    </font>
    <font>
      <sz val="14"/>
      <color theme="3" tint="-0.249977111117893"/>
      <name val="Gill Sans MT"/>
      <family val="2"/>
      <scheme val="minor"/>
    </font>
    <font>
      <sz val="14"/>
      <color theme="6" tint="0.39997558519241921"/>
      <name val="Gill Sans MT"/>
      <family val="2"/>
      <scheme val="minor"/>
    </font>
    <font>
      <sz val="11"/>
      <color theme="6" tint="0.39997558519241921"/>
      <name val="Calibri"/>
      <family val="2"/>
    </font>
    <font>
      <sz val="14"/>
      <color theme="0"/>
      <name val="Gill Sans MT"/>
      <family val="2"/>
      <scheme val="minor"/>
    </font>
    <font>
      <sz val="14"/>
      <color rgb="FF262626"/>
      <name val="Gill Sans MT"/>
      <family val="2"/>
      <scheme val="minor"/>
    </font>
    <font>
      <b/>
      <sz val="12"/>
      <color theme="0"/>
      <name val="Gill Sans MT"/>
      <family val="2"/>
    </font>
    <font>
      <b/>
      <sz val="12"/>
      <color rgb="FF262626"/>
      <name val="Gill Sans MT"/>
      <family val="2"/>
    </font>
    <font>
      <b/>
      <sz val="10"/>
      <color theme="1" tint="0.14999847407452621"/>
      <name val="Gill Sans MT"/>
      <family val="2"/>
    </font>
    <font>
      <sz val="10"/>
      <color theme="1" tint="0.14999847407452621"/>
      <name val="Gill Sans MT"/>
      <family val="2"/>
    </font>
    <font>
      <sz val="10"/>
      <color theme="1" tint="0.249977111117893"/>
      <name val="Gill Sans MT"/>
      <family val="2"/>
    </font>
    <font>
      <b/>
      <sz val="10"/>
      <color theme="1" tint="0.249977111117893"/>
      <name val="Gill Sans MT"/>
      <family val="2"/>
    </font>
    <font>
      <sz val="9"/>
      <color rgb="FF820C4D"/>
      <name val="Gill Sans MT"/>
      <family val="2"/>
      <scheme val="minor"/>
    </font>
    <font>
      <sz val="10"/>
      <color theme="1"/>
      <name val="Gill Sans MT"/>
      <family val="2"/>
    </font>
    <font>
      <u/>
      <sz val="9"/>
      <color theme="10"/>
      <name val="Gill Sans MT"/>
      <family val="2"/>
      <scheme val="minor"/>
    </font>
    <font>
      <u/>
      <sz val="9"/>
      <color theme="11"/>
      <name val="Gill Sans MT"/>
      <family val="2"/>
      <scheme val="minor"/>
    </font>
    <font>
      <sz val="9"/>
      <color rgb="FF0070C0"/>
      <name val="Gill Sans MT"/>
      <family val="2"/>
    </font>
    <font>
      <sz val="9"/>
      <color rgb="FF0070C0"/>
      <name val="Gill Sans MT"/>
      <family val="2"/>
      <scheme val="minor"/>
    </font>
    <font>
      <sz val="10"/>
      <color rgb="FF0070C0"/>
      <name val="Gill Sans MT"/>
      <family val="2"/>
    </font>
    <font>
      <b/>
      <sz val="10"/>
      <color theme="2" tint="-0.749992370372631"/>
      <name val="Gill Sans MT"/>
      <family val="2"/>
    </font>
    <font>
      <b/>
      <sz val="10"/>
      <color theme="5" tint="-0.499984740745262"/>
      <name val="Gill Sans MT"/>
      <family val="2"/>
    </font>
    <font>
      <sz val="9"/>
      <color rgb="FF262626"/>
      <name val="Gill Sans MT"/>
      <family val="2"/>
    </font>
    <font>
      <sz val="9"/>
      <color rgb="FF262626"/>
      <name val="Gill Sans MT"/>
      <family val="2"/>
      <scheme val="minor"/>
    </font>
    <font>
      <sz val="10"/>
      <color rgb="FF262626"/>
      <name val="Gill Sans MT"/>
      <family val="2"/>
    </font>
    <font>
      <b/>
      <sz val="11"/>
      <color theme="1" tint="0.24994659260841701"/>
      <name val="Gill Sans MT"/>
      <family val="2"/>
    </font>
    <font>
      <sz val="10"/>
      <color theme="1" tint="0.24994659260841701"/>
      <name val="Gill Sans MT"/>
      <family val="2"/>
    </font>
    <font>
      <sz val="11"/>
      <color theme="1" tint="0.249977111117893"/>
      <name val="Gill Sans MT"/>
      <family val="2"/>
      <scheme val="minor"/>
    </font>
    <font>
      <b/>
      <sz val="11"/>
      <color theme="1" tint="0.249977111117893"/>
      <name val="Gill Sans MT"/>
      <family val="2"/>
      <scheme val="minor"/>
    </font>
    <font>
      <b/>
      <sz val="12"/>
      <color rgb="FF262626"/>
      <name val="Gill Sans MT"/>
      <family val="2"/>
      <scheme val="minor"/>
    </font>
    <font>
      <b/>
      <sz val="12"/>
      <color theme="0"/>
      <name val="Gill Sans MT"/>
      <family val="2"/>
      <scheme val="minor"/>
    </font>
    <font>
      <sz val="10"/>
      <color theme="1" tint="0.249977111117893"/>
      <name val="Gill Sans MT"/>
      <family val="2"/>
      <scheme val="minor"/>
    </font>
    <font>
      <b/>
      <sz val="10"/>
      <color theme="1" tint="0.14999847407452621"/>
      <name val="Gill Sans MT"/>
      <family val="2"/>
      <scheme val="minor"/>
    </font>
    <font>
      <b/>
      <sz val="10"/>
      <color theme="1" tint="0.249977111117893"/>
      <name val="Gill Sans MT"/>
      <family val="2"/>
      <scheme val="minor"/>
    </font>
    <font>
      <sz val="10"/>
      <color rgb="FF820C4D"/>
      <name val="Gill Sans MT"/>
      <family val="2"/>
      <scheme val="minor"/>
    </font>
    <font>
      <sz val="10"/>
      <color theme="1" tint="0.14999847407452621"/>
      <name val="Gill Sans MT"/>
      <family val="2"/>
      <scheme val="minor"/>
    </font>
    <font>
      <sz val="9"/>
      <color theme="7" tint="-0.249977111117893"/>
      <name val="Gill Sans MT"/>
      <family val="2"/>
      <scheme val="minor"/>
    </font>
    <font>
      <sz val="11"/>
      <color theme="6" tint="0.39997558519241921"/>
      <name val="Gill Sans MT"/>
      <family val="2"/>
      <scheme val="minor"/>
    </font>
    <font>
      <sz val="11"/>
      <color theme="1" tint="0.249977111117893"/>
      <name val="Gill Sans MT"/>
      <family val="2"/>
    </font>
    <font>
      <b/>
      <sz val="10"/>
      <color theme="2" tint="-0.749992370372631"/>
      <name val="Gill Sans MT"/>
      <family val="2"/>
      <scheme val="minor"/>
    </font>
    <font>
      <b/>
      <sz val="10"/>
      <color theme="5" tint="-0.499984740745262"/>
      <name val="Gill Sans MT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0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820C4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BDC3C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/>
      <diagonal/>
    </border>
    <border>
      <left/>
      <right/>
      <top style="thin">
        <color theme="7" tint="-0.24994659260841701"/>
      </top>
      <bottom/>
      <diagonal/>
    </border>
    <border>
      <left/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/>
      <right/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8">
    <xf numFmtId="0" fontId="0" fillId="5" borderId="0"/>
    <xf numFmtId="0" fontId="7" fillId="0" borderId="0" applyNumberFormat="0" applyFill="0" applyProtection="0">
      <alignment vertical="center"/>
    </xf>
    <xf numFmtId="0" fontId="11" fillId="4" borderId="0" applyNumberFormat="0" applyProtection="0">
      <alignment vertical="center"/>
    </xf>
    <xf numFmtId="0" fontId="9" fillId="2" borderId="0" applyNumberFormat="0" applyProtection="0">
      <alignment vertical="center"/>
    </xf>
    <xf numFmtId="0" fontId="8" fillId="3" borderId="1" applyNumberFormat="0" applyProtection="0">
      <alignment horizontal="left" vertical="center" indent="1"/>
    </xf>
    <xf numFmtId="0" fontId="10" fillId="0" borderId="0" applyNumberFormat="0" applyFill="0" applyBorder="0" applyAlignment="0" applyProtection="0"/>
    <xf numFmtId="0" fontId="27" fillId="5" borderId="0" applyNumberFormat="0" applyFill="0" applyBorder="0" applyAlignment="0" applyProtection="0"/>
    <xf numFmtId="0" fontId="28" fillId="5" borderId="0" applyNumberFormat="0" applyFill="0" applyBorder="0" applyAlignment="0" applyProtection="0"/>
  </cellStyleXfs>
  <cellXfs count="194">
    <xf numFmtId="0" fontId="0" fillId="5" borderId="0" xfId="0"/>
    <xf numFmtId="0" fontId="14" fillId="6" borderId="0" xfId="0" applyFont="1" applyFill="1" applyAlignment="1">
      <alignment horizontal="left" vertical="top" wrapText="1" indent="1"/>
    </xf>
    <xf numFmtId="0" fontId="3" fillId="6" borderId="0" xfId="0" applyFont="1" applyFill="1" applyAlignment="1">
      <alignment horizontal="left" vertical="top" indent="1"/>
    </xf>
    <xf numFmtId="0" fontId="17" fillId="6" borderId="0" xfId="0" applyFont="1" applyFill="1" applyAlignment="1">
      <alignment horizontal="left" vertical="top" indent="1"/>
    </xf>
    <xf numFmtId="0" fontId="3" fillId="6" borderId="0" xfId="0" applyFont="1" applyFill="1"/>
    <xf numFmtId="0" fontId="14" fillId="6" borderId="0" xfId="0" applyFont="1" applyFill="1" applyAlignment="1">
      <alignment horizontal="left" vertical="top" indent="1"/>
    </xf>
    <xf numFmtId="0" fontId="15" fillId="6" borderId="0" xfId="0" applyFont="1" applyFill="1" applyAlignment="1"/>
    <xf numFmtId="0" fontId="12" fillId="6" borderId="0" xfId="0" applyFont="1" applyFill="1" applyAlignment="1"/>
    <xf numFmtId="0" fontId="15" fillId="6" borderId="0" xfId="0" applyFont="1" applyFill="1" applyBorder="1"/>
    <xf numFmtId="0" fontId="3" fillId="6" borderId="0" xfId="0" applyFont="1" applyFill="1" applyBorder="1"/>
    <xf numFmtId="0" fontId="15" fillId="6" borderId="0" xfId="0" applyFont="1" applyFill="1"/>
    <xf numFmtId="37" fontId="4" fillId="6" borderId="0" xfId="0" applyNumberFormat="1" applyFont="1" applyFill="1" applyAlignment="1">
      <alignment horizontal="right"/>
    </xf>
    <xf numFmtId="37" fontId="5" fillId="6" borderId="0" xfId="0" applyNumberFormat="1" applyFont="1" applyFill="1" applyAlignment="1">
      <alignment horizontal="right"/>
    </xf>
    <xf numFmtId="37" fontId="6" fillId="6" borderId="0" xfId="0" applyNumberFormat="1" applyFont="1" applyFill="1" applyAlignment="1">
      <alignment horizontal="right"/>
    </xf>
    <xf numFmtId="0" fontId="18" fillId="6" borderId="0" xfId="0" applyFont="1" applyFill="1" applyAlignment="1">
      <alignment horizontal="center" vertical="center"/>
    </xf>
    <xf numFmtId="0" fontId="20" fillId="7" borderId="0" xfId="3" applyNumberFormat="1" applyFont="1" applyFill="1" applyAlignment="1">
      <alignment horizontal="center" vertical="center"/>
    </xf>
    <xf numFmtId="165" fontId="20" fillId="7" borderId="0" xfId="3" applyNumberFormat="1" applyFont="1" applyFill="1" applyAlignment="1">
      <alignment horizontal="center" vertical="center"/>
    </xf>
    <xf numFmtId="0" fontId="20" fillId="7" borderId="0" xfId="3" applyNumberFormat="1" applyFont="1" applyFill="1" applyAlignment="1">
      <alignment horizontal="left" vertical="center" indent="1"/>
    </xf>
    <xf numFmtId="0" fontId="21" fillId="8" borderId="4" xfId="0" applyNumberFormat="1" applyFont="1" applyFill="1" applyBorder="1" applyAlignment="1">
      <alignment horizontal="left" vertical="center" indent="1"/>
    </xf>
    <xf numFmtId="164" fontId="23" fillId="6" borderId="4" xfId="0" applyNumberFormat="1" applyFont="1" applyFill="1" applyBorder="1" applyAlignment="1">
      <alignment horizontal="center" vertical="center"/>
    </xf>
    <xf numFmtId="164" fontId="23" fillId="11" borderId="4" xfId="0" applyNumberFormat="1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left" vertical="center" indent="1"/>
    </xf>
    <xf numFmtId="0" fontId="24" fillId="8" borderId="4" xfId="0" applyNumberFormat="1" applyFont="1" applyFill="1" applyBorder="1" applyAlignment="1">
      <alignment horizontal="left" vertical="center" indent="1"/>
    </xf>
    <xf numFmtId="0" fontId="24" fillId="11" borderId="4" xfId="0" applyFont="1" applyFill="1" applyBorder="1" applyAlignment="1">
      <alignment horizontal="left" vertical="center" indent="1"/>
    </xf>
    <xf numFmtId="37" fontId="26" fillId="6" borderId="0" xfId="0" applyNumberFormat="1" applyFont="1" applyFill="1" applyAlignment="1">
      <alignment horizontal="right"/>
    </xf>
    <xf numFmtId="164" fontId="23" fillId="11" borderId="6" xfId="0" applyNumberFormat="1" applyFont="1" applyFill="1" applyBorder="1" applyAlignment="1">
      <alignment horizontal="right" vertical="center"/>
    </xf>
    <xf numFmtId="164" fontId="23" fillId="11" borderId="6" xfId="0" applyNumberFormat="1" applyFont="1" applyFill="1" applyBorder="1" applyAlignment="1">
      <alignment horizontal="center" vertical="center"/>
    </xf>
    <xf numFmtId="164" fontId="23" fillId="6" borderId="3" xfId="0" applyNumberFormat="1" applyFont="1" applyFill="1" applyBorder="1" applyAlignment="1">
      <alignment horizontal="center" vertical="center"/>
    </xf>
    <xf numFmtId="164" fontId="23" fillId="6" borderId="2" xfId="0" applyNumberFormat="1" applyFont="1" applyFill="1" applyBorder="1" applyAlignment="1">
      <alignment horizontal="center" vertical="center"/>
    </xf>
    <xf numFmtId="0" fontId="20" fillId="6" borderId="0" xfId="3" applyNumberFormat="1" applyFont="1" applyFill="1" applyAlignment="1">
      <alignment horizontal="center" vertical="center"/>
    </xf>
    <xf numFmtId="165" fontId="20" fillId="6" borderId="0" xfId="3" applyNumberFormat="1" applyFont="1" applyFill="1" applyAlignment="1">
      <alignment horizontal="center" vertical="center"/>
    </xf>
    <xf numFmtId="164" fontId="23" fillId="11" borderId="8" xfId="0" applyNumberFormat="1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left" vertical="center" indent="1"/>
    </xf>
    <xf numFmtId="0" fontId="21" fillId="11" borderId="6" xfId="0" applyFont="1" applyFill="1" applyBorder="1" applyAlignment="1">
      <alignment horizontal="left" vertical="center" indent="1"/>
    </xf>
    <xf numFmtId="0" fontId="0" fillId="6" borderId="0" xfId="0" applyFill="1"/>
    <xf numFmtId="37" fontId="6" fillId="6" borderId="0" xfId="0" applyNumberFormat="1" applyFont="1" applyFill="1" applyBorder="1" applyAlignment="1">
      <alignment horizontal="right"/>
    </xf>
    <xf numFmtId="0" fontId="4" fillId="6" borderId="0" xfId="0" applyFont="1" applyFill="1" applyBorder="1"/>
    <xf numFmtId="0" fontId="4" fillId="6" borderId="0" xfId="0" applyFont="1" applyFill="1"/>
    <xf numFmtId="0" fontId="4" fillId="6" borderId="0" xfId="0" applyNumberFormat="1" applyFont="1" applyFill="1" applyAlignment="1"/>
    <xf numFmtId="0" fontId="4" fillId="6" borderId="0" xfId="0" applyNumberFormat="1" applyFont="1" applyFill="1" applyBorder="1" applyAlignment="1"/>
    <xf numFmtId="0" fontId="21" fillId="11" borderId="4" xfId="0" applyNumberFormat="1" applyFont="1" applyFill="1" applyBorder="1" applyAlignment="1">
      <alignment horizontal="left" vertical="center" indent="1"/>
    </xf>
    <xf numFmtId="164" fontId="23" fillId="11" borderId="4" xfId="0" applyNumberFormat="1" applyFont="1" applyFill="1" applyBorder="1" applyAlignment="1">
      <alignment horizontal="right" vertical="center"/>
    </xf>
    <xf numFmtId="0" fontId="22" fillId="8" borderId="4" xfId="0" applyNumberFormat="1" applyFont="1" applyFill="1" applyBorder="1" applyAlignment="1">
      <alignment horizontal="left" vertical="center" indent="1"/>
    </xf>
    <xf numFmtId="0" fontId="26" fillId="11" borderId="4" xfId="0" applyFont="1" applyFill="1" applyBorder="1" applyAlignment="1">
      <alignment horizontal="left" vertical="center" indent="2"/>
    </xf>
    <xf numFmtId="0" fontId="21" fillId="11" borderId="6" xfId="0" applyNumberFormat="1" applyFont="1" applyFill="1" applyBorder="1" applyAlignment="1">
      <alignment horizontal="left" vertical="center" indent="1"/>
    </xf>
    <xf numFmtId="0" fontId="32" fillId="8" borderId="2" xfId="0" applyNumberFormat="1" applyFont="1" applyFill="1" applyBorder="1" applyAlignment="1">
      <alignment horizontal="left" vertical="center" indent="1"/>
    </xf>
    <xf numFmtId="0" fontId="33" fillId="11" borderId="2" xfId="0" applyFont="1" applyFill="1" applyBorder="1" applyAlignment="1">
      <alignment horizontal="left" vertical="center" indent="1"/>
    </xf>
    <xf numFmtId="0" fontId="21" fillId="8" borderId="5" xfId="0" applyNumberFormat="1" applyFont="1" applyFill="1" applyBorder="1" applyAlignment="1">
      <alignment horizontal="left" vertical="center" indent="1"/>
    </xf>
    <xf numFmtId="0" fontId="15" fillId="6" borderId="0" xfId="0" applyFont="1" applyFill="1" applyAlignment="1">
      <alignment wrapText="1"/>
    </xf>
    <xf numFmtId="0" fontId="16" fillId="6" borderId="0" xfId="0" applyFont="1" applyFill="1" applyAlignment="1">
      <alignment vertical="center" wrapText="1"/>
    </xf>
    <xf numFmtId="0" fontId="0" fillId="6" borderId="0" xfId="0" applyNumberFormat="1" applyFont="1" applyFill="1" applyBorder="1" applyAlignment="1">
      <alignment horizontal="left" indent="1"/>
    </xf>
    <xf numFmtId="164" fontId="0" fillId="6" borderId="0" xfId="0" applyNumberFormat="1" applyFont="1" applyFill="1" applyBorder="1" applyAlignment="1">
      <alignment horizontal="right"/>
    </xf>
    <xf numFmtId="9" fontId="0" fillId="6" borderId="0" xfId="0" applyNumberFormat="1" applyFont="1" applyFill="1" applyBorder="1" applyAlignment="1">
      <alignment horizontal="right"/>
    </xf>
    <xf numFmtId="0" fontId="4" fillId="6" borderId="0" xfId="0" applyFont="1" applyFill="1" applyAlignment="1">
      <alignment horizontal="left"/>
    </xf>
    <xf numFmtId="0" fontId="37" fillId="6" borderId="4" xfId="0" applyNumberFormat="1" applyFont="1" applyFill="1" applyBorder="1" applyAlignment="1">
      <alignment horizontal="left" vertical="center" indent="2"/>
    </xf>
    <xf numFmtId="0" fontId="37" fillId="8" borderId="4" xfId="0" applyNumberFormat="1" applyFont="1" applyFill="1" applyBorder="1" applyAlignment="1">
      <alignment horizontal="left" vertical="center" indent="2"/>
    </xf>
    <xf numFmtId="164" fontId="38" fillId="6" borderId="4" xfId="0" applyNumberFormat="1" applyFont="1" applyFill="1" applyBorder="1" applyAlignment="1">
      <alignment horizontal="center" vertical="center"/>
    </xf>
    <xf numFmtId="9" fontId="38" fillId="6" borderId="4" xfId="0" applyNumberFormat="1" applyFont="1" applyFill="1" applyBorder="1" applyAlignment="1">
      <alignment horizontal="center" vertical="center"/>
    </xf>
    <xf numFmtId="164" fontId="38" fillId="8" borderId="4" xfId="0" applyNumberFormat="1" applyFont="1" applyFill="1" applyBorder="1" applyAlignment="1">
      <alignment horizontal="center" vertical="center"/>
    </xf>
    <xf numFmtId="9" fontId="38" fillId="8" borderId="4" xfId="0" applyNumberFormat="1" applyFont="1" applyFill="1" applyBorder="1" applyAlignment="1">
      <alignment horizontal="center" vertical="center"/>
    </xf>
    <xf numFmtId="164" fontId="37" fillId="6" borderId="4" xfId="0" applyNumberFormat="1" applyFont="1" applyFill="1" applyBorder="1" applyAlignment="1">
      <alignment horizontal="center" vertical="center"/>
    </xf>
    <xf numFmtId="9" fontId="37" fillId="6" borderId="4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Border="1"/>
    <xf numFmtId="0" fontId="19" fillId="16" borderId="0" xfId="3" applyNumberFormat="1" applyFont="1" applyFill="1" applyBorder="1" applyAlignment="1">
      <alignment horizontal="left" vertical="center" indent="2"/>
    </xf>
    <xf numFmtId="0" fontId="19" fillId="16" borderId="0" xfId="3" applyNumberFormat="1" applyFont="1" applyFill="1" applyBorder="1" applyAlignment="1">
      <alignment horizontal="center" vertical="center"/>
    </xf>
    <xf numFmtId="0" fontId="11" fillId="15" borderId="0" xfId="2" applyFont="1" applyFill="1" applyBorder="1" applyAlignment="1">
      <alignment horizontal="center" vertical="center"/>
    </xf>
    <xf numFmtId="0" fontId="41" fillId="7" borderId="0" xfId="3" applyNumberFormat="1" applyFont="1" applyFill="1" applyAlignment="1">
      <alignment horizontal="left" vertical="center" indent="1"/>
    </xf>
    <xf numFmtId="0" fontId="41" fillId="6" borderId="0" xfId="3" applyNumberFormat="1" applyFont="1" applyFill="1" applyAlignment="1">
      <alignment horizontal="center" vertical="center"/>
    </xf>
    <xf numFmtId="0" fontId="41" fillId="7" borderId="0" xfId="3" applyNumberFormat="1" applyFont="1" applyFill="1" applyAlignment="1">
      <alignment horizontal="center" vertical="center"/>
    </xf>
    <xf numFmtId="165" fontId="41" fillId="6" borderId="0" xfId="3" applyNumberFormat="1" applyFont="1" applyFill="1" applyAlignment="1">
      <alignment horizontal="center" vertical="center"/>
    </xf>
    <xf numFmtId="165" fontId="41" fillId="7" borderId="0" xfId="3" applyNumberFormat="1" applyFont="1" applyFill="1" applyAlignment="1">
      <alignment horizontal="center" vertical="center"/>
    </xf>
    <xf numFmtId="164" fontId="43" fillId="6" borderId="3" xfId="0" applyNumberFormat="1" applyFont="1" applyFill="1" applyBorder="1" applyAlignment="1">
      <alignment horizontal="center" vertical="center"/>
    </xf>
    <xf numFmtId="164" fontId="43" fillId="6" borderId="2" xfId="0" applyNumberFormat="1" applyFont="1" applyFill="1" applyBorder="1" applyAlignment="1">
      <alignment horizontal="center" vertical="center"/>
    </xf>
    <xf numFmtId="164" fontId="43" fillId="11" borderId="2" xfId="0" applyNumberFormat="1" applyFont="1" applyFill="1" applyBorder="1" applyAlignment="1">
      <alignment horizontal="center" vertical="center"/>
    </xf>
    <xf numFmtId="37" fontId="2" fillId="6" borderId="0" xfId="0" applyNumberFormat="1" applyFont="1" applyFill="1" applyAlignment="1">
      <alignment horizontal="right"/>
    </xf>
    <xf numFmtId="0" fontId="44" fillId="8" borderId="4" xfId="0" applyNumberFormat="1" applyFont="1" applyFill="1" applyBorder="1" applyAlignment="1">
      <alignment horizontal="left" vertical="center" indent="1"/>
    </xf>
    <xf numFmtId="164" fontId="43" fillId="6" borderId="4" xfId="0" applyNumberFormat="1" applyFont="1" applyFill="1" applyBorder="1" applyAlignment="1">
      <alignment horizontal="center" vertical="center"/>
    </xf>
    <xf numFmtId="0" fontId="44" fillId="11" borderId="4" xfId="0" applyFont="1" applyFill="1" applyBorder="1" applyAlignment="1">
      <alignment horizontal="left" vertical="center" indent="1"/>
    </xf>
    <xf numFmtId="164" fontId="43" fillId="11" borderId="4" xfId="0" applyNumberFormat="1" applyFont="1" applyFill="1" applyBorder="1" applyAlignment="1">
      <alignment horizontal="center" vertical="center"/>
    </xf>
    <xf numFmtId="0" fontId="45" fillId="8" borderId="4" xfId="0" applyNumberFormat="1" applyFont="1" applyFill="1" applyBorder="1" applyAlignment="1">
      <alignment horizontal="left" vertical="center" indent="1"/>
    </xf>
    <xf numFmtId="0" fontId="45" fillId="11" borderId="4" xfId="0" applyFont="1" applyFill="1" applyBorder="1" applyAlignment="1">
      <alignment horizontal="left" vertical="center" indent="1"/>
    </xf>
    <xf numFmtId="164" fontId="43" fillId="6" borderId="5" xfId="0" applyNumberFormat="1" applyFont="1" applyFill="1" applyBorder="1" applyAlignment="1">
      <alignment horizontal="center" vertical="center"/>
    </xf>
    <xf numFmtId="164" fontId="43" fillId="6" borderId="5" xfId="0" applyNumberFormat="1" applyFont="1" applyFill="1" applyBorder="1" applyAlignment="1">
      <alignment horizontal="right" vertical="center"/>
    </xf>
    <xf numFmtId="0" fontId="39" fillId="6" borderId="0" xfId="0" applyFont="1" applyFill="1" applyBorder="1" applyAlignment="1">
      <alignment horizontal="left" vertical="top" wrapText="1"/>
    </xf>
    <xf numFmtId="0" fontId="40" fillId="6" borderId="0" xfId="0" applyFont="1" applyFill="1" applyBorder="1" applyAlignment="1">
      <alignment horizontal="left" wrapText="1"/>
    </xf>
    <xf numFmtId="0" fontId="39" fillId="6" borderId="0" xfId="0" quotePrefix="1" applyFont="1" applyFill="1" applyBorder="1" applyAlignment="1">
      <alignment horizontal="left" vertical="top" wrapText="1"/>
    </xf>
    <xf numFmtId="0" fontId="42" fillId="9" borderId="9" xfId="4" applyNumberFormat="1" applyFont="1" applyFill="1" applyBorder="1" applyAlignment="1">
      <alignment horizontal="left" vertical="center" indent="1"/>
    </xf>
    <xf numFmtId="0" fontId="48" fillId="9" borderId="10" xfId="4" applyNumberFormat="1" applyFont="1" applyFill="1" applyBorder="1" applyAlignment="1">
      <alignment horizontal="center" vertical="center"/>
    </xf>
    <xf numFmtId="165" fontId="48" fillId="9" borderId="10" xfId="4" applyNumberFormat="1" applyFont="1" applyFill="1" applyBorder="1" applyAlignment="1">
      <alignment horizontal="center" vertical="center"/>
    </xf>
    <xf numFmtId="0" fontId="48" fillId="9" borderId="11" xfId="4" applyNumberFormat="1" applyFont="1" applyFill="1" applyBorder="1" applyAlignment="1">
      <alignment horizontal="center" vertical="center"/>
    </xf>
    <xf numFmtId="0" fontId="44" fillId="8" borderId="5" xfId="0" applyNumberFormat="1" applyFont="1" applyFill="1" applyBorder="1" applyAlignment="1">
      <alignment horizontal="left" vertical="center" indent="1"/>
    </xf>
    <xf numFmtId="0" fontId="45" fillId="8" borderId="5" xfId="0" applyNumberFormat="1" applyFont="1" applyFill="1" applyBorder="1" applyAlignment="1">
      <alignment horizontal="left" vertical="center" indent="1"/>
    </xf>
    <xf numFmtId="0" fontId="42" fillId="10" borderId="9" xfId="4" applyNumberFormat="1" applyFont="1" applyFill="1" applyBorder="1">
      <alignment horizontal="left" vertical="center" indent="1"/>
    </xf>
    <xf numFmtId="0" fontId="48" fillId="10" borderId="10" xfId="4" applyNumberFormat="1" applyFont="1" applyFill="1" applyBorder="1">
      <alignment horizontal="left" vertical="center" indent="1"/>
    </xf>
    <xf numFmtId="165" fontId="48" fillId="10" borderId="10" xfId="4" applyNumberFormat="1" applyFont="1" applyFill="1" applyBorder="1">
      <alignment horizontal="left" vertical="center" indent="1"/>
    </xf>
    <xf numFmtId="0" fontId="48" fillId="10" borderId="11" xfId="4" applyNumberFormat="1" applyFont="1" applyFill="1" applyBorder="1">
      <alignment horizontal="left" vertical="center" indent="1"/>
    </xf>
    <xf numFmtId="0" fontId="25" fillId="10" borderId="10" xfId="4" applyNumberFormat="1" applyFont="1" applyFill="1" applyBorder="1">
      <alignment horizontal="left" vertical="center" indent="1"/>
    </xf>
    <xf numFmtId="165" fontId="25" fillId="10" borderId="10" xfId="4" applyNumberFormat="1" applyFont="1" applyFill="1" applyBorder="1">
      <alignment horizontal="left" vertical="center" indent="1"/>
    </xf>
    <xf numFmtId="0" fontId="25" fillId="10" borderId="11" xfId="4" applyNumberFormat="1" applyFont="1" applyFill="1" applyBorder="1">
      <alignment horizontal="left" vertical="center" indent="1"/>
    </xf>
    <xf numFmtId="0" fontId="3" fillId="0" borderId="0" xfId="0" applyFont="1" applyFill="1"/>
    <xf numFmtId="0" fontId="3" fillId="0" borderId="0" xfId="0" applyFont="1" applyFill="1" applyBorder="1"/>
    <xf numFmtId="0" fontId="15" fillId="0" borderId="0" xfId="0" applyFont="1" applyFill="1"/>
    <xf numFmtId="37" fontId="6" fillId="0" borderId="0" xfId="0" applyNumberFormat="1" applyFont="1" applyFill="1" applyAlignment="1">
      <alignment horizontal="right"/>
    </xf>
    <xf numFmtId="37" fontId="5" fillId="0" borderId="0" xfId="0" applyNumberFormat="1" applyFont="1" applyFill="1" applyAlignment="1">
      <alignment horizontal="right"/>
    </xf>
    <xf numFmtId="0" fontId="48" fillId="9" borderId="10" xfId="4" applyNumberFormat="1" applyFont="1" applyFill="1" applyBorder="1">
      <alignment horizontal="left" vertical="center" indent="1"/>
    </xf>
    <xf numFmtId="165" fontId="48" fillId="9" borderId="10" xfId="4" applyNumberFormat="1" applyFont="1" applyFill="1" applyBorder="1">
      <alignment horizontal="left" vertical="center" indent="1"/>
    </xf>
    <xf numFmtId="0" fontId="48" fillId="9" borderId="11" xfId="4" applyNumberFormat="1" applyFont="1" applyFill="1" applyBorder="1">
      <alignment horizontal="left" vertical="center" indent="1"/>
    </xf>
    <xf numFmtId="0" fontId="5" fillId="0" borderId="0" xfId="0" applyNumberFormat="1" applyFont="1" applyFill="1" applyBorder="1" applyAlignment="1"/>
    <xf numFmtId="0" fontId="42" fillId="9" borderId="9" xfId="4" applyNumberFormat="1" applyFont="1" applyFill="1" applyBorder="1">
      <alignment horizontal="left" vertical="center" indent="1"/>
    </xf>
    <xf numFmtId="0" fontId="47" fillId="8" borderId="4" xfId="0" applyNumberFormat="1" applyFont="1" applyFill="1" applyBorder="1" applyAlignment="1">
      <alignment horizontal="left" vertical="center" indent="1"/>
    </xf>
    <xf numFmtId="0" fontId="2" fillId="11" borderId="4" xfId="0" applyFont="1" applyFill="1" applyBorder="1" applyAlignment="1">
      <alignment horizontal="left" vertical="center" indent="2"/>
    </xf>
    <xf numFmtId="0" fontId="47" fillId="8" borderId="5" xfId="0" applyNumberFormat="1" applyFont="1" applyFill="1" applyBorder="1" applyAlignment="1">
      <alignment horizontal="left" vertical="center" indent="1"/>
    </xf>
    <xf numFmtId="0" fontId="42" fillId="10" borderId="12" xfId="3" applyNumberFormat="1" applyFont="1" applyFill="1" applyBorder="1" applyAlignment="1">
      <alignment horizontal="left" vertical="center" indent="1"/>
    </xf>
    <xf numFmtId="0" fontId="46" fillId="10" borderId="13" xfId="3" applyNumberFormat="1" applyFont="1" applyFill="1" applyBorder="1" applyAlignment="1">
      <alignment vertical="center"/>
    </xf>
    <xf numFmtId="0" fontId="46" fillId="10" borderId="14" xfId="3" applyNumberFormat="1" applyFont="1" applyFill="1" applyBorder="1" applyAlignment="1">
      <alignment vertical="center"/>
    </xf>
    <xf numFmtId="0" fontId="44" fillId="11" borderId="4" xfId="0" applyNumberFormat="1" applyFont="1" applyFill="1" applyBorder="1" applyAlignment="1">
      <alignment horizontal="left" vertical="center" indent="1"/>
    </xf>
    <xf numFmtId="164" fontId="43" fillId="11" borderId="4" xfId="0" applyNumberFormat="1" applyFont="1" applyFill="1" applyBorder="1" applyAlignment="1">
      <alignment horizontal="right" vertical="center"/>
    </xf>
    <xf numFmtId="0" fontId="19" fillId="12" borderId="15" xfId="4" applyNumberFormat="1" applyFont="1" applyFill="1" applyBorder="1" applyAlignment="1">
      <alignment horizontal="left" vertical="center" indent="1"/>
    </xf>
    <xf numFmtId="0" fontId="29" fillId="12" borderId="16" xfId="4" applyNumberFormat="1" applyFont="1" applyFill="1" applyBorder="1" applyAlignment="1">
      <alignment horizontal="center" vertical="center"/>
    </xf>
    <xf numFmtId="165" fontId="29" fillId="12" borderId="16" xfId="4" applyNumberFormat="1" applyFont="1" applyFill="1" applyBorder="1" applyAlignment="1">
      <alignment horizontal="center" vertical="center"/>
    </xf>
    <xf numFmtId="0" fontId="29" fillId="12" borderId="17" xfId="4" applyNumberFormat="1" applyFont="1" applyFill="1" applyBorder="1" applyAlignment="1">
      <alignment horizontal="center" vertical="center"/>
    </xf>
    <xf numFmtId="164" fontId="23" fillId="6" borderId="5" xfId="0" applyNumberFormat="1" applyFont="1" applyFill="1" applyBorder="1" applyAlignment="1">
      <alignment horizontal="center" vertical="center"/>
    </xf>
    <xf numFmtId="0" fontId="19" fillId="12" borderId="15" xfId="4" applyNumberFormat="1" applyFont="1" applyFill="1" applyBorder="1">
      <alignment horizontal="left" vertical="center" indent="1"/>
    </xf>
    <xf numFmtId="0" fontId="29" fillId="12" borderId="16" xfId="4" applyNumberFormat="1" applyFont="1" applyFill="1" applyBorder="1">
      <alignment horizontal="left" vertical="center" indent="1"/>
    </xf>
    <xf numFmtId="165" fontId="29" fillId="12" borderId="16" xfId="4" applyNumberFormat="1" applyFont="1" applyFill="1" applyBorder="1">
      <alignment horizontal="left" vertical="center" indent="1"/>
    </xf>
    <xf numFmtId="0" fontId="29" fillId="12" borderId="17" xfId="4" applyNumberFormat="1" applyFont="1" applyFill="1" applyBorder="1">
      <alignment horizontal="left" vertical="center" indent="1"/>
    </xf>
    <xf numFmtId="0" fontId="24" fillId="8" borderId="5" xfId="0" applyNumberFormat="1" applyFont="1" applyFill="1" applyBorder="1" applyAlignment="1">
      <alignment horizontal="left" vertical="center" indent="1"/>
    </xf>
    <xf numFmtId="0" fontId="30" fillId="12" borderId="16" xfId="4" applyNumberFormat="1" applyFont="1" applyFill="1" applyBorder="1">
      <alignment horizontal="left" vertical="center" indent="1"/>
    </xf>
    <xf numFmtId="165" fontId="30" fillId="12" borderId="16" xfId="4" applyNumberFormat="1" applyFont="1" applyFill="1" applyBorder="1">
      <alignment horizontal="left" vertical="center" indent="1"/>
    </xf>
    <xf numFmtId="0" fontId="30" fillId="12" borderId="17" xfId="4" applyNumberFormat="1" applyFont="1" applyFill="1" applyBorder="1">
      <alignment horizontal="left" vertical="center" indent="1"/>
    </xf>
    <xf numFmtId="0" fontId="22" fillId="8" borderId="5" xfId="0" applyNumberFormat="1" applyFont="1" applyFill="1" applyBorder="1" applyAlignment="1">
      <alignment horizontal="left" vertical="center" indent="1"/>
    </xf>
    <xf numFmtId="0" fontId="31" fillId="12" borderId="16" xfId="4" applyNumberFormat="1" applyFont="1" applyFill="1" applyBorder="1" applyAlignment="1">
      <alignment horizontal="center" vertical="center"/>
    </xf>
    <xf numFmtId="165" fontId="31" fillId="12" borderId="16" xfId="4" applyNumberFormat="1" applyFont="1" applyFill="1" applyBorder="1" applyAlignment="1">
      <alignment horizontal="center" vertical="center"/>
    </xf>
    <xf numFmtId="0" fontId="31" fillId="12" borderId="17" xfId="4" applyNumberFormat="1" applyFont="1" applyFill="1" applyBorder="1" applyAlignment="1">
      <alignment horizontal="center" vertical="center"/>
    </xf>
    <xf numFmtId="164" fontId="23" fillId="6" borderId="5" xfId="0" applyNumberFormat="1" applyFont="1" applyFill="1" applyBorder="1" applyAlignment="1">
      <alignment horizontal="right" vertical="center"/>
    </xf>
    <xf numFmtId="0" fontId="19" fillId="12" borderId="15" xfId="3" applyNumberFormat="1" applyFont="1" applyFill="1" applyBorder="1" applyAlignment="1">
      <alignment horizontal="left" vertical="center" indent="1"/>
    </xf>
    <xf numFmtId="0" fontId="31" fillId="12" borderId="16" xfId="3" applyNumberFormat="1" applyFont="1" applyFill="1" applyBorder="1" applyAlignment="1">
      <alignment vertical="center"/>
    </xf>
    <xf numFmtId="0" fontId="31" fillId="12" borderId="17" xfId="3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/>
    <xf numFmtId="0" fontId="4" fillId="0" borderId="0" xfId="0" applyFont="1" applyFill="1" applyBorder="1"/>
    <xf numFmtId="0" fontId="49" fillId="6" borderId="0" xfId="0" applyFont="1" applyFill="1"/>
    <xf numFmtId="164" fontId="50" fillId="6" borderId="2" xfId="0" applyNumberFormat="1" applyFont="1" applyFill="1" applyBorder="1" applyAlignment="1">
      <alignment horizontal="center" vertical="center"/>
    </xf>
    <xf numFmtId="0" fontId="1" fillId="6" borderId="0" xfId="0" applyFont="1" applyFill="1" applyBorder="1"/>
    <xf numFmtId="0" fontId="1" fillId="6" borderId="0" xfId="0" applyFont="1" applyFill="1"/>
    <xf numFmtId="164" fontId="50" fillId="11" borderId="2" xfId="0" applyNumberFormat="1" applyFont="1" applyFill="1" applyBorder="1" applyAlignment="1">
      <alignment horizontal="center" vertical="center"/>
    </xf>
    <xf numFmtId="0" fontId="51" fillId="8" borderId="3" xfId="0" applyNumberFormat="1" applyFont="1" applyFill="1" applyBorder="1" applyAlignment="1">
      <alignment horizontal="left" vertical="center" indent="1"/>
    </xf>
    <xf numFmtId="0" fontId="51" fillId="8" borderId="2" xfId="0" applyNumberFormat="1" applyFont="1" applyFill="1" applyBorder="1" applyAlignment="1">
      <alignment horizontal="left" vertical="center" indent="1"/>
    </xf>
    <xf numFmtId="0" fontId="52" fillId="11" borderId="2" xfId="0" applyFont="1" applyFill="1" applyBorder="1" applyAlignment="1">
      <alignment horizontal="left" vertical="center" indent="1"/>
    </xf>
    <xf numFmtId="0" fontId="32" fillId="8" borderId="3" xfId="0" applyNumberFormat="1" applyFont="1" applyFill="1" applyBorder="1" applyAlignment="1">
      <alignment horizontal="left" vertical="center" indent="1"/>
    </xf>
    <xf numFmtId="0" fontId="33" fillId="11" borderId="8" xfId="0" applyFont="1" applyFill="1" applyBorder="1" applyAlignment="1">
      <alignment horizontal="left" vertical="center" indent="1"/>
    </xf>
    <xf numFmtId="0" fontId="15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164" fontId="50" fillId="6" borderId="3" xfId="0" applyNumberFormat="1" applyFont="1" applyFill="1" applyBorder="1" applyAlignment="1">
      <alignment horizontal="center" vertical="center"/>
    </xf>
    <xf numFmtId="0" fontId="19" fillId="13" borderId="18" xfId="4" applyNumberFormat="1" applyFont="1" applyFill="1" applyBorder="1" applyAlignment="1">
      <alignment horizontal="left" vertical="center" indent="1"/>
    </xf>
    <xf numFmtId="0" fontId="34" fillId="13" borderId="19" xfId="4" applyNumberFormat="1" applyFont="1" applyFill="1" applyBorder="1" applyAlignment="1">
      <alignment horizontal="center" vertical="center"/>
    </xf>
    <xf numFmtId="165" fontId="34" fillId="13" borderId="19" xfId="4" applyNumberFormat="1" applyFont="1" applyFill="1" applyBorder="1" applyAlignment="1">
      <alignment horizontal="center" vertical="center"/>
    </xf>
    <xf numFmtId="0" fontId="34" fillId="13" borderId="20" xfId="4" applyNumberFormat="1" applyFont="1" applyFill="1" applyBorder="1" applyAlignment="1">
      <alignment horizontal="center" vertical="center"/>
    </xf>
    <xf numFmtId="0" fontId="19" fillId="13" borderId="18" xfId="4" applyNumberFormat="1" applyFont="1" applyFill="1" applyBorder="1">
      <alignment horizontal="left" vertical="center" indent="1"/>
    </xf>
    <xf numFmtId="0" fontId="34" fillId="13" borderId="19" xfId="4" applyNumberFormat="1" applyFont="1" applyFill="1" applyBorder="1">
      <alignment horizontal="left" vertical="center" indent="1"/>
    </xf>
    <xf numFmtId="165" fontId="34" fillId="13" borderId="19" xfId="4" applyNumberFormat="1" applyFont="1" applyFill="1" applyBorder="1">
      <alignment horizontal="left" vertical="center" indent="1"/>
    </xf>
    <xf numFmtId="0" fontId="34" fillId="13" borderId="20" xfId="4" applyNumberFormat="1" applyFont="1" applyFill="1" applyBorder="1">
      <alignment horizontal="left" vertical="center" indent="1"/>
    </xf>
    <xf numFmtId="0" fontId="35" fillId="13" borderId="19" xfId="4" applyNumberFormat="1" applyFont="1" applyFill="1" applyBorder="1">
      <alignment horizontal="left" vertical="center" indent="1"/>
    </xf>
    <xf numFmtId="165" fontId="35" fillId="13" borderId="19" xfId="4" applyNumberFormat="1" applyFont="1" applyFill="1" applyBorder="1">
      <alignment horizontal="left" vertical="center" indent="1"/>
    </xf>
    <xf numFmtId="0" fontId="35" fillId="13" borderId="20" xfId="4" applyNumberFormat="1" applyFont="1" applyFill="1" applyBorder="1">
      <alignment horizontal="left" vertical="center" indent="1"/>
    </xf>
    <xf numFmtId="0" fontId="36" fillId="13" borderId="19" xfId="4" applyNumberFormat="1" applyFont="1" applyFill="1" applyBorder="1" applyAlignment="1">
      <alignment horizontal="center" vertical="center"/>
    </xf>
    <xf numFmtId="165" fontId="36" fillId="13" borderId="19" xfId="4" applyNumberFormat="1" applyFont="1" applyFill="1" applyBorder="1" applyAlignment="1">
      <alignment horizontal="center" vertical="center"/>
    </xf>
    <xf numFmtId="0" fontId="36" fillId="13" borderId="20" xfId="4" applyNumberFormat="1" applyFont="1" applyFill="1" applyBorder="1" applyAlignment="1">
      <alignment horizontal="center" vertical="center"/>
    </xf>
    <xf numFmtId="0" fontId="19" fillId="13" borderId="18" xfId="3" applyNumberFormat="1" applyFont="1" applyFill="1" applyBorder="1" applyAlignment="1">
      <alignment horizontal="left" vertical="center" indent="1"/>
    </xf>
    <xf numFmtId="0" fontId="36" fillId="13" borderId="19" xfId="3" applyNumberFormat="1" applyFont="1" applyFill="1" applyBorder="1" applyAlignment="1">
      <alignment vertical="center"/>
    </xf>
    <xf numFmtId="0" fontId="36" fillId="13" borderId="20" xfId="3" applyNumberFormat="1" applyFont="1" applyFill="1" applyBorder="1" applyAlignment="1">
      <alignment vertical="center"/>
    </xf>
    <xf numFmtId="0" fontId="26" fillId="11" borderId="6" xfId="0" applyFont="1" applyFill="1" applyBorder="1" applyAlignment="1">
      <alignment horizontal="left" vertical="center" indent="1"/>
    </xf>
    <xf numFmtId="0" fontId="12" fillId="0" borderId="0" xfId="0" applyFont="1" applyFill="1" applyAlignment="1"/>
    <xf numFmtId="0" fontId="1" fillId="0" borderId="0" xfId="0" applyFont="1" applyFill="1"/>
    <xf numFmtId="0" fontId="4" fillId="0" borderId="0" xfId="0" applyFont="1" applyFill="1"/>
    <xf numFmtId="0" fontId="12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/>
    <xf numFmtId="0" fontId="12" fillId="0" borderId="0" xfId="0" applyFont="1" applyFill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  <xf numFmtId="0" fontId="3" fillId="14" borderId="0" xfId="0" applyFont="1" applyFill="1" applyAlignment="1">
      <alignment horizontal="center" vertical="top"/>
    </xf>
    <xf numFmtId="0" fontId="2" fillId="6" borderId="0" xfId="0" applyNumberFormat="1" applyFont="1" applyFill="1" applyBorder="1" applyAlignment="1">
      <alignment horizontal="center"/>
    </xf>
    <xf numFmtId="0" fontId="5" fillId="6" borderId="0" xfId="0" applyNumberFormat="1" applyFont="1" applyFill="1" applyBorder="1" applyAlignment="1">
      <alignment horizontal="center"/>
    </xf>
    <xf numFmtId="0" fontId="26" fillId="6" borderId="7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37" fontId="5" fillId="6" borderId="0" xfId="0" applyNumberFormat="1" applyFont="1" applyFill="1" applyBorder="1" applyAlignment="1">
      <alignment horizontal="center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</cellXfs>
  <cellStyles count="8">
    <cellStyle name="Explanatory Text" xfId="5" builtinId="53" customBuiltin="1"/>
    <cellStyle name="Followed Hyperlink" xfId="7" builtinId="9" hidde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6" builtinId="8" hidden="1"/>
    <cellStyle name="Normal" xfId="0" builtinId="0" customBuiltin="1"/>
  </cellStyles>
  <dxfs count="4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none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none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none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none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Gill Sans MT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Gill Sans MT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Gill Sans MT"/>
        <scheme val="none"/>
      </font>
      <fill>
        <patternFill patternType="solid">
          <fgColor indexed="64"/>
          <bgColor theme="3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theme="6" tint="0.39997558519241921"/>
        </right>
        <top style="medium">
          <color theme="6" tint="0.39997558519241921"/>
        </top>
        <bottom style="medium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Gill Sans MT"/>
        <scheme val="minor"/>
      </font>
      <numFmt numFmtId="0" formatCode="General"/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shrinkToFit="0" readingOrder="0"/>
      <border diagonalUp="0" diagonalDown="0" outline="0">
        <left style="medium">
          <color theme="6" tint="0.39997558519241921"/>
        </left>
        <right style="medium">
          <color theme="6" tint="0.39997558519241921"/>
        </right>
        <top style="medium">
          <color theme="6" tint="0.39997558519241921"/>
        </top>
        <bottom/>
      </border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ill Sans MT"/>
        <scheme val="minor"/>
      </font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border>
        <bottom style="thin">
          <color theme="1" tint="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Gill Sans MT"/>
        <scheme val="none"/>
      </font>
      <numFmt numFmtId="0" formatCode="General"/>
      <fill>
        <patternFill patternType="solid">
          <fgColor indexed="64"/>
          <bgColor rgb="FF262626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1" tint="0.14999847407452621"/>
        <name val="Gill Sans MT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>
        <top style="medium">
          <color theme="6" tint="0.399945066682943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outline="0"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1" tint="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Gill Sans MT"/>
        <scheme val="none"/>
      </font>
      <numFmt numFmtId="0" formatCode="General"/>
      <fill>
        <patternFill patternType="solid">
          <fgColor indexed="64"/>
          <bgColor rgb="FF26262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strike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medium">
          <color theme="6" tint="0.399945066682943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/>
        <right/>
        <top/>
        <bottom/>
      </border>
    </dxf>
    <dxf>
      <font>
        <sz val="10"/>
        <color theme="1" tint="0.249977111117893"/>
        <name val="Gill Sans M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1" tint="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Gill Sans MT"/>
        <scheme val="minor"/>
      </font>
      <numFmt numFmtId="0" formatCode="General"/>
      <fill>
        <patternFill patternType="solid">
          <fgColor indexed="64"/>
          <bgColor rgb="FF262626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Gill Sans MT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strike val="0"/>
        <outline val="0"/>
        <shadow val="0"/>
        <u val="none"/>
        <vertAlign val="baseline"/>
        <sz val="10"/>
        <color theme="1" tint="0.14999847407452621"/>
        <name val="Gill Sans MT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medium">
          <color theme="6" tint="0.399945066682943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/>
        <right/>
        <top/>
        <bottom/>
      </border>
    </dxf>
    <dxf>
      <font>
        <sz val="10"/>
        <color theme="1" tint="0.249977111117893"/>
        <name val="Gill Sans M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1" tint="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2626"/>
        <name val="Gill Sans MT"/>
        <scheme val="none"/>
      </font>
      <numFmt numFmtId="0" formatCode="General"/>
      <fill>
        <patternFill patternType="solid">
          <fgColor indexed="64"/>
          <bgColor rgb="FF262626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Gill Sans MT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749992370372631"/>
        <name val="Gill Sans MT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border>
        <top style="medium">
          <color theme="6" tint="0.399945066682943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1" tint="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Gill Sans MT"/>
        <scheme val="none"/>
      </font>
      <numFmt numFmtId="0" formatCode="General"/>
      <fill>
        <patternFill patternType="solid">
          <fgColor indexed="64"/>
          <bgColor rgb="FF26262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Gill Sans MT"/>
        <scheme val="minor"/>
      </font>
      <numFmt numFmtId="0" formatCode="General"/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Gill Sans MT"/>
        <scheme val="minor"/>
      </font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border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Gill Sans MT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Gill Sans MT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2" tint="-0.749992370372631"/>
        <name val="Gill Sans MT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border>
        <top style="medium">
          <color theme="6" tint="0.399945066682943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border outline="0">
        <bottom style="thin">
          <color theme="2" tint="-0.24994659260841701"/>
        </bottom>
      </border>
    </dxf>
    <dxf>
      <font>
        <sz val="10"/>
        <color theme="1" tint="0.249977111117893"/>
        <name val="Gill Sans M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800080"/>
        <name val="Gill Sans MT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strike val="0"/>
        <outline val="0"/>
        <shadow val="0"/>
        <u val="none"/>
        <vertAlign val="baseline"/>
        <sz val="10"/>
        <color theme="1" tint="0.14999847407452621"/>
        <name val="Gill Sans MT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medium">
          <color theme="6" tint="0.399945066682943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/>
        <right/>
        <top/>
        <bottom/>
      </border>
    </dxf>
    <dxf>
      <font>
        <sz val="10"/>
        <color theme="1" tint="0.249977111117893"/>
        <name val="Gill Sans M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Gill Sans MT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/>
        <sz val="10"/>
        <color theme="1" tint="0.249977111117893"/>
        <name val="Gill Sans MT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>
        <top style="medium">
          <color theme="6" tint="0.399945066682943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outline="0"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820C4D"/>
        <name val="Gill Sans MT"/>
        <scheme val="minor"/>
      </font>
      <numFmt numFmtId="0" formatCode="General"/>
      <fill>
        <patternFill patternType="solid">
          <fgColor indexed="64"/>
          <bgColor rgb="FF0070C0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Gill Sans MT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/>
        <strike val="0"/>
        <outline val="0"/>
        <shadow val="0"/>
        <u val="none"/>
        <vertAlign val="baseline"/>
        <sz val="10"/>
        <color theme="1" tint="0.14999847407452621"/>
        <name val="Gill Sans MT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>
        <top style="medium">
          <color theme="6" tint="0.399945066682943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none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outline="0">
        <bottom style="thin">
          <color theme="0" tint="-0.34998626667073579"/>
        </bottom>
      </border>
    </dxf>
    <dxf>
      <font>
        <sz val="10"/>
        <color theme="1" tint="0.249977111117893"/>
        <name val="Gill Sans M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Gill Sans MT"/>
        <scheme val="none"/>
      </font>
      <numFmt numFmtId="0" formatCode="General"/>
      <fill>
        <patternFill patternType="solid">
          <fgColor indexed="64"/>
          <bgColor rgb="FF0070C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6" formatCode="&quot;$&quot;#,##0.00;[Red]\-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Gill Sans MT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relative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border>
        <bottom style="thin">
          <color theme="7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Gill Sans MT"/>
        <scheme val="minor"/>
      </font>
      <numFmt numFmtId="0" formatCode="General"/>
      <fill>
        <patternFill patternType="solid">
          <fgColor indexed="64"/>
          <bgColor rgb="FF820C4D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Gill Sans MT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749992370372631"/>
        <name val="Gill Sans MT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5" tint="-0.499984740745262"/>
        <name val="Gill Sans MT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Gill Sans MT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7" tint="-0.24994659260841701"/>
        </bottom>
      </border>
    </dxf>
    <dxf>
      <font>
        <strike val="0"/>
        <outline val="0"/>
        <shadow val="0"/>
        <u val="none"/>
        <vertAlign val="baseline"/>
        <name val="Gill Sans MT"/>
        <scheme val="minor"/>
      </font>
      <fill>
        <patternFill patternType="solid">
          <fgColor indexed="64"/>
          <bgColor theme="7" tint="-0.24997711111789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name val="Gill Sans MT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strike val="0"/>
        <outline val="0"/>
        <shadow val="0"/>
        <u val="none"/>
        <vertAlign val="baseline"/>
        <sz val="10"/>
        <color theme="1" tint="0.14999847407452621"/>
        <name val="Gill Sans MT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relativeIndent="-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0"/>
        <name val="Gill Sans MT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Gill Sans MT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7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820C4D"/>
        <name val="Gill Sans MT"/>
        <scheme val="minor"/>
      </font>
      <numFmt numFmtId="0" formatCode="General"/>
      <fill>
        <patternFill patternType="solid">
          <fgColor indexed="64"/>
          <bgColor theme="7" tint="-0.24997711111789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Gill Sans MT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Gill Sans MT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7" tint="-0.24994659260841701"/>
        </bottom>
      </border>
    </dxf>
    <dxf>
      <font>
        <strike val="0"/>
        <outline val="0"/>
        <shadow val="0"/>
        <u val="none"/>
        <vertAlign val="baseline"/>
        <name val="Gill Sans MT"/>
        <scheme val="minor"/>
      </font>
      <fill>
        <patternFill patternType="solid">
          <fgColor indexed="64"/>
          <bgColor rgb="FF820C4D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Gill Sans MT"/>
        <scheme val="minor"/>
      </font>
      <numFmt numFmtId="164" formatCode="&quot;$&quot;#,##0.00_);[Red]\(&quot;$&quot;#,##0.0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Gill Sans MT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Gill Sans MT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medium">
          <color theme="6" tint="0.39994506668294322"/>
        </left>
        <right style="medium">
          <color theme="6" tint="0.399945066682943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Gill Sans MT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7" tint="-0.24994659260841701"/>
        </bottom>
      </border>
    </dxf>
    <dxf>
      <font>
        <strike val="0"/>
        <outline val="0"/>
        <shadow val="0"/>
        <u val="none"/>
        <vertAlign val="baseline"/>
        <name val="Gill Sans MT"/>
        <scheme val="minor"/>
      </font>
      <fill>
        <patternFill patternType="solid">
          <fgColor indexed="64"/>
          <bgColor rgb="FF820C4D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medium">
          <color theme="6" tint="0.39994506668294322"/>
        </horizontal>
      </border>
    </dxf>
    <dxf>
      <font>
        <color theme="1"/>
      </font>
      <fill>
        <patternFill patternType="solid">
          <fgColor theme="0" tint="-0.14993743705557422"/>
          <bgColor theme="0"/>
        </patternFill>
      </fill>
      <border diagonalUp="0" diagonalDown="0">
        <left/>
        <right/>
        <top/>
        <bottom/>
        <vertical/>
        <horizontal style="medium">
          <color theme="6" tint="0.39994506668294322"/>
        </horizontal>
      </border>
    </dxf>
    <dxf>
      <font>
        <b val="0"/>
        <i val="0"/>
        <color theme="1"/>
      </font>
      <fill>
        <patternFill>
          <bgColor theme="6" tint="0.79998168889431442"/>
        </patternFill>
      </fill>
      <border diagonalUp="0" diagonalDown="0">
        <left/>
        <right/>
        <top/>
        <bottom/>
        <vertical/>
        <horizontal style="medium">
          <color theme="6" tint="0.39994506668294322"/>
        </horizontal>
      </border>
    </dxf>
    <dxf>
      <font>
        <color theme="0"/>
      </font>
      <fill>
        <patternFill>
          <fgColor theme="3"/>
          <bgColor theme="3"/>
        </patternFill>
      </fill>
      <border diagonalUp="0" diagonalDown="0">
        <left/>
        <right/>
        <top/>
        <bottom/>
        <vertical/>
        <horizontal style="medium">
          <color theme="6" tint="0.39994506668294322"/>
        </horizontal>
      </border>
    </dxf>
    <dxf>
      <font>
        <b/>
        <i val="0"/>
        <color theme="1"/>
      </font>
      <fill>
        <patternFill>
          <bgColor theme="6" tint="0.79998168889431442"/>
        </patternFill>
      </fill>
      <border diagonalUp="0" diagonalDown="0">
        <left/>
        <right/>
        <top style="medium">
          <color theme="6" tint="0.39994506668294322"/>
        </top>
        <bottom/>
        <vertical style="medium">
          <color theme="6" tint="0.39991454817346722"/>
        </vertical>
        <horizontal/>
      </border>
    </dxf>
    <dxf>
      <font>
        <color theme="6" tint="0.39994506668294322"/>
      </font>
      <fill>
        <patternFill>
          <bgColor theme="6" tint="0.39994506668294322"/>
        </patternFill>
      </fill>
      <border diagonalUp="0" diagonalDown="0">
        <left/>
        <right/>
        <top/>
        <bottom style="medium">
          <color theme="6" tint="0.39994506668294322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theme="6" tint="0.39994506668294322"/>
        </top>
        <bottom style="medium">
          <color theme="6" tint="0.39994506668294322"/>
        </bottom>
        <vertical style="medium">
          <color theme="6" tint="0.39994506668294322"/>
        </vertical>
        <horizontal style="medium">
          <color theme="6" tint="0.39994506668294322"/>
        </horizontal>
      </border>
    </dxf>
  </dxfs>
  <tableStyles count="1" defaultTableStyle="Detailed expense estimates Table 2" defaultPivotStyle="PivotStyleLight16">
    <tableStyle name="Detailed expense estimates Table 2" pivot="0" count="7">
      <tableStyleElement type="wholeTable" dxfId="437"/>
      <tableStyleElement type="headerRow" dxfId="436"/>
      <tableStyleElement type="totalRow" dxfId="435"/>
      <tableStyleElement type="firstColumn" dxfId="434"/>
      <tableStyleElement type="lastColumn" dxfId="433"/>
      <tableStyleElement type="firstRowStripe" size="9" dxfId="432"/>
      <tableStyleElement type="firstColumnStripe" dxfId="431"/>
    </tableStyle>
  </tableStyles>
  <colors>
    <mruColors>
      <color rgb="FFBDC3C7"/>
      <color rgb="FFECF0F1"/>
      <color rgb="FF93A5A6"/>
      <color rgb="FF262626"/>
      <color rgb="FFF17B55"/>
      <color rgb="FF32AE60"/>
      <color rgb="FFBCC3C7"/>
      <color rgb="FF820C4D"/>
      <color rgb="FF800080"/>
      <color rgb="FF904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ACTUAL</a:t>
            </a: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EXPENSES</a:t>
            </a:r>
            <a:endParaRPr lang="en-US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DF3-409A-87D3-91392B248616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DF3-409A-87D3-91392B248616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DF3-409A-87D3-91392B248616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DF3-409A-87D3-91392B248616}"/>
              </c:ext>
            </c:extLst>
          </c:dPt>
          <c:dLbls>
            <c:dLbl>
              <c:idx val="0"/>
              <c:layout>
                <c:manualLayout>
                  <c:x val="-3.05028190920579E-2"/>
                  <c:y val="-5.48763940279416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26262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DF3-409A-87D3-91392B24861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64633761057646E-2"/>
                  <c:y val="-7.17671559249882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26262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DF3-409A-87D3-91392B24861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17658209390399E-2"/>
                  <c:y val="1.228586760267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26262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DF3-409A-87D3-91392B248616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91635073393602E-2"/>
                  <c:y val="5.55859910468854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26262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4DF3-409A-87D3-91392B24861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'EXPENSE ANALYSIS'!$B$5:$B$8</c:f>
              <c:strCache>
                <c:ptCount val="4"/>
                <c:pt idx="0">
                  <c:v>EMPLOYEE COSTS</c:v>
                </c:pt>
                <c:pt idx="1">
                  <c:v>OFFICE COSTS</c:v>
                </c:pt>
                <c:pt idx="2">
                  <c:v>MARKETING COSTS</c:v>
                </c:pt>
                <c:pt idx="3">
                  <c:v>TRAINING/TRAVEL</c:v>
                </c:pt>
              </c:strCache>
            </c:strRef>
          </c:cat>
          <c:val>
            <c:numRef>
              <c:f>'EXPENSE ANALYSIS'!$D$5:$D$8</c:f>
              <c:numCache>
                <c:formatCode>"$"#,##0.00_);[Red]\("$"#,##0.00\)</c:formatCode>
                <c:ptCount val="4"/>
                <c:pt idx="0">
                  <c:v>659130</c:v>
                </c:pt>
                <c:pt idx="1">
                  <c:v>69350</c:v>
                </c:pt>
                <c:pt idx="2">
                  <c:v>33159</c:v>
                </c:pt>
                <c:pt idx="3">
                  <c:v>21300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DF3-409A-87D3-91392B24861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0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Gill Sans MT" charset="0"/>
                <a:ea typeface="Gill Sans MT" charset="0"/>
                <a:cs typeface="Gill Sans MT" charset="0"/>
              </a:defRPr>
            </a:pPr>
            <a:r>
              <a:rPr lang="en-US" sz="2000">
                <a:solidFill>
                  <a:schemeClr val="tx1">
                    <a:lumMod val="75000"/>
                    <a:lumOff val="25000"/>
                  </a:schemeClr>
                </a:solidFill>
                <a:latin typeface="Gill Sans MT" charset="0"/>
                <a:ea typeface="Gill Sans MT" charset="0"/>
                <a:cs typeface="Gill Sans MT" charset="0"/>
              </a:rPr>
              <a:t>MONTLY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Gill Sans MT" charset="0"/>
              <a:ea typeface="Gill Sans MT" charset="0"/>
              <a:cs typeface="Gill Sans MT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Planned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'PLANNED EXPENSES'!$C$36:$N$36</c:f>
              <c:numCache>
                <c:formatCode>"$"#,##0.00_);[Red]\("$"#,##0.00\)</c:formatCode>
                <c:ptCount val="12"/>
                <c:pt idx="0">
                  <c:v>131420</c:v>
                </c:pt>
                <c:pt idx="1">
                  <c:v>126820</c:v>
                </c:pt>
                <c:pt idx="2">
                  <c:v>126820</c:v>
                </c:pt>
                <c:pt idx="3">
                  <c:v>137695</c:v>
                </c:pt>
                <c:pt idx="4">
                  <c:v>129695</c:v>
                </c:pt>
                <c:pt idx="5">
                  <c:v>130495</c:v>
                </c:pt>
                <c:pt idx="6">
                  <c:v>134695</c:v>
                </c:pt>
                <c:pt idx="7">
                  <c:v>138918</c:v>
                </c:pt>
                <c:pt idx="8">
                  <c:v>135918</c:v>
                </c:pt>
                <c:pt idx="9">
                  <c:v>140918</c:v>
                </c:pt>
                <c:pt idx="10">
                  <c:v>136218</c:v>
                </c:pt>
                <c:pt idx="11">
                  <c:v>140018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5D-4DB7-A511-401DE3785DC9}"/>
            </c:ext>
          </c:extLst>
        </c:ser>
        <c:ser>
          <c:idx val="2"/>
          <c:order val="2"/>
          <c:tx>
            <c:v>Actual</c:v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'ACTUAL EXPENSES'!$C$36:$N$36</c:f>
              <c:numCache>
                <c:formatCode>"$"#,##0.00_);[Red]\("$"#,##0.00\)</c:formatCode>
                <c:ptCount val="12"/>
                <c:pt idx="0">
                  <c:v>129682</c:v>
                </c:pt>
                <c:pt idx="1">
                  <c:v>127804</c:v>
                </c:pt>
                <c:pt idx="2">
                  <c:v>125565</c:v>
                </c:pt>
                <c:pt idx="3">
                  <c:v>137394</c:v>
                </c:pt>
                <c:pt idx="4">
                  <c:v>128255</c:v>
                </c:pt>
                <c:pt idx="5">
                  <c:v>134239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5D-4DB7-A511-401DE3785DC9}"/>
            </c:ext>
          </c:extLst>
        </c:ser>
        <c:ser>
          <c:idx val="0"/>
          <c:order val="0"/>
          <c:tx>
            <c:v>Variance</c:v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'EXPENSE VARIANCES'!$C$36:$N$36</c:f>
              <c:numCache>
                <c:formatCode>"$"#,##0.00_);[Red]\("$"#,##0.00\)</c:formatCode>
                <c:ptCount val="12"/>
                <c:pt idx="0">
                  <c:v>1738</c:v>
                </c:pt>
                <c:pt idx="1">
                  <c:v>-984</c:v>
                </c:pt>
                <c:pt idx="2">
                  <c:v>1255</c:v>
                </c:pt>
                <c:pt idx="3">
                  <c:v>301</c:v>
                </c:pt>
                <c:pt idx="4">
                  <c:v>1440</c:v>
                </c:pt>
                <c:pt idx="5">
                  <c:v>-3744</c:v>
                </c:pt>
                <c:pt idx="6">
                  <c:v>134695</c:v>
                </c:pt>
                <c:pt idx="7">
                  <c:v>138918</c:v>
                </c:pt>
                <c:pt idx="8">
                  <c:v>135918</c:v>
                </c:pt>
                <c:pt idx="9">
                  <c:v>140918</c:v>
                </c:pt>
                <c:pt idx="10">
                  <c:v>136218</c:v>
                </c:pt>
                <c:pt idx="11">
                  <c:v>140018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5D-4DB7-A511-401DE378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982069920"/>
        <c:axId val="982070704"/>
        <c:axId val="0"/>
      </c:bar3DChart>
      <c:catAx>
        <c:axId val="98206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70704"/>
        <c:crosses val="autoZero"/>
        <c:auto val="1"/>
        <c:lblAlgn val="ctr"/>
        <c:lblOffset val="100"/>
        <c:noMultiLvlLbl val="0"/>
      </c:catAx>
      <c:valAx>
        <c:axId val="9820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PLANNED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75C-4225-ACC7-D51DAEA0E7C6}"/>
              </c:ext>
            </c:extLst>
          </c:dPt>
          <c:dPt>
            <c:idx val="1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75C-4225-ACC7-D51DAEA0E7C6}"/>
              </c:ext>
            </c:extLst>
          </c:dPt>
          <c:dPt>
            <c:idx val="2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75C-4225-ACC7-D51DAEA0E7C6}"/>
              </c:ext>
            </c:extLst>
          </c:dPt>
          <c:dPt>
            <c:idx val="3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75C-4225-ACC7-D51DAEA0E7C6}"/>
              </c:ext>
            </c:extLst>
          </c:dPt>
          <c:dLbls>
            <c:dLbl>
              <c:idx val="0"/>
              <c:layout>
                <c:manualLayout>
                  <c:x val="-3.4028377385723702E-2"/>
                  <c:y val="-6.2875096529873701E-3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26262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75C-4225-ACC7-D51DAEA0E7C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064834980853806E-5"/>
                  <c:y val="-3.1876737570955903E-2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26262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75C-4225-ACC7-D51DAEA0E7C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8135881541812196E-3"/>
                  <c:y val="-4.9374880127388797E-3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26262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75C-4225-ACC7-D51DAEA0E7C6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54638710259416E-2"/>
                  <c:y val="3.029687973422E-2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26262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75C-4225-ACC7-D51DAEA0E7C6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'EXPENSE ANALYSIS'!$B$5:$B$8</c:f>
              <c:strCache>
                <c:ptCount val="4"/>
                <c:pt idx="0">
                  <c:v>EMPLOYEE COSTS</c:v>
                </c:pt>
                <c:pt idx="1">
                  <c:v>OFFICE COSTS</c:v>
                </c:pt>
                <c:pt idx="2">
                  <c:v>MARKETING COSTS</c:v>
                </c:pt>
                <c:pt idx="3">
                  <c:v>TRAINING/TRAVEL</c:v>
                </c:pt>
              </c:strCache>
            </c:strRef>
          </c:cat>
          <c:val>
            <c:numRef>
              <c:f>'EXPENSE ANALYSIS'!$C$5:$C$8</c:f>
              <c:numCache>
                <c:formatCode>"$"#,##0.00_);[Red]\("$"#,##0.00\)</c:formatCode>
                <c:ptCount val="4"/>
                <c:pt idx="0">
                  <c:v>1355090</c:v>
                </c:pt>
                <c:pt idx="1">
                  <c:v>138740</c:v>
                </c:pt>
                <c:pt idx="2">
                  <c:v>67800</c:v>
                </c:pt>
                <c:pt idx="3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75C-4225-ACC7-D51DAEA0E7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0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25400</xdr:rowOff>
    </xdr:from>
    <xdr:to>
      <xdr:col>19</xdr:col>
      <xdr:colOff>125857</xdr:colOff>
      <xdr:row>16</xdr:row>
      <xdr:rowOff>405279</xdr:rowOff>
    </xdr:to>
    <xdr:sp macro="" textlink="">
      <xdr:nvSpPr>
        <xdr:cNvPr id="3" name="Speech Bubble: Rectangle 2" descr="Tip: HOW TO USE THIS TEMPLATE&#10;Input data in the white cells on the PLANNED EXPENSES and ACTUAL EXPENSES worksheets, and the EXPENSE VARIANCES and EXPENSE ANALYSIS will be calculated for you.  If you add a row on one sheet, the other sheets need to match&#10;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13314692" y="3062194"/>
          <a:ext cx="1668535" cy="5084482"/>
        </a:xfrm>
        <a:prstGeom prst="wedgeRectCallout">
          <a:avLst>
            <a:gd name="adj1" fmla="val -65157"/>
            <a:gd name="adj2" fmla="val -20833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tIns="182880" rIns="182880" bIns="182880" rtlCol="0" anchor="t"/>
        <a:lstStyle/>
        <a:p>
          <a:endParaRPr lang="en-US" sz="1100" b="1">
            <a:solidFill>
              <a:srgbClr val="262626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 b="1">
              <a:solidFill>
                <a:srgbClr val="262626"/>
              </a:solidFill>
              <a:effectLst/>
              <a:latin typeface="+mn-lt"/>
              <a:ea typeface="+mn-ea"/>
              <a:cs typeface="+mn-cs"/>
            </a:rPr>
            <a:t>HOW TO USE THIS TEMPLATE</a:t>
          </a:r>
        </a:p>
        <a:p>
          <a:pPr algn="ctr"/>
          <a:endParaRPr lang="en-US">
            <a:solidFill>
              <a:srgbClr val="262626"/>
            </a:solidFill>
            <a:effectLst/>
          </a:endParaRPr>
        </a:p>
        <a:p>
          <a:pPr algn="ctr">
            <a:lnSpc>
              <a:spcPct val="150000"/>
            </a:lnSpc>
          </a:pPr>
          <a:r>
            <a:rPr lang="en-US" sz="1100">
              <a:solidFill>
                <a:srgbClr val="262626"/>
              </a:solidFill>
              <a:effectLst/>
              <a:latin typeface="+mn-lt"/>
              <a:ea typeface="+mn-ea"/>
              <a:cs typeface="+mn-cs"/>
            </a:rPr>
            <a:t>Input data in the white cells on the PLANNED EXPENSES and ACTUAL EXPENSES worksheets, and the EXPENSE VARIANCES and EXPENSE ANALYSIS will be calculated for you.  If you add a row on one sheet, the</a:t>
          </a:r>
          <a:r>
            <a:rPr lang="en-US" sz="1100" baseline="0">
              <a:solidFill>
                <a:srgbClr val="262626"/>
              </a:solidFill>
              <a:effectLst/>
              <a:latin typeface="+mn-lt"/>
              <a:ea typeface="+mn-ea"/>
              <a:cs typeface="+mn-cs"/>
            </a:rPr>
            <a:t> other sheets need to match.</a:t>
          </a:r>
          <a:endParaRPr lang="en-US" sz="1100">
            <a:solidFill>
              <a:srgbClr val="262626"/>
            </a:solidFill>
          </a:endParaRPr>
        </a:p>
      </xdr:txBody>
    </xdr:sp>
    <xdr:clientData fPrintsWithSheet="0"/>
  </xdr:twoCellAnchor>
  <xdr:twoCellAnchor>
    <xdr:from>
      <xdr:col>2</xdr:col>
      <xdr:colOff>2239</xdr:colOff>
      <xdr:row>2</xdr:row>
      <xdr:rowOff>31377</xdr:rowOff>
    </xdr:from>
    <xdr:to>
      <xdr:col>7</xdr:col>
      <xdr:colOff>228299</xdr:colOff>
      <xdr:row>2</xdr:row>
      <xdr:rowOff>386977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xmlns="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893357" y="905436"/>
          <a:ext cx="4260177" cy="355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1500" b="1" i="0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Detailed Expenses Estimates</a:t>
          </a:r>
        </a:p>
      </xdr:txBody>
    </xdr:sp>
    <xdr:clientData/>
  </xdr:twoCellAnchor>
  <xdr:twoCellAnchor>
    <xdr:from>
      <xdr:col>2</xdr:col>
      <xdr:colOff>2239</xdr:colOff>
      <xdr:row>2</xdr:row>
      <xdr:rowOff>310777</xdr:rowOff>
    </xdr:from>
    <xdr:to>
      <xdr:col>7</xdr:col>
      <xdr:colOff>228299</xdr:colOff>
      <xdr:row>2</xdr:row>
      <xdr:rowOff>666377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2893357" y="1184836"/>
          <a:ext cx="4260177" cy="355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1500" b="0" i="1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Shaded Cells are Calculations</a:t>
          </a:r>
        </a:p>
      </xdr:txBody>
    </xdr:sp>
    <xdr:clientData/>
  </xdr:twoCellAnchor>
  <xdr:twoCellAnchor editAs="oneCell">
    <xdr:from>
      <xdr:col>8</xdr:col>
      <xdr:colOff>949512</xdr:colOff>
      <xdr:row>0</xdr:row>
      <xdr:rowOff>0</xdr:rowOff>
    </xdr:from>
    <xdr:to>
      <xdr:col>15</xdr:col>
      <xdr:colOff>0</xdr:colOff>
      <xdr:row>3</xdr:row>
      <xdr:rowOff>0</xdr:rowOff>
    </xdr:to>
    <xdr:pic>
      <xdr:nvPicPr>
        <xdr:cNvPr id="5" name="Picture 4" descr="image of 3d bar charts, a ling graph, a pie graph, and a magnifying glass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2865" y="0"/>
          <a:ext cx="5796429" cy="1871382"/>
        </a:xfrm>
        <a:prstGeom prst="rect">
          <a:avLst/>
        </a:prstGeom>
      </xdr:spPr>
    </xdr:pic>
    <xdr:clientData/>
  </xdr:twoCellAnchor>
  <xdr:twoCellAnchor>
    <xdr:from>
      <xdr:col>2</xdr:col>
      <xdr:colOff>2239</xdr:colOff>
      <xdr:row>0</xdr:row>
      <xdr:rowOff>270436</xdr:rowOff>
    </xdr:from>
    <xdr:to>
      <xdr:col>8</xdr:col>
      <xdr:colOff>451819</xdr:colOff>
      <xdr:row>2</xdr:row>
      <xdr:rowOff>120277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xmlns="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893357" y="270436"/>
          <a:ext cx="529052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4500" b="1" i="0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COMPANY NAME</a:t>
          </a:r>
        </a:p>
      </xdr:txBody>
    </xdr:sp>
    <xdr:clientData/>
  </xdr:twoCellAnchor>
  <xdr:twoCellAnchor>
    <xdr:from>
      <xdr:col>1</xdr:col>
      <xdr:colOff>457200</xdr:colOff>
      <xdr:row>1</xdr:row>
      <xdr:rowOff>276225</xdr:rowOff>
    </xdr:from>
    <xdr:to>
      <xdr:col>1</xdr:col>
      <xdr:colOff>2037716</xdr:colOff>
      <xdr:row>2</xdr:row>
      <xdr:rowOff>417585</xdr:rowOff>
    </xdr:to>
    <xdr:pic>
      <xdr:nvPicPr>
        <xdr:cNvPr id="8" name="Picture 7" descr="Logo placeholder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 bwMode="auto">
        <a:xfrm>
          <a:off x="723900" y="581025"/>
          <a:ext cx="1580516" cy="712860"/>
        </a:xfrm>
        <a:prstGeom prst="rect">
          <a:avLst/>
        </a:prstGeom>
        <a:solidFill>
          <a:schemeClr val="tx1"/>
        </a:solidFill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2239</xdr:colOff>
      <xdr:row>2</xdr:row>
      <xdr:rowOff>31377</xdr:rowOff>
    </xdr:from>
    <xdr:to>
      <xdr:col>7</xdr:col>
      <xdr:colOff>228299</xdr:colOff>
      <xdr:row>2</xdr:row>
      <xdr:rowOff>386977</xdr:rowOff>
    </xdr:to>
    <xdr:sp macro="" textlink="">
      <xdr:nvSpPr>
        <xdr:cNvPr id="21" name="Text Box 15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2888314" y="907677"/>
          <a:ext cx="5036185" cy="355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1500" b="1" i="0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Detailed Expenses Estimates</a:t>
          </a:r>
        </a:p>
      </xdr:txBody>
    </xdr:sp>
    <xdr:clientData/>
  </xdr:twoCellAnchor>
  <xdr:twoCellAnchor>
    <xdr:from>
      <xdr:col>2</xdr:col>
      <xdr:colOff>2239</xdr:colOff>
      <xdr:row>2</xdr:row>
      <xdr:rowOff>310777</xdr:rowOff>
    </xdr:from>
    <xdr:to>
      <xdr:col>7</xdr:col>
      <xdr:colOff>228299</xdr:colOff>
      <xdr:row>2</xdr:row>
      <xdr:rowOff>666377</xdr:rowOff>
    </xdr:to>
    <xdr:sp macro="" textlink="">
      <xdr:nvSpPr>
        <xdr:cNvPr id="22" name="Text Box 15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2888314" y="1187077"/>
          <a:ext cx="5036185" cy="355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1500" b="0" i="1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Shaded Cells are Calculations</a:t>
          </a:r>
        </a:p>
      </xdr:txBody>
    </xdr:sp>
    <xdr:clientData/>
  </xdr:twoCellAnchor>
  <xdr:twoCellAnchor editAs="oneCell">
    <xdr:from>
      <xdr:col>8</xdr:col>
      <xdr:colOff>949512</xdr:colOff>
      <xdr:row>0</xdr:row>
      <xdr:rowOff>0</xdr:rowOff>
    </xdr:from>
    <xdr:to>
      <xdr:col>15</xdr:col>
      <xdr:colOff>0</xdr:colOff>
      <xdr:row>3</xdr:row>
      <xdr:rowOff>0</xdr:rowOff>
    </xdr:to>
    <xdr:pic>
      <xdr:nvPicPr>
        <xdr:cNvPr id="23" name="Picture 22" descr="image of 3d bar charts, a ling graph, a pie graph, and a magnifying glass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7737" y="0"/>
          <a:ext cx="5784663" cy="1876425"/>
        </a:xfrm>
        <a:prstGeom prst="rect">
          <a:avLst/>
        </a:prstGeom>
      </xdr:spPr>
    </xdr:pic>
    <xdr:clientData/>
  </xdr:twoCellAnchor>
  <xdr:twoCellAnchor>
    <xdr:from>
      <xdr:col>2</xdr:col>
      <xdr:colOff>2239</xdr:colOff>
      <xdr:row>0</xdr:row>
      <xdr:rowOff>270436</xdr:rowOff>
    </xdr:from>
    <xdr:to>
      <xdr:col>8</xdr:col>
      <xdr:colOff>451819</xdr:colOff>
      <xdr:row>2</xdr:row>
      <xdr:rowOff>120277</xdr:rowOff>
    </xdr:to>
    <xdr:sp macro="" textlink="">
      <xdr:nvSpPr>
        <xdr:cNvPr id="24" name="Text Box 14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2888314" y="270436"/>
          <a:ext cx="6221730" cy="726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4500" b="1" i="0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COMPANY NAME</a:t>
          </a:r>
        </a:p>
      </xdr:txBody>
    </xdr:sp>
    <xdr:clientData/>
  </xdr:twoCellAnchor>
  <xdr:twoCellAnchor>
    <xdr:from>
      <xdr:col>1</xdr:col>
      <xdr:colOff>457200</xdr:colOff>
      <xdr:row>1</xdr:row>
      <xdr:rowOff>276225</xdr:rowOff>
    </xdr:from>
    <xdr:to>
      <xdr:col>1</xdr:col>
      <xdr:colOff>2037716</xdr:colOff>
      <xdr:row>2</xdr:row>
      <xdr:rowOff>417585</xdr:rowOff>
    </xdr:to>
    <xdr:pic>
      <xdr:nvPicPr>
        <xdr:cNvPr id="25" name="Picture 24" descr="Logo placeholder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 bwMode="auto">
        <a:xfrm>
          <a:off x="723900" y="581025"/>
          <a:ext cx="1580516" cy="712860"/>
        </a:xfrm>
        <a:prstGeom prst="rect">
          <a:avLst/>
        </a:prstGeom>
        <a:solidFill>
          <a:schemeClr val="tx1"/>
        </a:solidFill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2239</xdr:colOff>
      <xdr:row>2</xdr:row>
      <xdr:rowOff>31377</xdr:rowOff>
    </xdr:from>
    <xdr:to>
      <xdr:col>7</xdr:col>
      <xdr:colOff>228299</xdr:colOff>
      <xdr:row>2</xdr:row>
      <xdr:rowOff>386977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888314" y="907677"/>
          <a:ext cx="5036185" cy="355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1500" b="1" i="0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Detailed Expenses Estimates</a:t>
          </a:r>
        </a:p>
      </xdr:txBody>
    </xdr:sp>
    <xdr:clientData/>
  </xdr:twoCellAnchor>
  <xdr:twoCellAnchor>
    <xdr:from>
      <xdr:col>2</xdr:col>
      <xdr:colOff>2239</xdr:colOff>
      <xdr:row>2</xdr:row>
      <xdr:rowOff>310777</xdr:rowOff>
    </xdr:from>
    <xdr:to>
      <xdr:col>7</xdr:col>
      <xdr:colOff>228299</xdr:colOff>
      <xdr:row>2</xdr:row>
      <xdr:rowOff>666377</xdr:rowOff>
    </xdr:to>
    <xdr:sp macro="" textlink="">
      <xdr:nvSpPr>
        <xdr:cNvPr id="8" name="Text Box 15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888314" y="1187077"/>
          <a:ext cx="5036185" cy="355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1500" b="0" i="1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Shaded Cells are Calculations</a:t>
          </a:r>
        </a:p>
      </xdr:txBody>
    </xdr:sp>
    <xdr:clientData/>
  </xdr:twoCellAnchor>
  <xdr:twoCellAnchor editAs="oneCell">
    <xdr:from>
      <xdr:col>8</xdr:col>
      <xdr:colOff>949512</xdr:colOff>
      <xdr:row>0</xdr:row>
      <xdr:rowOff>0</xdr:rowOff>
    </xdr:from>
    <xdr:to>
      <xdr:col>15</xdr:col>
      <xdr:colOff>0</xdr:colOff>
      <xdr:row>3</xdr:row>
      <xdr:rowOff>0</xdr:rowOff>
    </xdr:to>
    <xdr:pic>
      <xdr:nvPicPr>
        <xdr:cNvPr id="9" name="Picture 8" descr="image of 3d bar charts, a ling graph, a pie graph, and a magnifying glass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7737" y="0"/>
          <a:ext cx="5784663" cy="1876425"/>
        </a:xfrm>
        <a:prstGeom prst="rect">
          <a:avLst/>
        </a:prstGeom>
      </xdr:spPr>
    </xdr:pic>
    <xdr:clientData/>
  </xdr:twoCellAnchor>
  <xdr:twoCellAnchor>
    <xdr:from>
      <xdr:col>2</xdr:col>
      <xdr:colOff>2239</xdr:colOff>
      <xdr:row>0</xdr:row>
      <xdr:rowOff>270436</xdr:rowOff>
    </xdr:from>
    <xdr:to>
      <xdr:col>8</xdr:col>
      <xdr:colOff>451819</xdr:colOff>
      <xdr:row>2</xdr:row>
      <xdr:rowOff>120277</xdr:rowOff>
    </xdr:to>
    <xdr:sp macro="" textlink="">
      <xdr:nvSpPr>
        <xdr:cNvPr id="10" name="Text Box 14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888314" y="270436"/>
          <a:ext cx="6221730" cy="726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4500" b="1" i="0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COMPANY NAME</a:t>
          </a:r>
        </a:p>
      </xdr:txBody>
    </xdr:sp>
    <xdr:clientData/>
  </xdr:twoCellAnchor>
  <xdr:twoCellAnchor>
    <xdr:from>
      <xdr:col>1</xdr:col>
      <xdr:colOff>457200</xdr:colOff>
      <xdr:row>1</xdr:row>
      <xdr:rowOff>276225</xdr:rowOff>
    </xdr:from>
    <xdr:to>
      <xdr:col>1</xdr:col>
      <xdr:colOff>2037716</xdr:colOff>
      <xdr:row>2</xdr:row>
      <xdr:rowOff>417585</xdr:rowOff>
    </xdr:to>
    <xdr:pic>
      <xdr:nvPicPr>
        <xdr:cNvPr id="16" name="Picture 15" descr="Logo placeholder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 bwMode="auto">
        <a:xfrm>
          <a:off x="723900" y="581025"/>
          <a:ext cx="1580516" cy="712860"/>
        </a:xfrm>
        <a:prstGeom prst="rect">
          <a:avLst/>
        </a:prstGeom>
        <a:solidFill>
          <a:schemeClr val="tx1"/>
        </a:solidFill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1435100</xdr:colOff>
      <xdr:row>9</xdr:row>
      <xdr:rowOff>203200</xdr:rowOff>
    </xdr:from>
    <xdr:to>
      <xdr:col>6</xdr:col>
      <xdr:colOff>0</xdr:colOff>
      <xdr:row>10</xdr:row>
      <xdr:rowOff>3669031</xdr:rowOff>
    </xdr:to>
    <xdr:graphicFrame macro="">
      <xdr:nvGraphicFramePr>
        <xdr:cNvPr id="13" name="ActualExpensesChart" descr="Pie chart showing actual expenses incurred on various categories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279400</xdr:colOff>
      <xdr:row>11</xdr:row>
      <xdr:rowOff>63501</xdr:rowOff>
    </xdr:from>
    <xdr:to>
      <xdr:col>6</xdr:col>
      <xdr:colOff>0</xdr:colOff>
      <xdr:row>32</xdr:row>
      <xdr:rowOff>170880</xdr:rowOff>
    </xdr:to>
    <xdr:graphicFrame macro="">
      <xdr:nvGraphicFramePr>
        <xdr:cNvPr id="8" name="MonthlyExpensesChart" descr="Chart showing Planned, Actual, and Variance in Monthly Expenses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292100</xdr:colOff>
      <xdr:row>9</xdr:row>
      <xdr:rowOff>203200</xdr:rowOff>
    </xdr:from>
    <xdr:to>
      <xdr:col>3</xdr:col>
      <xdr:colOff>1302683</xdr:colOff>
      <xdr:row>10</xdr:row>
      <xdr:rowOff>3688079</xdr:rowOff>
    </xdr:to>
    <xdr:graphicFrame macro="">
      <xdr:nvGraphicFramePr>
        <xdr:cNvPr id="12" name="PlannedExpensesChart" descr="Pie chart showing planned expenses on various categories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2239</xdr:colOff>
      <xdr:row>2</xdr:row>
      <xdr:rowOff>31377</xdr:rowOff>
    </xdr:from>
    <xdr:to>
      <xdr:col>7</xdr:col>
      <xdr:colOff>0</xdr:colOff>
      <xdr:row>2</xdr:row>
      <xdr:rowOff>386977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2888314" y="907677"/>
          <a:ext cx="5036185" cy="355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1500" b="1" i="0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Detailed Expenses Estimates</a:t>
          </a:r>
        </a:p>
      </xdr:txBody>
    </xdr:sp>
    <xdr:clientData/>
  </xdr:twoCellAnchor>
  <xdr:twoCellAnchor>
    <xdr:from>
      <xdr:col>2</xdr:col>
      <xdr:colOff>2239</xdr:colOff>
      <xdr:row>2</xdr:row>
      <xdr:rowOff>310777</xdr:rowOff>
    </xdr:from>
    <xdr:to>
      <xdr:col>7</xdr:col>
      <xdr:colOff>0</xdr:colOff>
      <xdr:row>2</xdr:row>
      <xdr:rowOff>666377</xdr:rowOff>
    </xdr:to>
    <xdr:sp macro="" textlink="">
      <xdr:nvSpPr>
        <xdr:cNvPr id="17" name="Text Box 15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2888314" y="1187077"/>
          <a:ext cx="5036185" cy="355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1500" b="0" i="1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Shaded Cells are Calculations</a:t>
          </a:r>
        </a:p>
      </xdr:txBody>
    </xdr:sp>
    <xdr:clientData/>
  </xdr:twoCellAnchor>
  <xdr:twoCellAnchor editAs="oneCell">
    <xdr:from>
      <xdr:col>3</xdr:col>
      <xdr:colOff>2876363</xdr:colOff>
      <xdr:row>0</xdr:row>
      <xdr:rowOff>0</xdr:rowOff>
    </xdr:from>
    <xdr:to>
      <xdr:col>6</xdr:col>
      <xdr:colOff>0</xdr:colOff>
      <xdr:row>3</xdr:row>
      <xdr:rowOff>0</xdr:rowOff>
    </xdr:to>
    <xdr:pic>
      <xdr:nvPicPr>
        <xdr:cNvPr id="19" name="Picture 18" descr="image of 3d bar charts, a ling graph, a pie graph, and a magnifying glass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15481" y="0"/>
          <a:ext cx="5796990" cy="1871382"/>
        </a:xfrm>
        <a:prstGeom prst="rect">
          <a:avLst/>
        </a:prstGeom>
      </xdr:spPr>
    </xdr:pic>
    <xdr:clientData/>
  </xdr:twoCellAnchor>
  <xdr:twoCellAnchor>
    <xdr:from>
      <xdr:col>2</xdr:col>
      <xdr:colOff>2239</xdr:colOff>
      <xdr:row>0</xdr:row>
      <xdr:rowOff>270436</xdr:rowOff>
    </xdr:from>
    <xdr:to>
      <xdr:col>6</xdr:col>
      <xdr:colOff>0</xdr:colOff>
      <xdr:row>2</xdr:row>
      <xdr:rowOff>120277</xdr:rowOff>
    </xdr:to>
    <xdr:sp macro="" textlink="">
      <xdr:nvSpPr>
        <xdr:cNvPr id="20" name="Text Box 14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3050239" y="270436"/>
          <a:ext cx="11562232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en-US" sz="4500" b="1" i="0" u="none" strike="noStrike" baseline="0">
              <a:solidFill>
                <a:srgbClr val="262626"/>
              </a:solidFill>
              <a:latin typeface="+mj-lt"/>
              <a:ea typeface="Arial" charset="0"/>
              <a:cs typeface="Arial" charset="0"/>
            </a:rPr>
            <a:t>COMPANY NAME</a:t>
          </a:r>
        </a:p>
      </xdr:txBody>
    </xdr:sp>
    <xdr:clientData/>
  </xdr:twoCellAnchor>
  <xdr:twoCellAnchor>
    <xdr:from>
      <xdr:col>1</xdr:col>
      <xdr:colOff>457200</xdr:colOff>
      <xdr:row>1</xdr:row>
      <xdr:rowOff>276225</xdr:rowOff>
    </xdr:from>
    <xdr:to>
      <xdr:col>1</xdr:col>
      <xdr:colOff>2037716</xdr:colOff>
      <xdr:row>2</xdr:row>
      <xdr:rowOff>417585</xdr:rowOff>
    </xdr:to>
    <xdr:pic>
      <xdr:nvPicPr>
        <xdr:cNvPr id="21" name="Picture 20" descr="Logo placeholder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 bwMode="auto">
        <a:xfrm>
          <a:off x="723900" y="581025"/>
          <a:ext cx="1580516" cy="712860"/>
        </a:xfrm>
        <a:prstGeom prst="rect">
          <a:avLst/>
        </a:prstGeom>
        <a:solidFill>
          <a:schemeClr val="tx1"/>
        </a:solidFill>
        <a:extLst/>
      </xdr:spPr>
    </xdr:pic>
    <xdr:clientData/>
  </xdr:twoCellAnchor>
</xdr:wsDr>
</file>

<file path=xl/tables/table1.xml><?xml version="1.0" encoding="utf-8"?>
<table xmlns="http://schemas.openxmlformats.org/spreadsheetml/2006/main" id="1" name="OfficePlan" displayName="OfficePlan" ref="B10:O19" totalsRowCount="1" headerRowDxfId="430" dataDxfId="428" totalsRowDxfId="426" headerRowBorderDxfId="429" tableBorderDxfId="427">
  <autoFilter ref="B10:O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FFICE COSTS" totalsRowLabel="Subtotal" totalsRowDxfId="425"/>
    <tableColumn id="2" name="Jan" totalsRowFunction="sum" totalsRowDxfId="424"/>
    <tableColumn id="3" name="Feb" totalsRowFunction="sum" dataDxfId="423" totalsRowDxfId="422"/>
    <tableColumn id="4" name="Mar" totalsRowFunction="sum" dataDxfId="421" totalsRowDxfId="420"/>
    <tableColumn id="5" name="Apr" totalsRowFunction="sum" dataDxfId="419" totalsRowDxfId="418"/>
    <tableColumn id="6" name="May" totalsRowFunction="sum" dataDxfId="417" totalsRowDxfId="416"/>
    <tableColumn id="7" name="Jun" totalsRowFunction="sum" dataDxfId="415" totalsRowDxfId="414"/>
    <tableColumn id="8" name="Jul" totalsRowFunction="sum" dataDxfId="413" totalsRowDxfId="412"/>
    <tableColumn id="9" name="Aug" totalsRowFunction="sum" dataDxfId="411" totalsRowDxfId="410"/>
    <tableColumn id="10" name="Sep" totalsRowFunction="sum" dataDxfId="409" totalsRowDxfId="408"/>
    <tableColumn id="11" name="Oct" totalsRowFunction="sum" dataDxfId="407" totalsRowDxfId="406"/>
    <tableColumn id="12" name="Nov" totalsRowFunction="sum" dataDxfId="405" totalsRowDxfId="404"/>
    <tableColumn id="13" name="Dec" totalsRowFunction="sum" dataDxfId="403" totalsRowDxfId="402"/>
    <tableColumn id="14" name="YEAR" totalsRowFunction="sum" dataDxfId="401" totalsRowDxfId="400">
      <calculatedColumnFormula>SUM(C11:N11)</calculatedColumnFormula>
    </tableColumn>
  </tableColumns>
  <tableStyleInfo name="TableStyleLight8" showFirstColumn="1" showLastColumn="1" showRowStripes="0" showColumnStripes="0"/>
  <extLst>
    <ext xmlns:x14="http://schemas.microsoft.com/office/spreadsheetml/2009/9/main" uri="{504A1905-F514-4f6f-8877-14C23A59335A}">
      <x14:table altTextSummary="Enter planned monthly office costs in this table. Total is auto calculated at the end"/>
    </ext>
  </extLst>
</table>
</file>

<file path=xl/tables/table10.xml><?xml version="1.0" encoding="utf-8"?>
<table xmlns="http://schemas.openxmlformats.org/spreadsheetml/2006/main" id="15" name="TotalActual" displayName="TotalActual" ref="B35:O37" totalsRowShown="0" headerRowDxfId="178" dataDxfId="176" headerRowBorderDxfId="177" headerRowCellStyle="Heading 3">
  <autoFilter ref="B35:O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OTAL ACTUAL EXPENSES" dataDxfId="175"/>
    <tableColumn id="2" name="Jan" dataDxfId="174">
      <calculatedColumnFormula>SUM($C35:C$36)</calculatedColumnFormula>
    </tableColumn>
    <tableColumn id="3" name="Feb" dataDxfId="173">
      <calculatedColumnFormula>SUM($C35:D$36)</calculatedColumnFormula>
    </tableColumn>
    <tableColumn id="4" name="Mar" dataDxfId="172">
      <calculatedColumnFormula>SUM($C35:E$36)</calculatedColumnFormula>
    </tableColumn>
    <tableColumn id="5" name="Apr" dataDxfId="171">
      <calculatedColumnFormula>SUM($C35:F$36)</calculatedColumnFormula>
    </tableColumn>
    <tableColumn id="6" name="May" dataDxfId="170">
      <calculatedColumnFormula>SUM($C35:G$36)</calculatedColumnFormula>
    </tableColumn>
    <tableColumn id="7" name="Jun" dataDxfId="169">
      <calculatedColumnFormula>SUM($C35:H$36)</calculatedColumnFormula>
    </tableColumn>
    <tableColumn id="8" name="Jul" dataDxfId="168">
      <calculatedColumnFormula>SUM($C35:I$36)</calculatedColumnFormula>
    </tableColumn>
    <tableColumn id="9" name="Aug" dataDxfId="167">
      <calculatedColumnFormula>SUM($C35:J$36)</calculatedColumnFormula>
    </tableColumn>
    <tableColumn id="10" name="Sep" dataDxfId="166">
      <calculatedColumnFormula>SUM($C35:K$36)</calculatedColumnFormula>
    </tableColumn>
    <tableColumn id="11" name="Oct" dataDxfId="165">
      <calculatedColumnFormula>SUM($C35:L$36)</calculatedColumnFormula>
    </tableColumn>
    <tableColumn id="12" name="Nov" dataDxfId="164">
      <calculatedColumnFormula>SUM($C35:M$36)</calculatedColumnFormula>
    </tableColumn>
    <tableColumn id="13" name="Dec" dataDxfId="163">
      <calculatedColumnFormula>SUM($C35:N$36)</calculatedColumnFormula>
    </tableColumn>
    <tableColumn id="14" name="Year" dataDxfId="162"/>
  </tableColumns>
  <tableStyleInfo name="TableStyleMedium1" showFirstColumn="1" showLastColumn="0" showRowStripes="0" showColumnStripes="0"/>
  <extLst>
    <ext xmlns:x14="http://schemas.microsoft.com/office/spreadsheetml/2009/9/main" uri="{504A1905-F514-4f6f-8877-14C23A59335A}">
      <x14:table altTextSummary="Monthly and Total Actual Expenses are auto calculated in this table"/>
    </ext>
  </extLst>
</table>
</file>

<file path=xl/tables/table11.xml><?xml version="1.0" encoding="utf-8"?>
<table xmlns="http://schemas.openxmlformats.org/spreadsheetml/2006/main" id="9" name="EmployeeVariances" displayName="EmployeeVariances" ref="B5:O8" totalsRowCount="1" headerRowDxfId="161" dataDxfId="159" totalsRowDxfId="157" headerRowBorderDxfId="160" tableBorderDxfId="158" totalsRowBorderDxfId="156" headerRowCellStyle="Heading 4">
  <autoFilter ref="B5:O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EMPLOYEE COSTS" totalsRowLabel="Subtotal" dataDxfId="155" totalsRowDxfId="154"/>
    <tableColumn id="2" name="Jan" totalsRowFunction="sum" dataDxfId="153" totalsRowDxfId="152">
      <calculatedColumnFormula>INDEX(EmployeePlan[],MATCH(INDEX(EmployeeVariances[],ROW()-ROW(EmployeeVariances[[#Headers],[Jan]]),1),INDEX(EmployeePlan[],,1),0),MATCH(EmployeeVariances[[#Headers],[Jan]],EmployeePlan[#Headers],0))-INDEX(EmployeeActual[],MATCH(INDEX(EmployeeVariances[],ROW()-ROW(EmployeeVariances[[#Headers],[Jan]]),1),INDEX(EmployeePlan[],,1),0),MATCH(EmployeeVariances[[#Headers],[Jan]],EmployeeActual[#Headers],0))</calculatedColumnFormula>
    </tableColumn>
    <tableColumn id="3" name="Feb" totalsRowFunction="sum" dataDxfId="151" totalsRowDxfId="150">
      <calculatedColumnFormula>INDEX(EmployeePlan[],MATCH(INDEX(EmployeeVariances[],ROW()-ROW(EmployeeVariances[[#Headers],[Feb]]),1),INDEX(EmployeePlan[],,1),0),MATCH(EmployeeVariances[[#Headers],[Feb]],EmployeePlan[#Headers],0))-INDEX(EmployeeActual[],MATCH(INDEX(EmployeeVariances[],ROW()-ROW(EmployeeVariances[[#Headers],[Feb]]),1),INDEX(EmployeePlan[],,1),0),MATCH(EmployeeVariances[[#Headers],[Feb]],EmployeeActual[#Headers],0))</calculatedColumnFormula>
    </tableColumn>
    <tableColumn id="4" name="Mar" totalsRowFunction="sum" dataDxfId="149" totalsRowDxfId="148">
      <calculatedColumnFormula>INDEX(EmployeePlan[],MATCH(INDEX(EmployeeVariances[],ROW()-ROW(EmployeeVariances[[#Headers],[Mar]]),1),INDEX(EmployeePlan[],,1),0),MATCH(EmployeeVariances[[#Headers],[Mar]],EmployeePlan[#Headers],0))-INDEX(EmployeeActual[],MATCH(INDEX(EmployeeVariances[],ROW()-ROW(EmployeeVariances[[#Headers],[Mar]]),1),INDEX(EmployeePlan[],,1),0),MATCH(EmployeeVariances[[#Headers],[Mar]],EmployeeActual[#Headers],0))</calculatedColumnFormula>
    </tableColumn>
    <tableColumn id="5" name="Apr" totalsRowFunction="sum" dataDxfId="147" totalsRowDxfId="146">
      <calculatedColumnFormula>INDEX(EmployeePlan[],MATCH(INDEX(EmployeeVariances[],ROW()-ROW(EmployeeVariances[[#Headers],[Apr]]),1),INDEX(EmployeePlan[],,1),0),MATCH(EmployeeVariances[[#Headers],[Apr]],EmployeePlan[#Headers],0))-INDEX(EmployeeActual[],MATCH(INDEX(EmployeeVariances[],ROW()-ROW(EmployeeVariances[[#Headers],[Apr]]),1),INDEX(EmployeePlan[],,1),0),MATCH(EmployeeVariances[[#Headers],[Apr]],EmployeeActual[#Headers],0))</calculatedColumnFormula>
    </tableColumn>
    <tableColumn id="6" name="May" totalsRowFunction="sum" dataDxfId="145" totalsRowDxfId="144">
      <calculatedColumnFormula>INDEX(EmployeePlan[],MATCH(INDEX(EmployeeVariances[],ROW()-ROW(EmployeeVariances[[#Headers],[May]]),1),INDEX(EmployeePlan[],,1),0),MATCH(EmployeeVariances[[#Headers],[May]],EmployeePlan[#Headers],0))-INDEX(EmployeeActual[],MATCH(INDEX(EmployeeVariances[],ROW()-ROW(EmployeeVariances[[#Headers],[May]]),1),INDEX(EmployeePlan[],,1),0),MATCH(EmployeeVariances[[#Headers],[May]],EmployeeActual[#Headers],0))</calculatedColumnFormula>
    </tableColumn>
    <tableColumn id="7" name="Jun" totalsRowFunction="sum" dataDxfId="143" totalsRowDxfId="142">
      <calculatedColumnFormula>INDEX(EmployeePlan[],MATCH(INDEX(EmployeeVariances[],ROW()-ROW(EmployeeVariances[[#Headers],[Jun]]),1),INDEX(EmployeePlan[],,1),0),MATCH(EmployeeVariances[[#Headers],[Jun]],EmployeePlan[#Headers],0))-INDEX(EmployeeActual[],MATCH(INDEX(EmployeeVariances[],ROW()-ROW(EmployeeVariances[[#Headers],[Jun]]),1),INDEX(EmployeePlan[],,1),0),MATCH(EmployeeVariances[[#Headers],[Jun]],EmployeeActual[#Headers],0))</calculatedColumnFormula>
    </tableColumn>
    <tableColumn id="8" name="Jul" totalsRowFunction="sum" dataDxfId="141" totalsRowDxfId="140">
      <calculatedColumnFormula>INDEX(EmployeePlan[],MATCH(INDEX(EmployeeVariances[],ROW()-ROW(EmployeeVariances[[#Headers],[Jul]]),1),INDEX(EmployeePlan[],,1),0),MATCH(EmployeeVariances[[#Headers],[Jul]],EmployeePlan[#Headers],0))-INDEX(EmployeeActual[],MATCH(INDEX(EmployeeVariances[],ROW()-ROW(EmployeeVariances[[#Headers],[Jul]]),1),INDEX(EmployeePlan[],,1),0),MATCH(EmployeeVariances[[#Headers],[Jul]],EmployeeActual[#Headers],0))</calculatedColumnFormula>
    </tableColumn>
    <tableColumn id="9" name="Aug" totalsRowFunction="sum" dataDxfId="139" totalsRowDxfId="138">
      <calculatedColumnFormula>INDEX(EmployeePlan[],MATCH(INDEX(EmployeeVariances[],ROW()-ROW(EmployeeVariances[[#Headers],[Aug]]),1),INDEX(EmployeePlan[],,1),0),MATCH(EmployeeVariances[[#Headers],[Aug]],EmployeePlan[#Headers],0))-INDEX(EmployeeActual[],MATCH(INDEX(EmployeeVariances[],ROW()-ROW(EmployeeVariances[[#Headers],[Aug]]),1),INDEX(EmployeePlan[],,1),0),MATCH(EmployeeVariances[[#Headers],[Aug]],EmployeeActual[#Headers],0))</calculatedColumnFormula>
    </tableColumn>
    <tableColumn id="10" name="Sep" totalsRowFunction="sum" dataDxfId="137" totalsRowDxfId="136">
      <calculatedColumnFormula>INDEX(EmployeePlan[],MATCH(INDEX(EmployeeVariances[],ROW()-ROW(EmployeeVariances[[#Headers],[Sep]]),1),INDEX(EmployeePlan[],,1),0),MATCH(EmployeeVariances[[#Headers],[Sep]],EmployeePlan[#Headers],0))-INDEX(EmployeeActual[],MATCH(INDEX(EmployeeVariances[],ROW()-ROW(EmployeeVariances[[#Headers],[Sep]]),1),INDEX(EmployeePlan[],,1),0),MATCH(EmployeeVariances[[#Headers],[Sep]],EmployeeActual[#Headers],0))</calculatedColumnFormula>
    </tableColumn>
    <tableColumn id="11" name="Oct" totalsRowFunction="sum" dataDxfId="135" totalsRowDxfId="134">
      <calculatedColumnFormula>INDEX(EmployeePlan[],MATCH(INDEX(EmployeeVariances[],ROW()-ROW(EmployeeVariances[[#Headers],[Oct]]),1),INDEX(EmployeePlan[],,1),0),MATCH(EmployeeVariances[[#Headers],[Oct]],EmployeePlan[#Headers],0))-INDEX(EmployeeActual[],MATCH(INDEX(EmployeeVariances[],ROW()-ROW(EmployeeVariances[[#Headers],[Oct]]),1),INDEX(EmployeePlan[],,1),0),MATCH(EmployeeVariances[[#Headers],[Oct]],EmployeeActual[#Headers],0))</calculatedColumnFormula>
    </tableColumn>
    <tableColumn id="12" name="Nov" totalsRowFunction="sum" dataDxfId="133" totalsRowDxfId="132">
      <calculatedColumnFormula>INDEX(EmployeePlan[],MATCH(INDEX(EmployeeVariances[],ROW()-ROW(EmployeeVariances[[#Headers],[Nov]]),1),INDEX(EmployeePlan[],,1),0),MATCH(EmployeeVariances[[#Headers],[Nov]],EmployeePlan[#Headers],0))-INDEX(EmployeeActual[],MATCH(INDEX(EmployeeVariances[],ROW()-ROW(EmployeeVariances[[#Headers],[Nov]]),1),INDEX(EmployeePlan[],,1),0),MATCH(EmployeeVariances[[#Headers],[Nov]],EmployeeActual[#Headers],0))</calculatedColumnFormula>
    </tableColumn>
    <tableColumn id="13" name="Dec" totalsRowFunction="sum" dataDxfId="131" totalsRowDxfId="130">
      <calculatedColumnFormula>INDEX(EmployeePlan[],MATCH(INDEX(EmployeeVariances[],ROW()-ROW(EmployeeVariances[[#Headers],[Dec]]),1),INDEX(EmployeePlan[],,1),0),MATCH(EmployeeVariances[[#Headers],[Dec]],EmployeePlan[#Headers],0))-INDEX(EmployeeActual[],MATCH(INDEX(EmployeeVariances[],ROW()-ROW(EmployeeVariances[[#Headers],[Dec]]),1),INDEX(EmployeePlan[],,1),0),MATCH(EmployeeVariances[[#Headers],[Dec]],EmployeeActual[#Headers],0))</calculatedColumnFormula>
    </tableColumn>
    <tableColumn id="14" name="YEAR" totalsRowFunction="sum" dataDxfId="129" totalsRowDxfId="128">
      <calculatedColumnFormula>SUM(EmployeeVariances[[#This Row],[Jan]:[Dec]])</calculatedColumnFormula>
    </tableColumn>
  </tableColumns>
  <tableStyleInfo name="TableStyleLight8" showFirstColumn="1" showLastColumn="0" showRowStripes="0" showColumnStripes="0"/>
  <extLst>
    <ext xmlns:x14="http://schemas.microsoft.com/office/spreadsheetml/2009/9/main" uri="{504A1905-F514-4f6f-8877-14C23A59335A}">
      <x14:table altTextSummary="Variance in employee costs per month is auto calculated in this table"/>
    </ext>
  </extLst>
</table>
</file>

<file path=xl/tables/table12.xml><?xml version="1.0" encoding="utf-8"?>
<table xmlns="http://schemas.openxmlformats.org/spreadsheetml/2006/main" id="10" name="OfficeVariances" displayName="OfficeVariances" ref="B10:O19" totalsRowCount="1" headerRowDxfId="127" dataDxfId="125" totalsRowDxfId="123" headerRowBorderDxfId="126" tableBorderDxfId="124" totalsRowBorderDxfId="122" headerRowCellStyle="Heading 4">
  <autoFilter ref="B10:O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FFICE COSTS" totalsRowLabel="Subtotal" dataDxfId="121" totalsRowDxfId="120"/>
    <tableColumn id="2" name="Jan" totalsRowFunction="sum" dataDxfId="119" totalsRowDxfId="118">
      <calculatedColumnFormula>INDEX(OfficePlan[],MATCH(INDEX(OfficeVariances[],ROW()-ROW(OfficeVariances[[#Headers],[Jan]]),1),INDEX(OfficePlan[],,1),0),MATCH(OfficeVariances[[#Headers],[Jan]],OfficePlan[#Headers],0))-INDEX(OfficeActual[],MATCH(INDEX(OfficeVariances[],ROW()-ROW(OfficeVariances[[#Headers],[Jan]]),1),INDEX(OfficePlan[],,1),0),MATCH(OfficeVariances[[#Headers],[Jan]],OfficeActual[#Headers],0))</calculatedColumnFormula>
    </tableColumn>
    <tableColumn id="3" name="Feb" totalsRowFunction="sum" dataDxfId="117" totalsRowDxfId="116">
      <calculatedColumnFormula>INDEX(OfficePlan[],MATCH(INDEX(OfficeVariances[],ROW()-ROW(OfficeVariances[[#Headers],[Feb]]),1),INDEX(OfficePlan[],,1),0),MATCH(OfficeVariances[[#Headers],[Feb]],OfficePlan[#Headers],0))-INDEX(OfficeActual[],MATCH(INDEX(OfficeVariances[],ROW()-ROW(OfficeVariances[[#Headers],[Feb]]),1),INDEX(OfficePlan[],,1),0),MATCH(OfficeVariances[[#Headers],[Feb]],OfficeActual[#Headers],0))</calculatedColumnFormula>
    </tableColumn>
    <tableColumn id="4" name="Mar" totalsRowFunction="sum" dataDxfId="115" totalsRowDxfId="114">
      <calculatedColumnFormula>INDEX(OfficePlan[],MATCH(INDEX(OfficeVariances[],ROW()-ROW(OfficeVariances[[#Headers],[Mar]]),1),INDEX(OfficePlan[],,1),0),MATCH(OfficeVariances[[#Headers],[Mar]],OfficePlan[#Headers],0))-INDEX(OfficeActual[],MATCH(INDEX(OfficeVariances[],ROW()-ROW(OfficeVariances[[#Headers],[Mar]]),1),INDEX(OfficePlan[],,1),0),MATCH(OfficeVariances[[#Headers],[Mar]],OfficeActual[#Headers],0))</calculatedColumnFormula>
    </tableColumn>
    <tableColumn id="5" name="Apr" totalsRowFunction="sum" dataDxfId="113" totalsRowDxfId="112">
      <calculatedColumnFormula>INDEX(OfficePlan[],MATCH(INDEX(OfficeVariances[],ROW()-ROW(OfficeVariances[[#Headers],[Apr]]),1),INDEX(OfficePlan[],,1),0),MATCH(OfficeVariances[[#Headers],[Apr]],OfficePlan[#Headers],0))-INDEX(OfficeActual[],MATCH(INDEX(OfficeVariances[],ROW()-ROW(OfficeVariances[[#Headers],[Apr]]),1),INDEX(OfficePlan[],,1),0),MATCH(OfficeVariances[[#Headers],[Apr]],OfficeActual[#Headers],0))</calculatedColumnFormula>
    </tableColumn>
    <tableColumn id="6" name="May" totalsRowFunction="sum" dataDxfId="111" totalsRowDxfId="110">
      <calculatedColumnFormula>INDEX(OfficePlan[],MATCH(INDEX(OfficeVariances[],ROW()-ROW(OfficeVariances[[#Headers],[May]]),1),INDEX(OfficePlan[],,1),0),MATCH(OfficeVariances[[#Headers],[May]],OfficePlan[#Headers],0))-INDEX(OfficeActual[],MATCH(INDEX(OfficeVariances[],ROW()-ROW(OfficeVariances[[#Headers],[May]]),1),INDEX(OfficePlan[],,1),0),MATCH(OfficeVariances[[#Headers],[May]],OfficeActual[#Headers],0))</calculatedColumnFormula>
    </tableColumn>
    <tableColumn id="7" name="Jun" totalsRowFunction="sum" dataDxfId="109" totalsRowDxfId="108">
      <calculatedColumnFormula>INDEX(OfficePlan[],MATCH(INDEX(OfficeVariances[],ROW()-ROW(OfficeVariances[[#Headers],[Jun]]),1),INDEX(OfficePlan[],,1),0),MATCH(OfficeVariances[[#Headers],[Jun]],OfficePlan[#Headers],0))-INDEX(OfficeActual[],MATCH(INDEX(OfficeVariances[],ROW()-ROW(OfficeVariances[[#Headers],[Jun]]),1),INDEX(OfficePlan[],,1),0),MATCH(OfficeVariances[[#Headers],[Jun]],OfficeActual[#Headers],0))</calculatedColumnFormula>
    </tableColumn>
    <tableColumn id="8" name="Jul" totalsRowFunction="sum" dataDxfId="107" totalsRowDxfId="106">
      <calculatedColumnFormula>INDEX(OfficePlan[],MATCH(INDEX(OfficeVariances[],ROW()-ROW(OfficeVariances[[#Headers],[Jul]]),1),INDEX(OfficePlan[],,1),0),MATCH(OfficeVariances[[#Headers],[Jul]],OfficePlan[#Headers],0))-INDEX(OfficeActual[],MATCH(INDEX(OfficeVariances[],ROW()-ROW(OfficeVariances[[#Headers],[Jul]]),1),INDEX(OfficePlan[],,1),0),MATCH(OfficeVariances[[#Headers],[Jul]],OfficeActual[#Headers],0))</calculatedColumnFormula>
    </tableColumn>
    <tableColumn id="9" name="Aug" totalsRowFunction="sum" dataDxfId="105" totalsRowDxfId="104">
      <calculatedColumnFormula>INDEX(OfficePlan[],MATCH(INDEX(OfficeVariances[],ROW()-ROW(OfficeVariances[[#Headers],[Aug]]),1),INDEX(OfficePlan[],,1),0),MATCH(OfficeVariances[[#Headers],[Aug]],OfficePlan[#Headers],0))-INDEX(OfficeActual[],MATCH(INDEX(OfficeVariances[],ROW()-ROW(OfficeVariances[[#Headers],[Aug]]),1),INDEX(OfficePlan[],,1),0),MATCH(OfficeVariances[[#Headers],[Aug]],OfficeActual[#Headers],0))</calculatedColumnFormula>
    </tableColumn>
    <tableColumn id="10" name="Sep" totalsRowFunction="sum" dataDxfId="103" totalsRowDxfId="102">
      <calculatedColumnFormula>INDEX(OfficePlan[],MATCH(INDEX(OfficeVariances[],ROW()-ROW(OfficeVariances[[#Headers],[Sep]]),1),INDEX(OfficePlan[],,1),0),MATCH(OfficeVariances[[#Headers],[Sep]],OfficePlan[#Headers],0))-INDEX(OfficeActual[],MATCH(INDEX(OfficeVariances[],ROW()-ROW(OfficeVariances[[#Headers],[Sep]]),1),INDEX(OfficePlan[],,1),0),MATCH(OfficeVariances[[#Headers],[Sep]],OfficeActual[#Headers],0))</calculatedColumnFormula>
    </tableColumn>
    <tableColumn id="11" name="Oct" totalsRowFunction="sum" dataDxfId="101" totalsRowDxfId="100">
      <calculatedColumnFormula>INDEX(OfficePlan[],MATCH(INDEX(OfficeVariances[],ROW()-ROW(OfficeVariances[[#Headers],[Oct]]),1),INDEX(OfficePlan[],,1),0),MATCH(OfficeVariances[[#Headers],[Oct]],OfficePlan[#Headers],0))-INDEX(OfficeActual[],MATCH(INDEX(OfficeVariances[],ROW()-ROW(OfficeVariances[[#Headers],[Oct]]),1),INDEX(OfficePlan[],,1),0),MATCH(OfficeVariances[[#Headers],[Oct]],OfficeActual[#Headers],0))</calculatedColumnFormula>
    </tableColumn>
    <tableColumn id="12" name="Nov" totalsRowFunction="sum" dataDxfId="99" totalsRowDxfId="98">
      <calculatedColumnFormula>INDEX(OfficePlan[],MATCH(INDEX(OfficeVariances[],ROW()-ROW(OfficeVariances[[#Headers],[Nov]]),1),INDEX(OfficePlan[],,1),0),MATCH(OfficeVariances[[#Headers],[Nov]],OfficePlan[#Headers],0))-INDEX(OfficeActual[],MATCH(INDEX(OfficeVariances[],ROW()-ROW(OfficeVariances[[#Headers],[Nov]]),1),INDEX(OfficePlan[],,1),0),MATCH(OfficeVariances[[#Headers],[Nov]],OfficeActual[#Headers],0))</calculatedColumnFormula>
    </tableColumn>
    <tableColumn id="13" name="Dec" totalsRowFunction="sum" dataDxfId="97" totalsRowDxfId="96">
      <calculatedColumnFormula>INDEX(OfficePlan[],MATCH(INDEX(OfficeVariances[],ROW()-ROW(OfficeVariances[[#Headers],[Dec]]),1),INDEX(OfficePlan[],,1),0),MATCH(OfficeVariances[[#Headers],[Dec]],OfficePlan[#Headers],0))-INDEX(OfficeActual[],MATCH(INDEX(OfficeVariances[],ROW()-ROW(OfficeVariances[[#Headers],[Dec]]),1),INDEX(OfficePlan[],,1),0),MATCH(OfficeVariances[[#Headers],[Dec]],OfficeActual[#Headers],0))</calculatedColumnFormula>
    </tableColumn>
    <tableColumn id="14" name="YEAR" totalsRowFunction="sum" dataDxfId="95" totalsRowDxfId="94">
      <calculatedColumnFormula>SUM(OfficeVariances[[#This Row],[Jan]:[Dec]])</calculatedColumnFormula>
    </tableColumn>
  </tableColumns>
  <tableStyleInfo name="TableStyleLight8" showFirstColumn="1" showLastColumn="1" showRowStripes="0" showColumnStripes="0"/>
  <extLst>
    <ext xmlns:x14="http://schemas.microsoft.com/office/spreadsheetml/2009/9/main" uri="{504A1905-F514-4f6f-8877-14C23A59335A}">
      <x14:table altTextSummary="Variance in office costs per month is auto calculated in this table"/>
    </ext>
  </extLst>
</table>
</file>

<file path=xl/tables/table13.xml><?xml version="1.0" encoding="utf-8"?>
<table xmlns="http://schemas.openxmlformats.org/spreadsheetml/2006/main" id="11" name="MarketingVariances" displayName="MarketingVariances" ref="B21:O28" totalsRowCount="1" headerRowDxfId="93" dataDxfId="91" totalsRowDxfId="89" headerRowBorderDxfId="92" tableBorderDxfId="90" totalsRowBorderDxfId="88" headerRowCellStyle="Heading 4">
  <autoFilter ref="B21:O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MARKETING COSTS" totalsRowLabel="Subtotal" dataDxfId="87" totalsRowDxfId="86"/>
    <tableColumn id="2" name="Jan" totalsRowFunction="sum" dataDxfId="85" totalsRowDxfId="84">
      <calculatedColumnFormula>INDEX(MarketingPlan[],MATCH(INDEX(MarketingVariances[],ROW()-ROW(MarketingVariances[[#Headers],[Jan]]),1),INDEX(MarketingPlan[],,1),0),MATCH(MarketingVariances[[#Headers],[Jan]],MarketingPlan[#Headers],0))-INDEX(MarketingActual[],MATCH(INDEX(MarketingVariances[],ROW()-ROW(MarketingVariances[[#Headers],[Jan]]),1),INDEX(MarketingPlan[],,1),0),MATCH(MarketingVariances[[#Headers],[Jan]],MarketingActual[#Headers],0))</calculatedColumnFormula>
    </tableColumn>
    <tableColumn id="3" name="Feb" totalsRowFunction="sum" dataDxfId="83" totalsRowDxfId="82">
      <calculatedColumnFormula>INDEX(MarketingPlan[],MATCH(INDEX(MarketingVariances[],ROW()-ROW(MarketingVariances[[#Headers],[Feb]]),1),INDEX(MarketingPlan[],,1),0),MATCH(MarketingVariances[[#Headers],[Feb]],MarketingPlan[#Headers],0))-INDEX(MarketingActual[],MATCH(INDEX(MarketingVariances[],ROW()-ROW(MarketingVariances[[#Headers],[Feb]]),1),INDEX(MarketingPlan[],,1),0),MATCH(MarketingVariances[[#Headers],[Feb]],MarketingActual[#Headers],0))</calculatedColumnFormula>
    </tableColumn>
    <tableColumn id="4" name="Mar" totalsRowFunction="sum" dataDxfId="81" totalsRowDxfId="80">
      <calculatedColumnFormula>INDEX(MarketingPlan[],MATCH(INDEX(MarketingVariances[],ROW()-ROW(MarketingVariances[[#Headers],[Mar]]),1),INDEX(MarketingPlan[],,1),0),MATCH(MarketingVariances[[#Headers],[Mar]],MarketingPlan[#Headers],0))-INDEX(MarketingActual[],MATCH(INDEX(MarketingVariances[],ROW()-ROW(MarketingVariances[[#Headers],[Mar]]),1),INDEX(MarketingPlan[],,1),0),MATCH(MarketingVariances[[#Headers],[Mar]],MarketingActual[#Headers],0))</calculatedColumnFormula>
    </tableColumn>
    <tableColumn id="5" name="Apr" totalsRowFunction="sum" dataDxfId="79" totalsRowDxfId="78">
      <calculatedColumnFormula>INDEX(MarketingPlan[],MATCH(INDEX(MarketingVariances[],ROW()-ROW(MarketingVariances[[#Headers],[Apr]]),1),INDEX(MarketingPlan[],,1),0),MATCH(MarketingVariances[[#Headers],[Apr]],MarketingPlan[#Headers],0))-INDEX(MarketingActual[],MATCH(INDEX(MarketingVariances[],ROW()-ROW(MarketingVariances[[#Headers],[Apr]]),1),INDEX(MarketingPlan[],,1),0),MATCH(MarketingVariances[[#Headers],[Apr]],MarketingActual[#Headers],0))</calculatedColumnFormula>
    </tableColumn>
    <tableColumn id="6" name="May" totalsRowFunction="sum" dataDxfId="77" totalsRowDxfId="76">
      <calculatedColumnFormula>INDEX(MarketingPlan[],MATCH(INDEX(MarketingVariances[],ROW()-ROW(MarketingVariances[[#Headers],[May]]),1),INDEX(MarketingPlan[],,1),0),MATCH(MarketingVariances[[#Headers],[May]],MarketingPlan[#Headers],0))-INDEX(MarketingActual[],MATCH(INDEX(MarketingVariances[],ROW()-ROW(MarketingVariances[[#Headers],[May]]),1),INDEX(MarketingPlan[],,1),0),MATCH(MarketingVariances[[#Headers],[May]],MarketingActual[#Headers],0))</calculatedColumnFormula>
    </tableColumn>
    <tableColumn id="7" name="Jun" totalsRowFunction="sum" dataDxfId="75" totalsRowDxfId="74">
      <calculatedColumnFormula>INDEX(MarketingPlan[],MATCH(INDEX(MarketingVariances[],ROW()-ROW(MarketingVariances[[#Headers],[Jun]]),1),INDEX(MarketingPlan[],,1),0),MATCH(MarketingVariances[[#Headers],[Jun]],MarketingPlan[#Headers],0))-INDEX(MarketingActual[],MATCH(INDEX(MarketingVariances[],ROW()-ROW(MarketingVariances[[#Headers],[Jun]]),1),INDEX(MarketingPlan[],,1),0),MATCH(MarketingVariances[[#Headers],[Jun]],MarketingActual[#Headers],0))</calculatedColumnFormula>
    </tableColumn>
    <tableColumn id="8" name="Jul" totalsRowFunction="sum" dataDxfId="73" totalsRowDxfId="72">
      <calculatedColumnFormula>INDEX(MarketingPlan[],MATCH(INDEX(MarketingVariances[],ROW()-ROW(MarketingVariances[[#Headers],[Jul]]),1),INDEX(MarketingPlan[],,1),0),MATCH(MarketingVariances[[#Headers],[Jul]],MarketingPlan[#Headers],0))-INDEX(MarketingActual[],MATCH(INDEX(MarketingVariances[],ROW()-ROW(MarketingVariances[[#Headers],[Jul]]),1),INDEX(MarketingPlan[],,1),0),MATCH(MarketingVariances[[#Headers],[Jul]],MarketingActual[#Headers],0))</calculatedColumnFormula>
    </tableColumn>
    <tableColumn id="9" name="Aug" totalsRowFunction="sum" dataDxfId="71" totalsRowDxfId="70">
      <calculatedColumnFormula>INDEX(MarketingPlan[],MATCH(INDEX(MarketingVariances[],ROW()-ROW(MarketingVariances[[#Headers],[Aug]]),1),INDEX(MarketingPlan[],,1),0),MATCH(MarketingVariances[[#Headers],[Aug]],MarketingPlan[#Headers],0))-INDEX(MarketingActual[],MATCH(INDEX(MarketingVariances[],ROW()-ROW(MarketingVariances[[#Headers],[Aug]]),1),INDEX(MarketingPlan[],,1),0),MATCH(MarketingVariances[[#Headers],[Aug]],MarketingActual[#Headers],0))</calculatedColumnFormula>
    </tableColumn>
    <tableColumn id="10" name="Sep" totalsRowFunction="sum" dataDxfId="69" totalsRowDxfId="68">
      <calculatedColumnFormula>INDEX(MarketingPlan[],MATCH(INDEX(MarketingVariances[],ROW()-ROW(MarketingVariances[[#Headers],[Sep]]),1),INDEX(MarketingPlan[],,1),0),MATCH(MarketingVariances[[#Headers],[Sep]],MarketingPlan[#Headers],0))-INDEX(MarketingActual[],MATCH(INDEX(MarketingVariances[],ROW()-ROW(MarketingVariances[[#Headers],[Sep]]),1),INDEX(MarketingPlan[],,1),0),MATCH(MarketingVariances[[#Headers],[Sep]],MarketingActual[#Headers],0))</calculatedColumnFormula>
    </tableColumn>
    <tableColumn id="11" name="Oct" totalsRowFunction="sum" dataDxfId="67" totalsRowDxfId="66">
      <calculatedColumnFormula>INDEX(MarketingPlan[],MATCH(INDEX(MarketingVariances[],ROW()-ROW(MarketingVariances[[#Headers],[Oct]]),1),INDEX(MarketingPlan[],,1),0),MATCH(MarketingVariances[[#Headers],[Oct]],MarketingPlan[#Headers],0))-INDEX(MarketingActual[],MATCH(INDEX(MarketingVariances[],ROW()-ROW(MarketingVariances[[#Headers],[Oct]]),1),INDEX(MarketingPlan[],,1),0),MATCH(MarketingVariances[[#Headers],[Oct]],MarketingActual[#Headers],0))</calculatedColumnFormula>
    </tableColumn>
    <tableColumn id="12" name="Nov" totalsRowFunction="sum" dataDxfId="65" totalsRowDxfId="64">
      <calculatedColumnFormula>INDEX(MarketingPlan[],MATCH(INDEX(MarketingVariances[],ROW()-ROW(MarketingVariances[[#Headers],[Nov]]),1),INDEX(MarketingPlan[],,1),0),MATCH(MarketingVariances[[#Headers],[Nov]],MarketingPlan[#Headers],0))-INDEX(MarketingActual[],MATCH(INDEX(MarketingVariances[],ROW()-ROW(MarketingVariances[[#Headers],[Nov]]),1),INDEX(MarketingPlan[],,1),0),MATCH(MarketingVariances[[#Headers],[Nov]],MarketingActual[#Headers],0))</calculatedColumnFormula>
    </tableColumn>
    <tableColumn id="13" name="Dec" totalsRowFunction="sum" dataDxfId="63" totalsRowDxfId="62">
      <calculatedColumnFormula>INDEX(MarketingPlan[],MATCH(INDEX(MarketingVariances[],ROW()-ROW(MarketingVariances[[#Headers],[Dec]]),1),INDEX(MarketingPlan[],,1),0),MATCH(MarketingVariances[[#Headers],[Dec]],MarketingPlan[#Headers],0))-INDEX(MarketingActual[],MATCH(INDEX(MarketingVariances[],ROW()-ROW(MarketingVariances[[#Headers],[Dec]]),1),INDEX(MarketingPlan[],,1),0),MATCH(MarketingVariances[[#Headers],[Dec]],MarketingActual[#Headers],0))</calculatedColumnFormula>
    </tableColumn>
    <tableColumn id="14" name="YEAR" totalsRowFunction="sum" dataDxfId="61" totalsRowDxfId="60">
      <calculatedColumnFormula>SUM(MarketingVariances[[#This Row],[Jan]:[Dec]])</calculatedColumnFormula>
    </tableColumn>
  </tableColumns>
  <tableStyleInfo name="TableStyleLight8" showFirstColumn="1" showLastColumn="1" showRowStripes="0" showColumnStripes="0"/>
  <extLst>
    <ext xmlns:x14="http://schemas.microsoft.com/office/spreadsheetml/2009/9/main" uri="{504A1905-F514-4f6f-8877-14C23A59335A}">
      <x14:table altTextSummary="Variance in marketing costs per month is auto calculated in this table"/>
    </ext>
  </extLst>
</table>
</file>

<file path=xl/tables/table14.xml><?xml version="1.0" encoding="utf-8"?>
<table xmlns="http://schemas.openxmlformats.org/spreadsheetml/2006/main" id="12" name="TrainingAndTravelVariances" displayName="TrainingAndTravelVariances" ref="B30:O33" totalsRowCount="1" headerRowDxfId="59" dataDxfId="57" totalsRowDxfId="55" headerRowBorderDxfId="58" tableBorderDxfId="56" totalsRowBorderDxfId="54" headerRowCellStyle="Heading 4">
  <autoFilter ref="B30:O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RAINING/TRAVEL" totalsRowLabel="Subtotal" dataDxfId="53" totalsRowDxfId="52"/>
    <tableColumn id="2" name="Jan" totalsRowFunction="sum" dataDxfId="51" totalsRowDxfId="50">
      <calculatedColumnFormula>INDEX(TrainingAndTravelPlan[],MATCH(INDEX(TrainingAndTravelVariances[],ROW()-ROW(TrainingAndTravelVariances[[#Headers],[Jan]]),1),INDEX(TrainingAndTravelPlan[],,1),0),MATCH(TrainingAndTravelVariances[[#Headers],[Jan]],TrainingAndTravelPlan[#Headers],0))-INDEX(TrainingAndTravelActual[],MATCH(INDEX(TrainingAndTravelVariances[],ROW()-ROW(TrainingAndTravelVariances[[#Headers],[Jan]]),1),INDEX(TrainingAndTravelPlan[],,1),0),MATCH(TrainingAndTravelVariances[[#Headers],[Jan]],TrainingAndTravelActual[#Headers],0))</calculatedColumnFormula>
    </tableColumn>
    <tableColumn id="3" name="Feb" totalsRowFunction="sum" dataDxfId="49" totalsRowDxfId="48">
      <calculatedColumnFormula>INDEX(TrainingAndTravelPlan[],MATCH(INDEX(TrainingAndTravelVariances[],ROW()-ROW(TrainingAndTravelVariances[[#Headers],[Feb]]),1),INDEX(TrainingAndTravelPlan[],,1),0),MATCH(TrainingAndTravelVariances[[#Headers],[Feb]],TrainingAndTravelPlan[#Headers],0))-INDEX(TrainingAndTravelActual[],MATCH(INDEX(TrainingAndTravelVariances[],ROW()-ROW(TrainingAndTravelVariances[[#Headers],[Feb]]),1),INDEX(TrainingAndTravelPlan[],,1),0),MATCH(TrainingAndTravelVariances[[#Headers],[Feb]],TrainingAndTravelActual[#Headers],0))</calculatedColumnFormula>
    </tableColumn>
    <tableColumn id="4" name="Mar" totalsRowFunction="sum" dataDxfId="47" totalsRowDxfId="46">
      <calculatedColumnFormula>INDEX(TrainingAndTravelPlan[],MATCH(INDEX(TrainingAndTravelVariances[],ROW()-ROW(TrainingAndTravelVariances[[#Headers],[Mar]]),1),INDEX(TrainingAndTravelPlan[],,1),0),MATCH(TrainingAndTravelVariances[[#Headers],[Mar]],TrainingAndTravelPlan[#Headers],0))-INDEX(TrainingAndTravelActual[],MATCH(INDEX(TrainingAndTravelVariances[],ROW()-ROW(TrainingAndTravelVariances[[#Headers],[Mar]]),1),INDEX(TrainingAndTravelPlan[],,1),0),MATCH(TrainingAndTravelVariances[[#Headers],[Mar]],TrainingAndTravelActual[#Headers],0))</calculatedColumnFormula>
    </tableColumn>
    <tableColumn id="5" name="Apr" totalsRowFunction="sum" dataDxfId="45" totalsRowDxfId="44">
      <calculatedColumnFormula>INDEX(TrainingAndTravelPlan[],MATCH(INDEX(TrainingAndTravelVariances[],ROW()-ROW(TrainingAndTravelVariances[[#Headers],[Apr]]),1),INDEX(TrainingAndTravelPlan[],,1),0),MATCH(TrainingAndTravelVariances[[#Headers],[Apr]],TrainingAndTravelPlan[#Headers],0))-INDEX(TrainingAndTravelActual[],MATCH(INDEX(TrainingAndTravelVariances[],ROW()-ROW(TrainingAndTravelVariances[[#Headers],[Apr]]),1),INDEX(TrainingAndTravelPlan[],,1),0),MATCH(TrainingAndTravelVariances[[#Headers],[Apr]],TrainingAndTravelActual[#Headers],0))</calculatedColumnFormula>
    </tableColumn>
    <tableColumn id="6" name="May" totalsRowFunction="sum" dataDxfId="43" totalsRowDxfId="42">
      <calculatedColumnFormula>INDEX(TrainingAndTravelPlan[],MATCH(INDEX(TrainingAndTravelVariances[],ROW()-ROW(TrainingAndTravelVariances[[#Headers],[May]]),1),INDEX(TrainingAndTravelPlan[],,1),0),MATCH(TrainingAndTravelVariances[[#Headers],[May]],TrainingAndTravelPlan[#Headers],0))-INDEX(TrainingAndTravelActual[],MATCH(INDEX(TrainingAndTravelVariances[],ROW()-ROW(TrainingAndTravelVariances[[#Headers],[May]]),1),INDEX(TrainingAndTravelPlan[],,1),0),MATCH(TrainingAndTravelVariances[[#Headers],[May]],TrainingAndTravelActual[#Headers],0))</calculatedColumnFormula>
    </tableColumn>
    <tableColumn id="7" name="Jun" totalsRowFunction="sum" dataDxfId="41" totalsRowDxfId="40">
      <calculatedColumnFormula>INDEX(TrainingAndTravelPlan[],MATCH(INDEX(TrainingAndTravelVariances[],ROW()-ROW(TrainingAndTravelVariances[[#Headers],[Jun]]),1),INDEX(TrainingAndTravelPlan[],,1),0),MATCH(TrainingAndTravelVariances[[#Headers],[Jun]],TrainingAndTravelPlan[#Headers],0))-INDEX(TrainingAndTravelActual[],MATCH(INDEX(TrainingAndTravelVariances[],ROW()-ROW(TrainingAndTravelVariances[[#Headers],[Jun]]),1),INDEX(TrainingAndTravelPlan[],,1),0),MATCH(TrainingAndTravelVariances[[#Headers],[Jun]],TrainingAndTravelActual[#Headers],0))</calculatedColumnFormula>
    </tableColumn>
    <tableColumn id="8" name="Jul" totalsRowFunction="sum" dataDxfId="39" totalsRowDxfId="38">
      <calculatedColumnFormula>INDEX(TrainingAndTravelPlan[],MATCH(INDEX(TrainingAndTravelVariances[],ROW()-ROW(TrainingAndTravelVariances[[#Headers],[Jul]]),1),INDEX(TrainingAndTravelPlan[],,1),0),MATCH(TrainingAndTravelVariances[[#Headers],[Jul]],TrainingAndTravelPlan[#Headers],0))-INDEX(TrainingAndTravelActual[],MATCH(INDEX(TrainingAndTravelVariances[],ROW()-ROW(TrainingAndTravelVariances[[#Headers],[Jul]]),1),INDEX(TrainingAndTravelPlan[],,1),0),MATCH(TrainingAndTravelVariances[[#Headers],[Jul]],TrainingAndTravelActual[#Headers],0))</calculatedColumnFormula>
    </tableColumn>
    <tableColumn id="9" name="Aug" totalsRowFunction="sum" dataDxfId="37" totalsRowDxfId="36">
      <calculatedColumnFormula>INDEX(TrainingAndTravelPlan[],MATCH(INDEX(TrainingAndTravelVariances[],ROW()-ROW(TrainingAndTravelVariances[[#Headers],[Aug]]),1),INDEX(TrainingAndTravelPlan[],,1),0),MATCH(TrainingAndTravelVariances[[#Headers],[Aug]],TrainingAndTravelPlan[#Headers],0))-INDEX(TrainingAndTravelActual[],MATCH(INDEX(TrainingAndTravelVariances[],ROW()-ROW(TrainingAndTravelVariances[[#Headers],[Aug]]),1),INDEX(TrainingAndTravelPlan[],,1),0),MATCH(TrainingAndTravelVariances[[#Headers],[Aug]],TrainingAndTravelActual[#Headers],0))</calculatedColumnFormula>
    </tableColumn>
    <tableColumn id="10" name="Sep" totalsRowFunction="sum" dataDxfId="35" totalsRowDxfId="34">
      <calculatedColumnFormula>INDEX(TrainingAndTravelPlan[],MATCH(INDEX(TrainingAndTravelVariances[],ROW()-ROW(TrainingAndTravelVariances[[#Headers],[Sep]]),1),INDEX(TrainingAndTravelPlan[],,1),0),MATCH(TrainingAndTravelVariances[[#Headers],[Sep]],TrainingAndTravelPlan[#Headers],0))-INDEX(TrainingAndTravelActual[],MATCH(INDEX(TrainingAndTravelVariances[],ROW()-ROW(TrainingAndTravelVariances[[#Headers],[Sep]]),1),INDEX(TrainingAndTravelPlan[],,1),0),MATCH(TrainingAndTravelVariances[[#Headers],[Sep]],TrainingAndTravelActual[#Headers],0))</calculatedColumnFormula>
    </tableColumn>
    <tableColumn id="11" name="Oct" totalsRowFunction="sum" dataDxfId="33" totalsRowDxfId="32">
      <calculatedColumnFormula>INDEX(TrainingAndTravelPlan[],MATCH(INDEX(TrainingAndTravelVariances[],ROW()-ROW(TrainingAndTravelVariances[[#Headers],[Oct]]),1),INDEX(TrainingAndTravelPlan[],,1),0),MATCH(TrainingAndTravelVariances[[#Headers],[Oct]],TrainingAndTravelPlan[#Headers],0))-INDEX(TrainingAndTravelActual[],MATCH(INDEX(TrainingAndTravelVariances[],ROW()-ROW(TrainingAndTravelVariances[[#Headers],[Oct]]),1),INDEX(TrainingAndTravelPlan[],,1),0),MATCH(TrainingAndTravelVariances[[#Headers],[Oct]],TrainingAndTravelActual[#Headers],0))</calculatedColumnFormula>
    </tableColumn>
    <tableColumn id="12" name="Nov" totalsRowFunction="sum" dataDxfId="31" totalsRowDxfId="30">
      <calculatedColumnFormula>INDEX(TrainingAndTravelPlan[],MATCH(INDEX(TrainingAndTravelVariances[],ROW()-ROW(TrainingAndTravelVariances[[#Headers],[Nov]]),1),INDEX(TrainingAndTravelPlan[],,1),0),MATCH(TrainingAndTravelVariances[[#Headers],[Nov]],TrainingAndTravelPlan[#Headers],0))-INDEX(TrainingAndTravelActual[],MATCH(INDEX(TrainingAndTravelVariances[],ROW()-ROW(TrainingAndTravelVariances[[#Headers],[Nov]]),1),INDEX(TrainingAndTravelPlan[],,1),0),MATCH(TrainingAndTravelVariances[[#Headers],[Nov]],TrainingAndTravelActual[#Headers],0))</calculatedColumnFormula>
    </tableColumn>
    <tableColumn id="13" name="Dec" totalsRowFunction="sum" dataDxfId="29" totalsRowDxfId="28">
      <calculatedColumnFormula>INDEX(TrainingAndTravelPlan[],MATCH(INDEX(TrainingAndTravelVariances[],ROW()-ROW(TrainingAndTravelVariances[[#Headers],[Dec]]),1),INDEX(TrainingAndTravelPlan[],,1),0),MATCH(TrainingAndTravelVariances[[#Headers],[Dec]],TrainingAndTravelPlan[#Headers],0))-INDEX(TrainingAndTravelActual[],MATCH(INDEX(TrainingAndTravelVariances[],ROW()-ROW(TrainingAndTravelVariances[[#Headers],[Dec]]),1),INDEX(TrainingAndTravelPlan[],,1),0),MATCH(TrainingAndTravelVariances[[#Headers],[Dec]],TrainingAndTravelActual[#Headers],0))</calculatedColumnFormula>
    </tableColumn>
    <tableColumn id="14" name="YEAR" totalsRowFunction="sum" dataDxfId="27" totalsRowDxfId="26">
      <calculatedColumnFormula>SUM(TrainingAndTravelVariances[[#This Row],[Jan]:[Dec]])</calculatedColumnFormula>
    </tableColumn>
  </tableColumns>
  <tableStyleInfo name="TableStyleLight8" showFirstColumn="1" showLastColumn="1" showRowStripes="0" showColumnStripes="0"/>
  <extLst>
    <ext xmlns:x14="http://schemas.microsoft.com/office/spreadsheetml/2009/9/main" uri="{504A1905-F514-4f6f-8877-14C23A59335A}">
      <x14:table altTextSummary="Variance in training and travel costs per month is auto calculated in this table"/>
    </ext>
  </extLst>
</table>
</file>

<file path=xl/tables/table15.xml><?xml version="1.0" encoding="utf-8"?>
<table xmlns="http://schemas.openxmlformats.org/spreadsheetml/2006/main" id="16" name="TotalVariances" displayName="TotalVariances" ref="B35:O37" totalsRowShown="0" headerRowDxfId="25" dataDxfId="23" headerRowBorderDxfId="24" tableBorderDxfId="22" headerRowCellStyle="Heading 3">
  <autoFilter ref="B35:O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OTALS" dataDxfId="21"/>
    <tableColumn id="2" name="Jan" dataDxfId="20">
      <calculatedColumnFormula>SUM($C35:C$36)</calculatedColumnFormula>
    </tableColumn>
    <tableColumn id="3" name="Feb" dataDxfId="19">
      <calculatedColumnFormula>SUM($C35:D$36)</calculatedColumnFormula>
    </tableColumn>
    <tableColumn id="4" name="Mar" dataDxfId="18">
      <calculatedColumnFormula>SUM($C35:E$36)</calculatedColumnFormula>
    </tableColumn>
    <tableColumn id="5" name="Apr" dataDxfId="17">
      <calculatedColumnFormula>SUM($C35:F$36)</calculatedColumnFormula>
    </tableColumn>
    <tableColumn id="6" name="May" dataDxfId="16">
      <calculatedColumnFormula>SUM($C35:G$36)</calculatedColumnFormula>
    </tableColumn>
    <tableColumn id="7" name="Jun" dataDxfId="15">
      <calculatedColumnFormula>SUM($C35:H$36)</calculatedColumnFormula>
    </tableColumn>
    <tableColumn id="8" name="Jul" dataDxfId="14">
      <calculatedColumnFormula>SUM($C35:I$36)</calculatedColumnFormula>
    </tableColumn>
    <tableColumn id="9" name="Aug" dataDxfId="13">
      <calculatedColumnFormula>SUM($C35:J$36)</calculatedColumnFormula>
    </tableColumn>
    <tableColumn id="10" name="Sep" dataDxfId="12">
      <calculatedColumnFormula>SUM($C35:K$36)</calculatedColumnFormula>
    </tableColumn>
    <tableColumn id="11" name="Oct" dataDxfId="11">
      <calculatedColumnFormula>SUM($C35:L$36)</calculatedColumnFormula>
    </tableColumn>
    <tableColumn id="12" name="Nov" dataDxfId="10">
      <calculatedColumnFormula>SUM($C35:M$36)</calculatedColumnFormula>
    </tableColumn>
    <tableColumn id="13" name="Dec" dataDxfId="9">
      <calculatedColumnFormula>SUM($C35:N$36)</calculatedColumnFormula>
    </tableColumn>
    <tableColumn id="14" name="Year" dataDxfId="8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Monthly and Total Expense Variance are auto calculated in this table"/>
    </ext>
  </extLst>
</table>
</file>

<file path=xl/tables/table16.xml><?xml version="1.0" encoding="utf-8"?>
<table xmlns="http://schemas.openxmlformats.org/spreadsheetml/2006/main" id="13" name="Analysis" displayName="Analysis" ref="B4:F9" totalsRowShown="0" headerRowDxfId="7" dataDxfId="6" tableBorderDxfId="5">
  <autoFilter ref="B4:F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EXPENSES CATEGORY" dataDxfId="4"/>
    <tableColumn id="2" name="PLANNED EXPENSES" dataDxfId="3"/>
    <tableColumn id="3" name="ACTUAL EXPENSES" dataDxfId="2"/>
    <tableColumn id="4" name="EXPENSES VARIANCES" dataDxfId="1">
      <calculatedColumnFormula>C5-D5</calculatedColumnFormula>
    </tableColumn>
    <tableColumn id="5" name="VARIANCE PERCENTAGE" dataDxfId="0">
      <calculatedColumnFormula>E5/C5</calculatedColumnFormula>
    </tableColumn>
  </tableColumns>
  <tableStyleInfo showFirstColumn="1" showLastColumn="0" showRowStripes="0" showColumnStripes="0"/>
</table>
</file>

<file path=xl/tables/table2.xml><?xml version="1.0" encoding="utf-8"?>
<table xmlns="http://schemas.openxmlformats.org/spreadsheetml/2006/main" id="2" name="MarketingPlan" displayName="MarketingPlan" ref="B21:O28" totalsRowCount="1" headerRowDxfId="399" dataDxfId="397" totalsRowDxfId="395" headerRowBorderDxfId="398" tableBorderDxfId="396">
  <autoFilter ref="B21:O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MARKETING COSTS" totalsRowLabel="Subtotal" totalsRowDxfId="394"/>
    <tableColumn id="2" name="Jan" totalsRowFunction="sum" totalsRowDxfId="393"/>
    <tableColumn id="3" name="Feb" totalsRowFunction="sum" dataDxfId="392" totalsRowDxfId="391"/>
    <tableColumn id="4" name="Mar" totalsRowFunction="sum" dataDxfId="390" totalsRowDxfId="389"/>
    <tableColumn id="5" name="Apr" totalsRowFunction="sum" dataDxfId="388" totalsRowDxfId="387"/>
    <tableColumn id="6" name="May" totalsRowFunction="sum" dataDxfId="386" totalsRowDxfId="385"/>
    <tableColumn id="7" name="Jun" totalsRowFunction="sum" dataDxfId="384" totalsRowDxfId="383"/>
    <tableColumn id="8" name="Jul" totalsRowFunction="sum" dataDxfId="382" totalsRowDxfId="381"/>
    <tableColumn id="9" name="Aug" totalsRowFunction="sum" dataDxfId="380" totalsRowDxfId="379"/>
    <tableColumn id="10" name="Sep" totalsRowFunction="sum" dataDxfId="378" totalsRowDxfId="377"/>
    <tableColumn id="11" name="Oct" totalsRowFunction="sum" dataDxfId="376" totalsRowDxfId="375"/>
    <tableColumn id="12" name="Nov" totalsRowFunction="sum" dataDxfId="374" totalsRowDxfId="373"/>
    <tableColumn id="13" name="Dec" totalsRowFunction="sum" dataDxfId="372" totalsRowDxfId="371"/>
    <tableColumn id="14" name="YEAR" totalsRowFunction="sum" dataDxfId="370" totalsRowDxfId="369">
      <calculatedColumnFormula>SUM(C22:N22)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Enter planned monthly marketing costs in this table. Total is auto calculated at the end"/>
    </ext>
  </extLst>
</table>
</file>

<file path=xl/tables/table3.xml><?xml version="1.0" encoding="utf-8"?>
<table xmlns="http://schemas.openxmlformats.org/spreadsheetml/2006/main" id="3" name="TrainingAndTravelPlan" displayName="TrainingAndTravelPlan" ref="B30:O33" totalsRowCount="1" headerRowDxfId="368" dataDxfId="366" totalsRowDxfId="365" headerRowBorderDxfId="367" headerRowCellStyle="Heading 4">
  <autoFilter ref="B30:O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RAINING/TRAVEL" totalsRowLabel="Subtotal" dataDxfId="364" totalsRowDxfId="363"/>
    <tableColumn id="2" name="Jan" totalsRowFunction="sum" dataDxfId="362" totalsRowDxfId="361"/>
    <tableColumn id="3" name="Feb" totalsRowFunction="sum" dataDxfId="360" totalsRowDxfId="359"/>
    <tableColumn id="4" name="Mar" totalsRowFunction="sum" dataDxfId="358" totalsRowDxfId="357"/>
    <tableColumn id="5" name="Apr" totalsRowFunction="sum" dataDxfId="356" totalsRowDxfId="355"/>
    <tableColumn id="6" name="May" totalsRowFunction="sum" dataDxfId="354" totalsRowDxfId="353"/>
    <tableColumn id="7" name="Jun" totalsRowFunction="sum" dataDxfId="352" totalsRowDxfId="351"/>
    <tableColumn id="8" name="Jul" totalsRowFunction="sum" dataDxfId="350" totalsRowDxfId="349"/>
    <tableColumn id="9" name="Aug" totalsRowFunction="sum" dataDxfId="348" totalsRowDxfId="347"/>
    <tableColumn id="10" name="Sep" totalsRowFunction="sum" dataDxfId="346" totalsRowDxfId="345"/>
    <tableColumn id="11" name="Oct" totalsRowFunction="sum" dataDxfId="344" totalsRowDxfId="343"/>
    <tableColumn id="12" name="Nov" totalsRowFunction="sum" dataDxfId="342" totalsRowDxfId="341"/>
    <tableColumn id="13" name="Dec" totalsRowFunction="sum" dataDxfId="340" totalsRowDxfId="339"/>
    <tableColumn id="14" name="YEAR" totalsRowFunction="sum" dataDxfId="338" totalsRowDxfId="337">
      <calculatedColumnFormula>SUM(C31:N31)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Enter planned monthly training and traveling costs in this table. Total is auto calculated at the end"/>
    </ext>
  </extLst>
</table>
</file>

<file path=xl/tables/table4.xml><?xml version="1.0" encoding="utf-8"?>
<table xmlns="http://schemas.openxmlformats.org/spreadsheetml/2006/main" id="7" name="EmployeePlan" displayName="EmployeePlan" ref="B5:O8" totalsRowCount="1" headerRowDxfId="336" dataDxfId="334" totalsRowDxfId="332" headerRowBorderDxfId="335" tableBorderDxfId="333">
  <autoFilter ref="B5:O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EMPLOYEE COSTS" totalsRowLabel="Subtotal" dataDxfId="331" totalsRowDxfId="330"/>
    <tableColumn id="2" name="Jan" totalsRowFunction="sum" dataDxfId="329" totalsRowDxfId="328">
      <calculatedColumnFormula>C5*0.27</calculatedColumnFormula>
    </tableColumn>
    <tableColumn id="3" name="Feb" totalsRowFunction="sum" dataDxfId="327" totalsRowDxfId="326">
      <calculatedColumnFormula>D5*0.27</calculatedColumnFormula>
    </tableColumn>
    <tableColumn id="4" name="Mar" totalsRowFunction="sum" dataDxfId="325" totalsRowDxfId="324">
      <calculatedColumnFormula>E5*0.27</calculatedColumnFormula>
    </tableColumn>
    <tableColumn id="5" name="Apr" totalsRowFunction="sum" dataDxfId="323" totalsRowDxfId="322">
      <calculatedColumnFormula>F5*0.27</calculatedColumnFormula>
    </tableColumn>
    <tableColumn id="6" name="May" totalsRowFunction="sum" dataDxfId="321" totalsRowDxfId="320">
      <calculatedColumnFormula>G5*0.27</calculatedColumnFormula>
    </tableColumn>
    <tableColumn id="7" name="Jun" totalsRowFunction="sum" dataDxfId="319" totalsRowDxfId="318">
      <calculatedColumnFormula>H5*0.27</calculatedColumnFormula>
    </tableColumn>
    <tableColumn id="8" name="Jul" totalsRowFunction="sum" dataDxfId="317" totalsRowDxfId="316">
      <calculatedColumnFormula>I5*0.27</calculatedColumnFormula>
    </tableColumn>
    <tableColumn id="9" name="Aug" totalsRowFunction="sum" dataDxfId="315" totalsRowDxfId="314">
      <calculatedColumnFormula>J5*0.27</calculatedColumnFormula>
    </tableColumn>
    <tableColumn id="10" name="Sep" totalsRowFunction="sum" dataDxfId="313" totalsRowDxfId="312">
      <calculatedColumnFormula>K5*0.27</calculatedColumnFormula>
    </tableColumn>
    <tableColumn id="11" name="Oct" totalsRowFunction="sum" dataDxfId="311" totalsRowDxfId="310">
      <calculatedColumnFormula>L5*0.27</calculatedColumnFormula>
    </tableColumn>
    <tableColumn id="12" name="Nov" totalsRowFunction="sum" dataDxfId="309" totalsRowDxfId="308">
      <calculatedColumnFormula>M5*0.27</calculatedColumnFormula>
    </tableColumn>
    <tableColumn id="13" name="Dec" totalsRowFunction="sum" dataDxfId="307" totalsRowDxfId="306">
      <calculatedColumnFormula>N5*0.27</calculatedColumnFormula>
    </tableColumn>
    <tableColumn id="14" name="YEAR" totalsRowFunction="sum" dataDxfId="305" totalsRowDxfId="304">
      <calculatedColumnFormula>SUM(C6:N6)</calculatedColumnFormula>
    </tableColumn>
  </tableColumns>
  <tableStyleInfo name="TableStyleMedium1" showFirstColumn="1" showLastColumn="1" showRowStripes="1" showColumnStripes="0"/>
  <extLst>
    <ext xmlns:x14="http://schemas.microsoft.com/office/spreadsheetml/2009/9/main" uri="{504A1905-F514-4f6f-8877-14C23A59335A}">
      <x14:table altTextSummary="Enter planned monthly employee costs in this table. Total is auto calculated at the end"/>
    </ext>
  </extLst>
</table>
</file>

<file path=xl/tables/table5.xml><?xml version="1.0" encoding="utf-8"?>
<table xmlns="http://schemas.openxmlformats.org/spreadsheetml/2006/main" id="14" name="PlannedTotal" displayName="PlannedTotal" ref="B35:O37" totalsRowShown="0" headerRowDxfId="303" dataDxfId="301" headerRowBorderDxfId="302" headerRowCellStyle="Heading 3">
  <autoFilter ref="B35:O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OTAL PLANNED EXPENSES" dataDxfId="300"/>
    <tableColumn id="2" name="Jan" dataDxfId="299">
      <calculatedColumnFormula>SUM($C35:C$36)</calculatedColumnFormula>
    </tableColumn>
    <tableColumn id="3" name="Feb" dataDxfId="298">
      <calculatedColumnFormula>SUM($C35:D$36)</calculatedColumnFormula>
    </tableColumn>
    <tableColumn id="4" name="Mar" dataDxfId="297">
      <calculatedColumnFormula>SUM($C35:E$36)</calculatedColumnFormula>
    </tableColumn>
    <tableColumn id="5" name="Apr" dataDxfId="296">
      <calculatedColumnFormula>SUM($C35:F$36)</calculatedColumnFormula>
    </tableColumn>
    <tableColumn id="6" name="May" dataDxfId="295">
      <calculatedColumnFormula>SUM($C35:G$36)</calculatedColumnFormula>
    </tableColumn>
    <tableColumn id="7" name="Jun" dataDxfId="294">
      <calculatedColumnFormula>SUM($C35:H$36)</calculatedColumnFormula>
    </tableColumn>
    <tableColumn id="8" name="Jul" dataDxfId="293">
      <calculatedColumnFormula>SUM($C35:I$36)</calculatedColumnFormula>
    </tableColumn>
    <tableColumn id="9" name="Aug" dataDxfId="292">
      <calculatedColumnFormula>SUM($C35:J$36)</calculatedColumnFormula>
    </tableColumn>
    <tableColumn id="10" name="Sep" dataDxfId="291">
      <calculatedColumnFormula>SUM($C35:K$36)</calculatedColumnFormula>
    </tableColumn>
    <tableColumn id="11" name="Oct" dataDxfId="290">
      <calculatedColumnFormula>SUM($C35:L$36)</calculatedColumnFormula>
    </tableColumn>
    <tableColumn id="12" name="Nov" dataDxfId="289">
      <calculatedColumnFormula>SUM($C35:M$36)</calculatedColumnFormula>
    </tableColumn>
    <tableColumn id="13" name="Dec" dataDxfId="288">
      <calculatedColumnFormula>SUM($C35:N$36)</calculatedColumnFormula>
    </tableColumn>
    <tableColumn id="14" name="Year" dataDxfId="287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Monthly and Total Planned Expenses are auto calculated in this table"/>
    </ext>
  </extLst>
</table>
</file>

<file path=xl/tables/table6.xml><?xml version="1.0" encoding="utf-8"?>
<table xmlns="http://schemas.openxmlformats.org/spreadsheetml/2006/main" id="4" name="OfficeActual" displayName="OfficeActual" ref="B10:O19" totalsRowCount="1" headerRowDxfId="286" dataDxfId="284" totalsRowDxfId="282" headerRowBorderDxfId="285" tableBorderDxfId="283" totalsRowBorderDxfId="281" headerRowCellStyle="Heading 4">
  <autoFilter ref="B10:O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FFICE COSTS" totalsRowLabel="Subtotal" dataDxfId="280" totalsRowDxfId="279"/>
    <tableColumn id="2" name="Jan" totalsRowFunction="sum" dataDxfId="278" totalsRowDxfId="277"/>
    <tableColumn id="3" name="Feb" totalsRowFunction="sum" dataDxfId="276" totalsRowDxfId="275"/>
    <tableColumn id="4" name="Mar" totalsRowFunction="sum" dataDxfId="274" totalsRowDxfId="273"/>
    <tableColumn id="5" name="Apr" totalsRowFunction="sum" dataDxfId="272" totalsRowDxfId="271"/>
    <tableColumn id="6" name="May" totalsRowFunction="sum" dataDxfId="270" totalsRowDxfId="269"/>
    <tableColumn id="7" name="Jun" totalsRowFunction="sum" dataDxfId="268" totalsRowDxfId="267"/>
    <tableColumn id="8" name="Jul" totalsRowFunction="sum" dataDxfId="266" totalsRowDxfId="265"/>
    <tableColumn id="9" name="Aug" totalsRowFunction="sum" dataDxfId="264" totalsRowDxfId="263"/>
    <tableColumn id="10" name="Sep" totalsRowFunction="sum" dataDxfId="262" totalsRowDxfId="261"/>
    <tableColumn id="11" name="Oct" totalsRowFunction="sum" dataDxfId="260" totalsRowDxfId="259"/>
    <tableColumn id="12" name="Nov" totalsRowFunction="sum" dataDxfId="258" totalsRowDxfId="257"/>
    <tableColumn id="13" name="Dec" totalsRowFunction="sum" dataDxfId="256" totalsRowDxfId="255"/>
    <tableColumn id="14" name="YEAR" totalsRowFunction="sum" dataDxfId="254" totalsRowDxfId="253">
      <calculatedColumnFormula>SUM(C11:N11)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Enter actual monthly office costs in this table. Total is auto calculated at the end"/>
    </ext>
  </extLst>
</table>
</file>

<file path=xl/tables/table7.xml><?xml version="1.0" encoding="utf-8"?>
<table xmlns="http://schemas.openxmlformats.org/spreadsheetml/2006/main" id="5" name="MarketingActual" displayName="MarketingActual" ref="B21:O28" totalsRowCount="1" headerRowDxfId="252" dataDxfId="250" totalsRowDxfId="248" headerRowBorderDxfId="251" tableBorderDxfId="249" totalsRowBorderDxfId="247" headerRowCellStyle="Heading 4">
  <autoFilter ref="B21:O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MARKETING COSTS" totalsRowLabel="Subtotal" dataDxfId="246"/>
    <tableColumn id="2" name="Jan" totalsRowFunction="sum" dataDxfId="245"/>
    <tableColumn id="3" name="Feb" totalsRowFunction="sum" dataDxfId="244"/>
    <tableColumn id="4" name="Mar" totalsRowFunction="sum" dataDxfId="243"/>
    <tableColumn id="5" name="Apr" totalsRowFunction="sum" dataDxfId="242"/>
    <tableColumn id="6" name="May" totalsRowFunction="sum" dataDxfId="241"/>
    <tableColumn id="7" name="Jun" totalsRowFunction="sum" dataDxfId="240"/>
    <tableColumn id="8" name="Jul" totalsRowFunction="sum" dataDxfId="239"/>
    <tableColumn id="9" name="Aug" totalsRowFunction="sum" dataDxfId="238"/>
    <tableColumn id="10" name="Sep" totalsRowFunction="sum" dataDxfId="237"/>
    <tableColumn id="11" name="Oct" totalsRowFunction="sum" dataDxfId="236"/>
    <tableColumn id="12" name="Nov" totalsRowFunction="sum" dataDxfId="235"/>
    <tableColumn id="13" name="Dec" totalsRowFunction="sum" dataDxfId="234"/>
    <tableColumn id="14" name="YEAR" totalsRowFunction="sum" dataDxfId="233">
      <calculatedColumnFormula>SUM(C22:N22)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Enter actual monthly marketing costs in this table. Total is auto calculated at the end"/>
    </ext>
  </extLst>
</table>
</file>

<file path=xl/tables/table8.xml><?xml version="1.0" encoding="utf-8"?>
<table xmlns="http://schemas.openxmlformats.org/spreadsheetml/2006/main" id="6" name="TrainingAndTravelActual" displayName="TrainingAndTravelActual" ref="B30:O33" totalsRowCount="1" headerRowDxfId="232" dataDxfId="230" totalsRowDxfId="228" headerRowBorderDxfId="231" tableBorderDxfId="229" totalsRowBorderDxfId="227" headerRowCellStyle="Heading 4">
  <autoFilter ref="B30:O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RAINING COSTS" totalsRowLabel="Subtotal" dataDxfId="226"/>
    <tableColumn id="2" name="Jan" totalsRowFunction="sum" dataDxfId="225"/>
    <tableColumn id="3" name="Feb" totalsRowFunction="sum" dataDxfId="224"/>
    <tableColumn id="4" name="Mar" totalsRowFunction="sum" dataDxfId="223"/>
    <tableColumn id="5" name="Apr" totalsRowFunction="sum" dataDxfId="222"/>
    <tableColumn id="6" name="May" totalsRowFunction="sum" dataDxfId="221"/>
    <tableColumn id="7" name="Jun" totalsRowFunction="sum" dataDxfId="220"/>
    <tableColumn id="8" name="Jul" totalsRowFunction="sum" dataDxfId="219"/>
    <tableColumn id="9" name="Aug" totalsRowFunction="sum" dataDxfId="218"/>
    <tableColumn id="10" name="Sep" totalsRowFunction="sum" dataDxfId="217"/>
    <tableColumn id="11" name="Oct" totalsRowFunction="sum" dataDxfId="216"/>
    <tableColumn id="12" name="Nov" totalsRowFunction="sum" dataDxfId="215"/>
    <tableColumn id="13" name="Dec" totalsRowFunction="sum" dataDxfId="214"/>
    <tableColumn id="14" name="YEAR" totalsRowFunction="sum" dataDxfId="213">
      <calculatedColumnFormula>SUM(C31:N31)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Enter actual monthly training and traveling costs in this table. Total is auto calculated at the end"/>
    </ext>
  </extLst>
</table>
</file>

<file path=xl/tables/table9.xml><?xml version="1.0" encoding="utf-8"?>
<table xmlns="http://schemas.openxmlformats.org/spreadsheetml/2006/main" id="8" name="EmployeeActual" displayName="EmployeeActual" ref="B5:O8" totalsRowCount="1" headerRowDxfId="212" dataDxfId="210" totalsRowDxfId="208" headerRowBorderDxfId="211" tableBorderDxfId="209" totalsRowBorderDxfId="207" headerRowCellStyle="Heading 4">
  <autoFilter ref="B5:O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EMPLOYEE COSTS" totalsRowLabel="Subtotal" dataDxfId="206" totalsRowDxfId="205"/>
    <tableColumn id="2" name="Jan" totalsRowFunction="sum" dataDxfId="204" totalsRowDxfId="203">
      <calculatedColumnFormula>C5*0.27</calculatedColumnFormula>
    </tableColumn>
    <tableColumn id="3" name="Feb" totalsRowFunction="sum" dataDxfId="202" totalsRowDxfId="201">
      <calculatedColumnFormula>D5*0.27</calculatedColumnFormula>
    </tableColumn>
    <tableColumn id="4" name="Mar" totalsRowFunction="sum" dataDxfId="200" totalsRowDxfId="199">
      <calculatedColumnFormula>E5*0.27</calculatedColumnFormula>
    </tableColumn>
    <tableColumn id="5" name="Apr" totalsRowFunction="sum" dataDxfId="198" totalsRowDxfId="197">
      <calculatedColumnFormula>F5*0.27</calculatedColumnFormula>
    </tableColumn>
    <tableColumn id="6" name="May" totalsRowFunction="sum" dataDxfId="196" totalsRowDxfId="195">
      <calculatedColumnFormula>G5*0.27</calculatedColumnFormula>
    </tableColumn>
    <tableColumn id="7" name="Jun" totalsRowFunction="sum" dataDxfId="194" totalsRowDxfId="193">
      <calculatedColumnFormula>H5*0.27</calculatedColumnFormula>
    </tableColumn>
    <tableColumn id="8" name="Jul" totalsRowFunction="sum" dataDxfId="192" totalsRowDxfId="191"/>
    <tableColumn id="9" name="Aug" totalsRowFunction="sum" dataDxfId="190" totalsRowDxfId="189"/>
    <tableColumn id="10" name="Sep" totalsRowFunction="sum" dataDxfId="188" totalsRowDxfId="187"/>
    <tableColumn id="11" name="Oct" totalsRowFunction="sum" dataDxfId="186" totalsRowDxfId="185"/>
    <tableColumn id="12" name="Nov" totalsRowFunction="sum" dataDxfId="184" totalsRowDxfId="183"/>
    <tableColumn id="13" name="Dec" totalsRowFunction="sum" dataDxfId="182" totalsRowDxfId="181"/>
    <tableColumn id="14" name="YEAR" totalsRowFunction="sum" dataDxfId="180" totalsRowDxfId="179">
      <calculatedColumnFormula>SUM(C6:N6)</calculatedColumnFormula>
    </tableColumn>
  </tableColumns>
  <tableStyleInfo name="TableStyleMedium1" showFirstColumn="1" showLastColumn="1" showRowStripes="0" showColumnStripes="0"/>
  <extLst>
    <ext xmlns:x14="http://schemas.microsoft.com/office/spreadsheetml/2009/9/main" uri="{504A1905-F514-4f6f-8877-14C23A59335A}">
      <x14:table altTextSummary="Enter actual monthly employee costs in this table. Total is auto calculated at the end"/>
    </ext>
  </extLst>
</table>
</file>

<file path=xl/theme/theme1.xml><?xml version="1.0" encoding="utf-8"?>
<a:theme xmlns:a="http://schemas.openxmlformats.org/drawingml/2006/main" name="Office Theme">
  <a:themeElements>
    <a:clrScheme name="Custom 25">
      <a:dk1>
        <a:sysClr val="windowText" lastClr="000000"/>
      </a:dk1>
      <a:lt1>
        <a:srgbClr val="FFFFFF"/>
      </a:lt1>
      <a:dk2>
        <a:srgbClr val="2F4B83"/>
      </a:dk2>
      <a:lt2>
        <a:srgbClr val="F2F2F2"/>
      </a:lt2>
      <a:accent1>
        <a:srgbClr val="CC1D10"/>
      </a:accent1>
      <a:accent2>
        <a:srgbClr val="357B37"/>
      </a:accent2>
      <a:accent3>
        <a:srgbClr val="34A0DC"/>
      </a:accent3>
      <a:accent4>
        <a:srgbClr val="B71F66"/>
      </a:accent4>
      <a:accent5>
        <a:srgbClr val="255D77"/>
      </a:accent5>
      <a:accent6>
        <a:srgbClr val="EF4538"/>
      </a:accent6>
      <a:hlink>
        <a:srgbClr val="7DC6F3"/>
      </a:hlink>
      <a:folHlink>
        <a:srgbClr val="7DC6F3"/>
      </a:folHlink>
    </a:clrScheme>
    <a:fontScheme name="Custom 45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B14"/>
  <sheetViews>
    <sheetView tabSelected="1" workbookViewId="0"/>
  </sheetViews>
  <sheetFormatPr defaultColWidth="9" defaultRowHeight="15.75" x14ac:dyDescent="0.35"/>
  <cols>
    <col min="1" max="1" width="2.83203125" style="34" customWidth="1"/>
    <col min="2" max="2" width="118.1640625" style="34" customWidth="1"/>
    <col min="3" max="3" width="2.83203125" style="34" customWidth="1"/>
    <col min="4" max="16384" width="9" style="34"/>
  </cols>
  <sheetData>
    <row r="1" spans="2:2" s="62" customFormat="1" ht="36" customHeight="1" x14ac:dyDescent="0.35">
      <c r="B1" s="66" t="s">
        <v>53</v>
      </c>
    </row>
    <row r="2" spans="2:2" ht="30" customHeight="1" x14ac:dyDescent="0.35">
      <c r="B2" s="84" t="s">
        <v>54</v>
      </c>
    </row>
    <row r="3" spans="2:2" ht="17.25" x14ac:dyDescent="0.35">
      <c r="B3" s="86" t="s">
        <v>66</v>
      </c>
    </row>
    <row r="4" spans="2:2" ht="17.25" x14ac:dyDescent="0.35">
      <c r="B4" s="86" t="s">
        <v>67</v>
      </c>
    </row>
    <row r="5" spans="2:2" ht="17.25" x14ac:dyDescent="0.35">
      <c r="B5" s="86" t="s">
        <v>68</v>
      </c>
    </row>
    <row r="6" spans="2:2" ht="36" customHeight="1" x14ac:dyDescent="0.35">
      <c r="B6" s="85" t="s">
        <v>55</v>
      </c>
    </row>
    <row r="7" spans="2:2" ht="78" customHeight="1" x14ac:dyDescent="0.35">
      <c r="B7" s="84" t="s">
        <v>56</v>
      </c>
    </row>
    <row r="8" spans="2:2" ht="40.5" customHeight="1" x14ac:dyDescent="0.35">
      <c r="B8" s="84" t="s">
        <v>57</v>
      </c>
    </row>
    <row r="9" spans="2:2" x14ac:dyDescent="0.35">
      <c r="B9" s="63"/>
    </row>
    <row r="10" spans="2:2" x14ac:dyDescent="0.35">
      <c r="B10" s="63"/>
    </row>
    <row r="11" spans="2:2" x14ac:dyDescent="0.35">
      <c r="B11" s="63"/>
    </row>
    <row r="12" spans="2:2" x14ac:dyDescent="0.35">
      <c r="B12" s="63"/>
    </row>
    <row r="13" spans="2:2" x14ac:dyDescent="0.35">
      <c r="B13" s="63"/>
    </row>
    <row r="14" spans="2:2" x14ac:dyDescent="0.35">
      <c r="B14" s="6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A1:Q38"/>
  <sheetViews>
    <sheetView showGridLines="0" zoomScale="85" zoomScaleNormal="85" workbookViewId="0"/>
  </sheetViews>
  <sheetFormatPr defaultColWidth="9" defaultRowHeight="33.950000000000003" customHeight="1" x14ac:dyDescent="0.45"/>
  <cols>
    <col min="1" max="1" width="2.83203125" style="101" customWidth="1"/>
    <col min="2" max="2" width="45.83203125" style="101" customWidth="1"/>
    <col min="3" max="15" width="16.83203125" style="101" customWidth="1"/>
    <col min="16" max="16" width="2.83203125" style="101" customWidth="1"/>
    <col min="17" max="16384" width="9" style="101"/>
  </cols>
  <sheetData>
    <row r="1" spans="1:17" s="100" customFormat="1" ht="24" customHeight="1" x14ac:dyDescent="0.45">
      <c r="A1" s="1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3"/>
      <c r="Q1" s="101"/>
    </row>
    <row r="2" spans="1:17" s="100" customFormat="1" ht="45" customHeight="1" x14ac:dyDescent="0.45">
      <c r="A2" s="5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2"/>
      <c r="Q2" s="101"/>
    </row>
    <row r="3" spans="1:17" s="100" customFormat="1" ht="79.150000000000006" customHeight="1" x14ac:dyDescent="0.45">
      <c r="A3" s="5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2"/>
      <c r="Q3" s="101"/>
    </row>
    <row r="4" spans="1:17" s="172" customFormat="1" ht="50.1" customHeight="1" x14ac:dyDescent="0.45">
      <c r="A4" s="6"/>
      <c r="B4" s="67" t="s">
        <v>37</v>
      </c>
      <c r="C4" s="68" t="s">
        <v>38</v>
      </c>
      <c r="D4" s="69" t="s">
        <v>39</v>
      </c>
      <c r="E4" s="70" t="s">
        <v>40</v>
      </c>
      <c r="F4" s="69" t="s">
        <v>41</v>
      </c>
      <c r="G4" s="68" t="s">
        <v>42</v>
      </c>
      <c r="H4" s="69" t="s">
        <v>43</v>
      </c>
      <c r="I4" s="70" t="s">
        <v>44</v>
      </c>
      <c r="J4" s="69" t="s">
        <v>45</v>
      </c>
      <c r="K4" s="68" t="s">
        <v>46</v>
      </c>
      <c r="L4" s="69" t="s">
        <v>47</v>
      </c>
      <c r="M4" s="68" t="s">
        <v>48</v>
      </c>
      <c r="N4" s="71" t="s">
        <v>49</v>
      </c>
      <c r="O4" s="68" t="s">
        <v>12</v>
      </c>
      <c r="P4" s="14"/>
      <c r="Q4" s="175"/>
    </row>
    <row r="5" spans="1:17" ht="33.950000000000003" customHeight="1" x14ac:dyDescent="0.45">
      <c r="A5" s="8"/>
      <c r="B5" s="87" t="s">
        <v>58</v>
      </c>
      <c r="C5" s="88" t="s">
        <v>0</v>
      </c>
      <c r="D5" s="88" t="s">
        <v>1</v>
      </c>
      <c r="E5" s="89" t="s">
        <v>2</v>
      </c>
      <c r="F5" s="88" t="s">
        <v>3</v>
      </c>
      <c r="G5" s="88" t="s">
        <v>4</v>
      </c>
      <c r="H5" s="88" t="s">
        <v>5</v>
      </c>
      <c r="I5" s="88" t="s">
        <v>6</v>
      </c>
      <c r="J5" s="88" t="s">
        <v>7</v>
      </c>
      <c r="K5" s="88" t="s">
        <v>8</v>
      </c>
      <c r="L5" s="88" t="s">
        <v>9</v>
      </c>
      <c r="M5" s="88" t="s">
        <v>10</v>
      </c>
      <c r="N5" s="88" t="s">
        <v>11</v>
      </c>
      <c r="O5" s="90" t="s">
        <v>12</v>
      </c>
      <c r="P5" s="9"/>
    </row>
    <row r="6" spans="1:17" s="178" customFormat="1" ht="33.950000000000003" customHeight="1" x14ac:dyDescent="0.35">
      <c r="A6" s="151"/>
      <c r="B6" s="146" t="s">
        <v>13</v>
      </c>
      <c r="C6" s="72">
        <v>85000</v>
      </c>
      <c r="D6" s="72">
        <v>85000</v>
      </c>
      <c r="E6" s="72">
        <v>85000</v>
      </c>
      <c r="F6" s="72">
        <v>87500</v>
      </c>
      <c r="G6" s="72">
        <v>87500</v>
      </c>
      <c r="H6" s="72">
        <v>87500</v>
      </c>
      <c r="I6" s="72">
        <v>87500</v>
      </c>
      <c r="J6" s="72">
        <v>92400</v>
      </c>
      <c r="K6" s="72">
        <v>92400</v>
      </c>
      <c r="L6" s="72">
        <v>92400</v>
      </c>
      <c r="M6" s="72">
        <v>92400</v>
      </c>
      <c r="N6" s="72">
        <v>92400</v>
      </c>
      <c r="O6" s="72">
        <f>SUM(C6:N6)</f>
        <v>1067000</v>
      </c>
      <c r="P6" s="152"/>
      <c r="Q6" s="179"/>
    </row>
    <row r="7" spans="1:17" s="178" customFormat="1" ht="33.950000000000003" customHeight="1" x14ac:dyDescent="0.35">
      <c r="A7" s="151"/>
      <c r="B7" s="147" t="s">
        <v>14</v>
      </c>
      <c r="C7" s="73">
        <f t="shared" ref="C7:N7" si="0">C6*0.27</f>
        <v>22950</v>
      </c>
      <c r="D7" s="73">
        <f t="shared" si="0"/>
        <v>22950</v>
      </c>
      <c r="E7" s="73">
        <f t="shared" si="0"/>
        <v>22950</v>
      </c>
      <c r="F7" s="73">
        <f t="shared" si="0"/>
        <v>23625</v>
      </c>
      <c r="G7" s="73">
        <f t="shared" si="0"/>
        <v>23625</v>
      </c>
      <c r="H7" s="73">
        <f t="shared" si="0"/>
        <v>23625</v>
      </c>
      <c r="I7" s="73">
        <f t="shared" si="0"/>
        <v>23625</v>
      </c>
      <c r="J7" s="73">
        <f t="shared" si="0"/>
        <v>24948</v>
      </c>
      <c r="K7" s="73">
        <f t="shared" si="0"/>
        <v>24948</v>
      </c>
      <c r="L7" s="73">
        <f t="shared" si="0"/>
        <v>24948</v>
      </c>
      <c r="M7" s="73">
        <f t="shared" si="0"/>
        <v>24948</v>
      </c>
      <c r="N7" s="73">
        <f t="shared" si="0"/>
        <v>24948</v>
      </c>
      <c r="O7" s="73">
        <f>SUM(C7:N7)</f>
        <v>288090</v>
      </c>
      <c r="P7" s="152"/>
      <c r="Q7" s="179"/>
    </row>
    <row r="8" spans="1:17" s="178" customFormat="1" ht="33.950000000000003" customHeight="1" x14ac:dyDescent="0.35">
      <c r="A8" s="151"/>
      <c r="B8" s="148" t="s">
        <v>15</v>
      </c>
      <c r="C8" s="74">
        <f>SUBTOTAL(109,EmployeePlan[Jan])</f>
        <v>107950</v>
      </c>
      <c r="D8" s="74">
        <f>SUBTOTAL(109,EmployeePlan[Feb])</f>
        <v>107950</v>
      </c>
      <c r="E8" s="74">
        <f>SUBTOTAL(109,EmployeePlan[Mar])</f>
        <v>107950</v>
      </c>
      <c r="F8" s="74">
        <f>SUBTOTAL(109,EmployeePlan[Apr])</f>
        <v>111125</v>
      </c>
      <c r="G8" s="74">
        <f>SUBTOTAL(109,EmployeePlan[May])</f>
        <v>111125</v>
      </c>
      <c r="H8" s="74">
        <f>SUBTOTAL(109,EmployeePlan[Jun])</f>
        <v>111125</v>
      </c>
      <c r="I8" s="74">
        <f>SUBTOTAL(109,EmployeePlan[Jul])</f>
        <v>111125</v>
      </c>
      <c r="J8" s="74">
        <f>SUBTOTAL(109,EmployeePlan[Aug])</f>
        <v>117348</v>
      </c>
      <c r="K8" s="74">
        <f>SUBTOTAL(109,EmployeePlan[Sep])</f>
        <v>117348</v>
      </c>
      <c r="L8" s="74">
        <f>SUBTOTAL(109,EmployeePlan[Oct])</f>
        <v>117348</v>
      </c>
      <c r="M8" s="74">
        <f>SUBTOTAL(109,EmployeePlan[Nov])</f>
        <v>117348</v>
      </c>
      <c r="N8" s="74">
        <f>SUBTOTAL(109,EmployeePlan[Dec])</f>
        <v>117348</v>
      </c>
      <c r="O8" s="74">
        <f>SUBTOTAL(109,EmployeePlan[YEAR])</f>
        <v>1355090</v>
      </c>
      <c r="P8" s="152"/>
      <c r="Q8" s="179"/>
    </row>
    <row r="9" spans="1:17" s="100" customFormat="1" ht="33.950000000000003" customHeight="1" x14ac:dyDescent="0.45">
      <c r="A9" s="10"/>
      <c r="B9" s="186"/>
      <c r="C9" s="186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12"/>
      <c r="P9" s="4"/>
      <c r="Q9" s="101"/>
    </row>
    <row r="10" spans="1:17" s="100" customFormat="1" ht="33.950000000000003" customHeight="1" x14ac:dyDescent="0.45">
      <c r="A10" s="10"/>
      <c r="B10" s="93" t="s">
        <v>59</v>
      </c>
      <c r="C10" s="94" t="s">
        <v>0</v>
      </c>
      <c r="D10" s="94" t="s">
        <v>1</v>
      </c>
      <c r="E10" s="95" t="s">
        <v>2</v>
      </c>
      <c r="F10" s="94" t="s">
        <v>3</v>
      </c>
      <c r="G10" s="94" t="s">
        <v>4</v>
      </c>
      <c r="H10" s="94" t="s">
        <v>5</v>
      </c>
      <c r="I10" s="94" t="s">
        <v>6</v>
      </c>
      <c r="J10" s="94" t="s">
        <v>7</v>
      </c>
      <c r="K10" s="94" t="s">
        <v>8</v>
      </c>
      <c r="L10" s="94" t="s">
        <v>9</v>
      </c>
      <c r="M10" s="94" t="s">
        <v>10</v>
      </c>
      <c r="N10" s="94" t="s">
        <v>11</v>
      </c>
      <c r="O10" s="96" t="s">
        <v>12</v>
      </c>
      <c r="P10" s="4"/>
      <c r="Q10" s="101"/>
    </row>
    <row r="11" spans="1:17" s="100" customFormat="1" ht="33.950000000000003" customHeight="1" x14ac:dyDescent="0.45">
      <c r="A11" s="10"/>
      <c r="B11" s="91" t="s">
        <v>16</v>
      </c>
      <c r="C11" s="82">
        <v>9800</v>
      </c>
      <c r="D11" s="82">
        <v>9800</v>
      </c>
      <c r="E11" s="82">
        <v>9800</v>
      </c>
      <c r="F11" s="82">
        <v>9800</v>
      </c>
      <c r="G11" s="82">
        <v>9800</v>
      </c>
      <c r="H11" s="82">
        <v>9800</v>
      </c>
      <c r="I11" s="82">
        <v>9800</v>
      </c>
      <c r="J11" s="82">
        <v>9800</v>
      </c>
      <c r="K11" s="82">
        <v>9800</v>
      </c>
      <c r="L11" s="82">
        <v>9800</v>
      </c>
      <c r="M11" s="82">
        <v>9800</v>
      </c>
      <c r="N11" s="82">
        <v>9800</v>
      </c>
      <c r="O11" s="82">
        <f t="shared" ref="O11:O18" si="1">SUM(C11:N11)</f>
        <v>117600</v>
      </c>
      <c r="P11" s="4"/>
      <c r="Q11" s="101"/>
    </row>
    <row r="12" spans="1:17" s="100" customFormat="1" ht="33.950000000000003" customHeight="1" x14ac:dyDescent="0.45">
      <c r="A12" s="10"/>
      <c r="B12" s="76" t="s">
        <v>17</v>
      </c>
      <c r="C12" s="77"/>
      <c r="D12" s="77">
        <v>400</v>
      </c>
      <c r="E12" s="77">
        <v>400</v>
      </c>
      <c r="F12" s="77">
        <v>100</v>
      </c>
      <c r="G12" s="77">
        <v>100</v>
      </c>
      <c r="H12" s="77">
        <v>100</v>
      </c>
      <c r="I12" s="77">
        <v>100</v>
      </c>
      <c r="J12" s="77">
        <v>100</v>
      </c>
      <c r="K12" s="77">
        <v>100</v>
      </c>
      <c r="L12" s="77">
        <v>100</v>
      </c>
      <c r="M12" s="77">
        <v>400</v>
      </c>
      <c r="N12" s="77">
        <v>400</v>
      </c>
      <c r="O12" s="77">
        <f t="shared" si="1"/>
        <v>2300</v>
      </c>
      <c r="P12" s="4"/>
      <c r="Q12" s="101"/>
    </row>
    <row r="13" spans="1:17" s="100" customFormat="1" ht="33.950000000000003" customHeight="1" x14ac:dyDescent="0.45">
      <c r="A13" s="10"/>
      <c r="B13" s="76" t="s">
        <v>18</v>
      </c>
      <c r="C13" s="77">
        <v>300</v>
      </c>
      <c r="D13" s="77">
        <v>300</v>
      </c>
      <c r="E13" s="77">
        <v>300</v>
      </c>
      <c r="F13" s="77">
        <v>300</v>
      </c>
      <c r="G13" s="77">
        <v>300</v>
      </c>
      <c r="H13" s="77">
        <v>300</v>
      </c>
      <c r="I13" s="77">
        <v>300</v>
      </c>
      <c r="J13" s="77">
        <v>300</v>
      </c>
      <c r="K13" s="77">
        <v>300</v>
      </c>
      <c r="L13" s="77">
        <v>300</v>
      </c>
      <c r="M13" s="77">
        <v>300</v>
      </c>
      <c r="N13" s="77">
        <v>300</v>
      </c>
      <c r="O13" s="77">
        <f t="shared" si="1"/>
        <v>3600</v>
      </c>
      <c r="P13" s="4"/>
      <c r="Q13" s="101"/>
    </row>
    <row r="14" spans="1:17" s="100" customFormat="1" ht="33.950000000000003" customHeight="1" x14ac:dyDescent="0.45">
      <c r="A14" s="10"/>
      <c r="B14" s="76" t="s">
        <v>19</v>
      </c>
      <c r="C14" s="77">
        <v>40</v>
      </c>
      <c r="D14" s="77">
        <v>40</v>
      </c>
      <c r="E14" s="77">
        <v>40</v>
      </c>
      <c r="F14" s="77">
        <v>40</v>
      </c>
      <c r="G14" s="77">
        <v>40</v>
      </c>
      <c r="H14" s="77">
        <v>40</v>
      </c>
      <c r="I14" s="77">
        <v>40</v>
      </c>
      <c r="J14" s="77">
        <v>40</v>
      </c>
      <c r="K14" s="77">
        <v>40</v>
      </c>
      <c r="L14" s="77">
        <v>40</v>
      </c>
      <c r="M14" s="77">
        <v>40</v>
      </c>
      <c r="N14" s="77">
        <v>40</v>
      </c>
      <c r="O14" s="77">
        <f t="shared" si="1"/>
        <v>480</v>
      </c>
      <c r="P14" s="4"/>
      <c r="Q14" s="101"/>
    </row>
    <row r="15" spans="1:17" s="100" customFormat="1" ht="33.950000000000003" customHeight="1" x14ac:dyDescent="0.45">
      <c r="A15" s="10"/>
      <c r="B15" s="76" t="s">
        <v>20</v>
      </c>
      <c r="C15" s="77">
        <v>250</v>
      </c>
      <c r="D15" s="77">
        <v>250</v>
      </c>
      <c r="E15" s="77">
        <v>250</v>
      </c>
      <c r="F15" s="77">
        <v>250</v>
      </c>
      <c r="G15" s="77">
        <v>250</v>
      </c>
      <c r="H15" s="77">
        <v>250</v>
      </c>
      <c r="I15" s="77">
        <v>250</v>
      </c>
      <c r="J15" s="77">
        <v>250</v>
      </c>
      <c r="K15" s="77">
        <v>250</v>
      </c>
      <c r="L15" s="77">
        <v>250</v>
      </c>
      <c r="M15" s="77">
        <v>250</v>
      </c>
      <c r="N15" s="77">
        <v>250</v>
      </c>
      <c r="O15" s="77">
        <f t="shared" si="1"/>
        <v>3000</v>
      </c>
      <c r="P15" s="4"/>
      <c r="Q15" s="101"/>
    </row>
    <row r="16" spans="1:17" s="100" customFormat="1" ht="33.950000000000003" customHeight="1" x14ac:dyDescent="0.45">
      <c r="A16" s="10"/>
      <c r="B16" s="76" t="s">
        <v>21</v>
      </c>
      <c r="C16" s="77">
        <v>180</v>
      </c>
      <c r="D16" s="77">
        <v>180</v>
      </c>
      <c r="E16" s="77">
        <v>180</v>
      </c>
      <c r="F16" s="77">
        <v>180</v>
      </c>
      <c r="G16" s="77">
        <v>180</v>
      </c>
      <c r="H16" s="77">
        <v>180</v>
      </c>
      <c r="I16" s="77">
        <v>180</v>
      </c>
      <c r="J16" s="77">
        <v>180</v>
      </c>
      <c r="K16" s="77">
        <v>180</v>
      </c>
      <c r="L16" s="77">
        <v>180</v>
      </c>
      <c r="M16" s="77">
        <v>180</v>
      </c>
      <c r="N16" s="77">
        <v>180</v>
      </c>
      <c r="O16" s="77">
        <f t="shared" si="1"/>
        <v>2160</v>
      </c>
      <c r="P16" s="4"/>
      <c r="Q16" s="101"/>
    </row>
    <row r="17" spans="1:17" s="100" customFormat="1" ht="33.950000000000003" customHeight="1" x14ac:dyDescent="0.45">
      <c r="A17" s="10"/>
      <c r="B17" s="76" t="s">
        <v>22</v>
      </c>
      <c r="C17" s="77">
        <v>200</v>
      </c>
      <c r="D17" s="77">
        <v>200</v>
      </c>
      <c r="E17" s="77">
        <v>200</v>
      </c>
      <c r="F17" s="77">
        <v>200</v>
      </c>
      <c r="G17" s="77">
        <v>200</v>
      </c>
      <c r="H17" s="77">
        <v>200</v>
      </c>
      <c r="I17" s="77">
        <v>200</v>
      </c>
      <c r="J17" s="77">
        <v>200</v>
      </c>
      <c r="K17" s="77">
        <v>200</v>
      </c>
      <c r="L17" s="77">
        <v>200</v>
      </c>
      <c r="M17" s="77">
        <v>200</v>
      </c>
      <c r="N17" s="77">
        <v>200</v>
      </c>
      <c r="O17" s="77">
        <f t="shared" si="1"/>
        <v>2400</v>
      </c>
      <c r="P17" s="4"/>
      <c r="Q17" s="101"/>
    </row>
    <row r="18" spans="1:17" s="100" customFormat="1" ht="33.950000000000003" customHeight="1" x14ac:dyDescent="0.45">
      <c r="A18" s="10"/>
      <c r="B18" s="76" t="s">
        <v>23</v>
      </c>
      <c r="C18" s="77">
        <v>600</v>
      </c>
      <c r="D18" s="77">
        <v>600</v>
      </c>
      <c r="E18" s="77">
        <v>600</v>
      </c>
      <c r="F18" s="77">
        <v>600</v>
      </c>
      <c r="G18" s="77">
        <v>600</v>
      </c>
      <c r="H18" s="77">
        <v>600</v>
      </c>
      <c r="I18" s="77">
        <v>600</v>
      </c>
      <c r="J18" s="77">
        <v>600</v>
      </c>
      <c r="K18" s="77">
        <v>600</v>
      </c>
      <c r="L18" s="77">
        <v>600</v>
      </c>
      <c r="M18" s="77">
        <v>600</v>
      </c>
      <c r="N18" s="77">
        <v>600</v>
      </c>
      <c r="O18" s="77">
        <f t="shared" si="1"/>
        <v>7200</v>
      </c>
      <c r="P18" s="4"/>
      <c r="Q18" s="101"/>
    </row>
    <row r="19" spans="1:17" s="100" customFormat="1" ht="33.950000000000003" customHeight="1" x14ac:dyDescent="0.45">
      <c r="A19" s="10"/>
      <c r="B19" s="78" t="s">
        <v>15</v>
      </c>
      <c r="C19" s="79">
        <f>SUBTOTAL(109,OfficePlan[Jan])</f>
        <v>11370</v>
      </c>
      <c r="D19" s="79">
        <f>SUBTOTAL(109,OfficePlan[Feb])</f>
        <v>11770</v>
      </c>
      <c r="E19" s="79">
        <f>SUBTOTAL(109,OfficePlan[Mar])</f>
        <v>11770</v>
      </c>
      <c r="F19" s="79">
        <f>SUBTOTAL(109,OfficePlan[Apr])</f>
        <v>11470</v>
      </c>
      <c r="G19" s="79">
        <f>SUBTOTAL(109,OfficePlan[May])</f>
        <v>11470</v>
      </c>
      <c r="H19" s="79">
        <f>SUBTOTAL(109,OfficePlan[Jun])</f>
        <v>11470</v>
      </c>
      <c r="I19" s="79">
        <f>SUBTOTAL(109,OfficePlan[Jul])</f>
        <v>11470</v>
      </c>
      <c r="J19" s="79">
        <f>SUBTOTAL(109,OfficePlan[Aug])</f>
        <v>11470</v>
      </c>
      <c r="K19" s="79">
        <f>SUBTOTAL(109,OfficePlan[Sep])</f>
        <v>11470</v>
      </c>
      <c r="L19" s="79">
        <f>SUBTOTAL(109,OfficePlan[Oct])</f>
        <v>11470</v>
      </c>
      <c r="M19" s="79">
        <f>SUBTOTAL(109,OfficePlan[Nov])</f>
        <v>11770</v>
      </c>
      <c r="N19" s="79">
        <f>SUBTOTAL(109,OfficePlan[Dec])</f>
        <v>11770</v>
      </c>
      <c r="O19" s="79">
        <f>SUBTOTAL(109,OfficePlan[YEAR])</f>
        <v>138740</v>
      </c>
      <c r="P19" s="4"/>
      <c r="Q19" s="101"/>
    </row>
    <row r="20" spans="1:17" s="100" customFormat="1" ht="33.950000000000003" customHeight="1" x14ac:dyDescent="0.45">
      <c r="A20" s="10"/>
      <c r="B20" s="185"/>
      <c r="C20" s="185"/>
      <c r="D20" s="75"/>
      <c r="E20" s="75"/>
      <c r="F20" s="13"/>
      <c r="G20" s="13"/>
      <c r="H20" s="13"/>
      <c r="I20" s="13"/>
      <c r="J20" s="13"/>
      <c r="K20" s="13"/>
      <c r="L20" s="13"/>
      <c r="M20" s="13"/>
      <c r="N20" s="13"/>
      <c r="O20" s="12"/>
      <c r="P20" s="4"/>
      <c r="Q20" s="101"/>
    </row>
    <row r="21" spans="1:17" s="100" customFormat="1" ht="33.950000000000003" customHeight="1" x14ac:dyDescent="0.45">
      <c r="A21" s="10"/>
      <c r="B21" s="93" t="s">
        <v>60</v>
      </c>
      <c r="C21" s="97" t="s">
        <v>0</v>
      </c>
      <c r="D21" s="97" t="s">
        <v>1</v>
      </c>
      <c r="E21" s="98" t="s">
        <v>2</v>
      </c>
      <c r="F21" s="97" t="s">
        <v>3</v>
      </c>
      <c r="G21" s="97" t="s">
        <v>4</v>
      </c>
      <c r="H21" s="97" t="s">
        <v>5</v>
      </c>
      <c r="I21" s="97" t="s">
        <v>6</v>
      </c>
      <c r="J21" s="97" t="s">
        <v>7</v>
      </c>
      <c r="K21" s="97" t="s">
        <v>8</v>
      </c>
      <c r="L21" s="97" t="s">
        <v>9</v>
      </c>
      <c r="M21" s="97" t="s">
        <v>10</v>
      </c>
      <c r="N21" s="97" t="s">
        <v>11</v>
      </c>
      <c r="O21" s="99" t="s">
        <v>12</v>
      </c>
      <c r="P21" s="4"/>
      <c r="Q21" s="101"/>
    </row>
    <row r="22" spans="1:17" s="100" customFormat="1" ht="33.950000000000003" customHeight="1" x14ac:dyDescent="0.45">
      <c r="A22" s="10"/>
      <c r="B22" s="92" t="s">
        <v>24</v>
      </c>
      <c r="C22" s="82">
        <v>500</v>
      </c>
      <c r="D22" s="82">
        <v>500</v>
      </c>
      <c r="E22" s="82">
        <v>500</v>
      </c>
      <c r="F22" s="82">
        <v>500</v>
      </c>
      <c r="G22" s="82">
        <v>500</v>
      </c>
      <c r="H22" s="82">
        <v>500</v>
      </c>
      <c r="I22" s="82">
        <v>500</v>
      </c>
      <c r="J22" s="82">
        <v>500</v>
      </c>
      <c r="K22" s="82">
        <v>500</v>
      </c>
      <c r="L22" s="82">
        <v>500</v>
      </c>
      <c r="M22" s="82">
        <v>500</v>
      </c>
      <c r="N22" s="82">
        <v>500</v>
      </c>
      <c r="O22" s="82">
        <f t="shared" ref="O22:O27" si="2">SUM(C22:N22)</f>
        <v>6000</v>
      </c>
      <c r="P22" s="4"/>
      <c r="Q22" s="101"/>
    </row>
    <row r="23" spans="1:17" s="100" customFormat="1" ht="33.950000000000003" customHeight="1" x14ac:dyDescent="0.45">
      <c r="A23" s="10"/>
      <c r="B23" s="80" t="s">
        <v>25</v>
      </c>
      <c r="C23" s="77">
        <v>200</v>
      </c>
      <c r="D23" s="77">
        <v>200</v>
      </c>
      <c r="E23" s="77">
        <v>200</v>
      </c>
      <c r="F23" s="77">
        <v>200</v>
      </c>
      <c r="G23" s="77">
        <v>200</v>
      </c>
      <c r="H23" s="77">
        <v>1000</v>
      </c>
      <c r="I23" s="77">
        <v>200</v>
      </c>
      <c r="J23" s="77">
        <v>200</v>
      </c>
      <c r="K23" s="77">
        <v>200</v>
      </c>
      <c r="L23" s="77">
        <v>200</v>
      </c>
      <c r="M23" s="77">
        <v>200</v>
      </c>
      <c r="N23" s="77">
        <v>1000</v>
      </c>
      <c r="O23" s="77">
        <f t="shared" si="2"/>
        <v>4000</v>
      </c>
      <c r="P23" s="4"/>
      <c r="Q23" s="101"/>
    </row>
    <row r="24" spans="1:17" s="100" customFormat="1" ht="33.950000000000003" customHeight="1" x14ac:dyDescent="0.45">
      <c r="A24" s="10"/>
      <c r="B24" s="80" t="s">
        <v>26</v>
      </c>
      <c r="C24" s="77">
        <v>5000</v>
      </c>
      <c r="D24" s="77">
        <v>0</v>
      </c>
      <c r="E24" s="77">
        <v>0</v>
      </c>
      <c r="F24" s="77">
        <v>5000</v>
      </c>
      <c r="G24" s="77">
        <v>0</v>
      </c>
      <c r="H24" s="77">
        <v>0</v>
      </c>
      <c r="I24" s="77">
        <v>5000</v>
      </c>
      <c r="J24" s="77">
        <v>0</v>
      </c>
      <c r="K24" s="77">
        <v>0</v>
      </c>
      <c r="L24" s="77">
        <v>5000</v>
      </c>
      <c r="M24" s="77">
        <v>0</v>
      </c>
      <c r="N24" s="77">
        <v>0</v>
      </c>
      <c r="O24" s="77">
        <f t="shared" si="2"/>
        <v>20000</v>
      </c>
      <c r="P24" s="4"/>
      <c r="Q24" s="101"/>
    </row>
    <row r="25" spans="1:17" s="100" customFormat="1" ht="33.950000000000003" customHeight="1" x14ac:dyDescent="0.45">
      <c r="A25" s="10"/>
      <c r="B25" s="80" t="s">
        <v>27</v>
      </c>
      <c r="C25" s="77">
        <v>200</v>
      </c>
      <c r="D25" s="77">
        <v>200</v>
      </c>
      <c r="E25" s="77">
        <v>200</v>
      </c>
      <c r="F25" s="77">
        <v>200</v>
      </c>
      <c r="G25" s="77">
        <v>200</v>
      </c>
      <c r="H25" s="77">
        <v>200</v>
      </c>
      <c r="I25" s="77">
        <v>200</v>
      </c>
      <c r="J25" s="77">
        <v>200</v>
      </c>
      <c r="K25" s="77">
        <v>200</v>
      </c>
      <c r="L25" s="77">
        <v>200</v>
      </c>
      <c r="M25" s="77">
        <v>200</v>
      </c>
      <c r="N25" s="77">
        <v>200</v>
      </c>
      <c r="O25" s="77">
        <f t="shared" si="2"/>
        <v>2400</v>
      </c>
      <c r="P25" s="4"/>
      <c r="Q25" s="101"/>
    </row>
    <row r="26" spans="1:17" s="100" customFormat="1" ht="33.950000000000003" customHeight="1" x14ac:dyDescent="0.45">
      <c r="A26" s="10"/>
      <c r="B26" s="80" t="s">
        <v>28</v>
      </c>
      <c r="C26" s="77">
        <v>2000</v>
      </c>
      <c r="D26" s="77">
        <v>2000</v>
      </c>
      <c r="E26" s="77">
        <v>2000</v>
      </c>
      <c r="F26" s="77">
        <v>5000</v>
      </c>
      <c r="G26" s="77">
        <v>2000</v>
      </c>
      <c r="H26" s="77">
        <v>2000</v>
      </c>
      <c r="I26" s="77">
        <v>2000</v>
      </c>
      <c r="J26" s="77">
        <v>5000</v>
      </c>
      <c r="K26" s="77">
        <v>2000</v>
      </c>
      <c r="L26" s="77">
        <v>2000</v>
      </c>
      <c r="M26" s="77">
        <v>2000</v>
      </c>
      <c r="N26" s="77">
        <v>5000</v>
      </c>
      <c r="O26" s="77">
        <f t="shared" si="2"/>
        <v>33000</v>
      </c>
      <c r="P26" s="4"/>
      <c r="Q26" s="101"/>
    </row>
    <row r="27" spans="1:17" s="100" customFormat="1" ht="33.950000000000003" customHeight="1" x14ac:dyDescent="0.45">
      <c r="A27" s="10"/>
      <c r="B27" s="80" t="s">
        <v>29</v>
      </c>
      <c r="C27" s="77">
        <v>200</v>
      </c>
      <c r="D27" s="77">
        <v>200</v>
      </c>
      <c r="E27" s="77">
        <v>200</v>
      </c>
      <c r="F27" s="77">
        <v>200</v>
      </c>
      <c r="G27" s="77">
        <v>200</v>
      </c>
      <c r="H27" s="77">
        <v>200</v>
      </c>
      <c r="I27" s="77">
        <v>200</v>
      </c>
      <c r="J27" s="77">
        <v>200</v>
      </c>
      <c r="K27" s="77">
        <v>200</v>
      </c>
      <c r="L27" s="77">
        <v>200</v>
      </c>
      <c r="M27" s="77">
        <v>200</v>
      </c>
      <c r="N27" s="77">
        <v>200</v>
      </c>
      <c r="O27" s="77">
        <f t="shared" si="2"/>
        <v>2400</v>
      </c>
      <c r="P27" s="4"/>
      <c r="Q27" s="101"/>
    </row>
    <row r="28" spans="1:17" s="100" customFormat="1" ht="33.950000000000003" customHeight="1" x14ac:dyDescent="0.45">
      <c r="A28" s="10"/>
      <c r="B28" s="81" t="s">
        <v>15</v>
      </c>
      <c r="C28" s="79">
        <f>SUBTOTAL(109,MarketingPlan[Jan])</f>
        <v>8100</v>
      </c>
      <c r="D28" s="79">
        <f>SUBTOTAL(109,MarketingPlan[Feb])</f>
        <v>3100</v>
      </c>
      <c r="E28" s="79">
        <f>SUBTOTAL(109,MarketingPlan[Mar])</f>
        <v>3100</v>
      </c>
      <c r="F28" s="79">
        <f>SUBTOTAL(109,MarketingPlan[Apr])</f>
        <v>11100</v>
      </c>
      <c r="G28" s="79">
        <f>SUBTOTAL(109,MarketingPlan[May])</f>
        <v>3100</v>
      </c>
      <c r="H28" s="79">
        <f>SUBTOTAL(109,MarketingPlan[Jun])</f>
        <v>3900</v>
      </c>
      <c r="I28" s="79">
        <f>SUBTOTAL(109,MarketingPlan[Jul])</f>
        <v>8100</v>
      </c>
      <c r="J28" s="79">
        <f>SUBTOTAL(109,MarketingPlan[Aug])</f>
        <v>6100</v>
      </c>
      <c r="K28" s="79">
        <f>SUBTOTAL(109,MarketingPlan[Sep])</f>
        <v>3100</v>
      </c>
      <c r="L28" s="79">
        <f>SUBTOTAL(109,MarketingPlan[Oct])</f>
        <v>8100</v>
      </c>
      <c r="M28" s="79">
        <f>SUBTOTAL(109,MarketingPlan[Nov])</f>
        <v>3100</v>
      </c>
      <c r="N28" s="79">
        <f>SUBTOTAL(109,MarketingPlan[Dec])</f>
        <v>6900</v>
      </c>
      <c r="O28" s="79">
        <f>SUBTOTAL(109,MarketingPlan[YEAR])</f>
        <v>67800</v>
      </c>
      <c r="P28" s="4"/>
      <c r="Q28" s="101"/>
    </row>
    <row r="29" spans="1:17" s="100" customFormat="1" ht="33.950000000000003" customHeight="1" x14ac:dyDescent="0.45">
      <c r="A29" s="102"/>
      <c r="B29" s="108"/>
      <c r="C29" s="108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4"/>
      <c r="Q29" s="101"/>
    </row>
    <row r="30" spans="1:17" s="100" customFormat="1" ht="33.950000000000003" customHeight="1" x14ac:dyDescent="0.45">
      <c r="A30" s="102"/>
      <c r="B30" s="109" t="s">
        <v>61</v>
      </c>
      <c r="C30" s="105" t="s">
        <v>0</v>
      </c>
      <c r="D30" s="105" t="s">
        <v>1</v>
      </c>
      <c r="E30" s="106" t="s">
        <v>2</v>
      </c>
      <c r="F30" s="105" t="s">
        <v>3</v>
      </c>
      <c r="G30" s="105" t="s">
        <v>4</v>
      </c>
      <c r="H30" s="105" t="s">
        <v>5</v>
      </c>
      <c r="I30" s="105" t="s">
        <v>6</v>
      </c>
      <c r="J30" s="105" t="s">
        <v>7</v>
      </c>
      <c r="K30" s="105" t="s">
        <v>8</v>
      </c>
      <c r="L30" s="105" t="s">
        <v>9</v>
      </c>
      <c r="M30" s="105" t="s">
        <v>10</v>
      </c>
      <c r="N30" s="105" t="s">
        <v>11</v>
      </c>
      <c r="O30" s="107" t="s">
        <v>12</v>
      </c>
      <c r="P30" s="4"/>
      <c r="Q30" s="101"/>
    </row>
    <row r="31" spans="1:17" s="100" customFormat="1" ht="33.950000000000003" customHeight="1" x14ac:dyDescent="0.45">
      <c r="A31" s="10"/>
      <c r="B31" s="112" t="s">
        <v>30</v>
      </c>
      <c r="C31" s="82">
        <v>2000</v>
      </c>
      <c r="D31" s="82">
        <v>2000</v>
      </c>
      <c r="E31" s="82">
        <v>2000</v>
      </c>
      <c r="F31" s="82">
        <v>2000</v>
      </c>
      <c r="G31" s="82">
        <v>2000</v>
      </c>
      <c r="H31" s="82">
        <v>2000</v>
      </c>
      <c r="I31" s="82">
        <v>2000</v>
      </c>
      <c r="J31" s="82">
        <v>2000</v>
      </c>
      <c r="K31" s="82">
        <v>2000</v>
      </c>
      <c r="L31" s="82">
        <v>2000</v>
      </c>
      <c r="M31" s="82">
        <v>2000</v>
      </c>
      <c r="N31" s="82">
        <v>2000</v>
      </c>
      <c r="O31" s="82">
        <f>SUM(C31:N31)</f>
        <v>24000</v>
      </c>
      <c r="P31" s="4"/>
      <c r="Q31" s="101"/>
    </row>
    <row r="32" spans="1:17" s="100" customFormat="1" ht="33.950000000000003" customHeight="1" x14ac:dyDescent="0.45">
      <c r="A32" s="10"/>
      <c r="B32" s="110" t="s">
        <v>31</v>
      </c>
      <c r="C32" s="77">
        <v>2000</v>
      </c>
      <c r="D32" s="77">
        <v>2000</v>
      </c>
      <c r="E32" s="77">
        <v>2000</v>
      </c>
      <c r="F32" s="77">
        <v>2000</v>
      </c>
      <c r="G32" s="77">
        <v>2000</v>
      </c>
      <c r="H32" s="77">
        <v>2000</v>
      </c>
      <c r="I32" s="77">
        <v>2000</v>
      </c>
      <c r="J32" s="77">
        <v>2000</v>
      </c>
      <c r="K32" s="77">
        <v>2000</v>
      </c>
      <c r="L32" s="77">
        <v>2000</v>
      </c>
      <c r="M32" s="77">
        <v>2000</v>
      </c>
      <c r="N32" s="77">
        <v>2000</v>
      </c>
      <c r="O32" s="77">
        <f>SUM(C32:N32)</f>
        <v>24000</v>
      </c>
      <c r="P32" s="4"/>
      <c r="Q32" s="101"/>
    </row>
    <row r="33" spans="1:17" s="100" customFormat="1" ht="33.950000000000003" customHeight="1" x14ac:dyDescent="0.45">
      <c r="A33" s="10"/>
      <c r="B33" s="111" t="s">
        <v>15</v>
      </c>
      <c r="C33" s="79">
        <f>SUBTOTAL(109,TrainingAndTravelPlan[Jan])</f>
        <v>4000</v>
      </c>
      <c r="D33" s="79">
        <f>SUBTOTAL(109,TrainingAndTravelPlan[Feb])</f>
        <v>4000</v>
      </c>
      <c r="E33" s="79">
        <f>SUBTOTAL(109,TrainingAndTravelPlan[Mar])</f>
        <v>4000</v>
      </c>
      <c r="F33" s="79">
        <f>SUBTOTAL(109,TrainingAndTravelPlan[Apr])</f>
        <v>4000</v>
      </c>
      <c r="G33" s="79">
        <f>SUBTOTAL(109,TrainingAndTravelPlan[May])</f>
        <v>4000</v>
      </c>
      <c r="H33" s="79">
        <f>SUBTOTAL(109,TrainingAndTravelPlan[Jun])</f>
        <v>4000</v>
      </c>
      <c r="I33" s="79">
        <f>SUBTOTAL(109,TrainingAndTravelPlan[Jul])</f>
        <v>4000</v>
      </c>
      <c r="J33" s="79">
        <f>SUBTOTAL(109,TrainingAndTravelPlan[Aug])</f>
        <v>4000</v>
      </c>
      <c r="K33" s="79">
        <f>SUBTOTAL(109,TrainingAndTravelPlan[Sep])</f>
        <v>4000</v>
      </c>
      <c r="L33" s="79">
        <f>SUBTOTAL(109,TrainingAndTravelPlan[Oct])</f>
        <v>4000</v>
      </c>
      <c r="M33" s="79">
        <f>SUBTOTAL(109,TrainingAndTravelPlan[Nov])</f>
        <v>4000</v>
      </c>
      <c r="N33" s="79">
        <f>SUBTOTAL(109,TrainingAndTravelPlan[Dec])</f>
        <v>4000</v>
      </c>
      <c r="O33" s="79">
        <f>SUBTOTAL(109,TrainingAndTravelPlan[YEAR])</f>
        <v>48000</v>
      </c>
      <c r="P33" s="4"/>
      <c r="Q33" s="101"/>
    </row>
    <row r="34" spans="1:17" s="100" customFormat="1" ht="33.950000000000003" customHeight="1" x14ac:dyDescent="0.45">
      <c r="A34" s="10"/>
      <c r="B34" s="185"/>
      <c r="C34" s="18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4"/>
      <c r="Q34" s="101"/>
    </row>
    <row r="35" spans="1:17" s="100" customFormat="1" ht="33.950000000000003" customHeight="1" x14ac:dyDescent="0.45">
      <c r="A35" s="10"/>
      <c r="B35" s="113" t="s">
        <v>63</v>
      </c>
      <c r="C35" s="114" t="s">
        <v>0</v>
      </c>
      <c r="D35" s="114" t="s">
        <v>1</v>
      </c>
      <c r="E35" s="114" t="s">
        <v>2</v>
      </c>
      <c r="F35" s="114" t="s">
        <v>3</v>
      </c>
      <c r="G35" s="114" t="s">
        <v>4</v>
      </c>
      <c r="H35" s="114" t="s">
        <v>5</v>
      </c>
      <c r="I35" s="114" t="s">
        <v>6</v>
      </c>
      <c r="J35" s="114" t="s">
        <v>7</v>
      </c>
      <c r="K35" s="114" t="s">
        <v>8</v>
      </c>
      <c r="L35" s="114" t="s">
        <v>9</v>
      </c>
      <c r="M35" s="114" t="s">
        <v>10</v>
      </c>
      <c r="N35" s="114" t="s">
        <v>11</v>
      </c>
      <c r="O35" s="115" t="s">
        <v>52</v>
      </c>
      <c r="P35" s="4"/>
      <c r="Q35" s="101"/>
    </row>
    <row r="36" spans="1:17" s="100" customFormat="1" ht="33.950000000000003" customHeight="1" x14ac:dyDescent="0.45">
      <c r="A36" s="10"/>
      <c r="B36" s="91" t="s">
        <v>33</v>
      </c>
      <c r="C36" s="83">
        <f>TrainingAndTravelPlan[[#Totals],[Jan]]+MarketingPlan[[#Totals],[Jan]]+OfficePlan[[#Totals],[Jan]]+EmployeePlan[[#Totals],[Jan]]</f>
        <v>131420</v>
      </c>
      <c r="D36" s="83">
        <f>TrainingAndTravelPlan[[#Totals],[Feb]]+MarketingPlan[[#Totals],[Feb]]+OfficePlan[[#Totals],[Feb]]+EmployeePlan[[#Totals],[Feb]]</f>
        <v>126820</v>
      </c>
      <c r="E36" s="83">
        <f>TrainingAndTravelPlan[[#Totals],[Mar]]+MarketingPlan[[#Totals],[Mar]]+OfficePlan[[#Totals],[Mar]]+EmployeePlan[[#Totals],[Mar]]</f>
        <v>126820</v>
      </c>
      <c r="F36" s="83">
        <f>TrainingAndTravelPlan[[#Totals],[Apr]]+MarketingPlan[[#Totals],[Apr]]+OfficePlan[[#Totals],[Apr]]+EmployeePlan[[#Totals],[Apr]]</f>
        <v>137695</v>
      </c>
      <c r="G36" s="83">
        <f>TrainingAndTravelPlan[[#Totals],[May]]+MarketingPlan[[#Totals],[May]]+OfficePlan[[#Totals],[May]]+EmployeePlan[[#Totals],[May]]</f>
        <v>129695</v>
      </c>
      <c r="H36" s="83">
        <f>TrainingAndTravelPlan[[#Totals],[Jun]]+MarketingPlan[[#Totals],[Jun]]+OfficePlan[[#Totals],[Jun]]+EmployeePlan[[#Totals],[Jun]]</f>
        <v>130495</v>
      </c>
      <c r="I36" s="83">
        <f>TrainingAndTravelPlan[[#Totals],[Jul]]+MarketingPlan[[#Totals],[Jul]]+OfficePlan[[#Totals],[Jul]]+EmployeePlan[[#Totals],[Jul]]</f>
        <v>134695</v>
      </c>
      <c r="J36" s="83">
        <f>TrainingAndTravelPlan[[#Totals],[Aug]]+MarketingPlan[[#Totals],[Aug]]+OfficePlan[[#Totals],[Aug]]+EmployeePlan[[#Totals],[Aug]]</f>
        <v>138918</v>
      </c>
      <c r="K36" s="83">
        <f>TrainingAndTravelPlan[[#Totals],[Sep]]+MarketingPlan[[#Totals],[Sep]]+OfficePlan[[#Totals],[Sep]]+EmployeePlan[[#Totals],[Sep]]</f>
        <v>135918</v>
      </c>
      <c r="L36" s="83">
        <f>TrainingAndTravelPlan[[#Totals],[Oct]]+MarketingPlan[[#Totals],[Oct]]+OfficePlan[[#Totals],[Oct]]+EmployeePlan[[#Totals],[Oct]]</f>
        <v>140918</v>
      </c>
      <c r="M36" s="83">
        <f>TrainingAndTravelPlan[[#Totals],[Nov]]+MarketingPlan[[#Totals],[Nov]]+OfficePlan[[#Totals],[Nov]]+EmployeePlan[[#Totals],[Nov]]</f>
        <v>136218</v>
      </c>
      <c r="N36" s="83">
        <f>TrainingAndTravelPlan[[#Totals],[Dec]]+MarketingPlan[[#Totals],[Dec]]+OfficePlan[[#Totals],[Dec]]+EmployeePlan[[#Totals],[Dec]]</f>
        <v>140018</v>
      </c>
      <c r="O36" s="83">
        <f>TrainingAndTravelPlan[[#Totals],[YEAR]]+MarketingPlan[[#Totals],[YEAR]]+OfficePlan[[#Totals],[YEAR]]+EmployeePlan[[#Totals],[YEAR]]</f>
        <v>1609630</v>
      </c>
      <c r="P36" s="4"/>
      <c r="Q36" s="101"/>
    </row>
    <row r="37" spans="1:17" s="100" customFormat="1" ht="33.950000000000003" customHeight="1" x14ac:dyDescent="0.45">
      <c r="A37" s="10"/>
      <c r="B37" s="116" t="s">
        <v>34</v>
      </c>
      <c r="C37" s="117">
        <f>SUM($C$36:C36)</f>
        <v>131420</v>
      </c>
      <c r="D37" s="117">
        <f>SUM($C$36:D36)</f>
        <v>258240</v>
      </c>
      <c r="E37" s="117">
        <f>SUM($C$36:E36)</f>
        <v>385060</v>
      </c>
      <c r="F37" s="117">
        <f>SUM($C$36:F36)</f>
        <v>522755</v>
      </c>
      <c r="G37" s="117">
        <f>SUM($C$36:G36)</f>
        <v>652450</v>
      </c>
      <c r="H37" s="117">
        <f>SUM($C$36:H36)</f>
        <v>782945</v>
      </c>
      <c r="I37" s="117">
        <f>SUM($C$36:I36)</f>
        <v>917640</v>
      </c>
      <c r="J37" s="117">
        <f>SUM($C$36:J36)</f>
        <v>1056558</v>
      </c>
      <c r="K37" s="117">
        <f>SUM($C$36:K36)</f>
        <v>1192476</v>
      </c>
      <c r="L37" s="117">
        <f>SUM($C$36:L36)</f>
        <v>1333394</v>
      </c>
      <c r="M37" s="117">
        <f>SUM($C$36:M36)</f>
        <v>1469612</v>
      </c>
      <c r="N37" s="117">
        <f>SUM($C$36:N36)</f>
        <v>1609630</v>
      </c>
      <c r="O37" s="117"/>
      <c r="P37" s="4"/>
      <c r="Q37" s="101"/>
    </row>
    <row r="38" spans="1:17" s="100" customFormat="1" ht="33.950000000000003" customHeight="1" x14ac:dyDescent="0.45">
      <c r="A38" s="1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9"/>
      <c r="O38" s="9"/>
      <c r="P38" s="4"/>
      <c r="Q38" s="101"/>
    </row>
  </sheetData>
  <mergeCells count="4">
    <mergeCell ref="B1:O3"/>
    <mergeCell ref="B34:C34"/>
    <mergeCell ref="B20:C20"/>
    <mergeCell ref="B9:C9"/>
  </mergeCells>
  <printOptions horizontalCentered="1"/>
  <pageMargins left="0.4" right="0.4" top="0.4" bottom="0.4" header="0.3" footer="0.3"/>
  <pageSetup scale="59" fitToHeight="0" orientation="landscape" r:id="rId1"/>
  <headerFooter differentFirst="1">
    <oddFooter>Page &amp;P of &amp;N</oddFooter>
  </headerFooter>
  <ignoredErrors>
    <ignoredError sqref="C6:N6 C36:O37" calculatedColumn="1"/>
    <ignoredError sqref="O12" emptyCellReference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3B893D"/>
    <pageSetUpPr autoPageBreaks="0" fitToPage="1"/>
  </sheetPr>
  <dimension ref="A1:P41"/>
  <sheetViews>
    <sheetView showGridLines="0" zoomScale="85" zoomScaleNormal="85" workbookViewId="0"/>
  </sheetViews>
  <sheetFormatPr defaultColWidth="9" defaultRowHeight="33.950000000000003" customHeight="1" x14ac:dyDescent="0.45"/>
  <cols>
    <col min="1" max="1" width="2.83203125" style="101" customWidth="1"/>
    <col min="2" max="2" width="45.83203125" style="140" customWidth="1"/>
    <col min="3" max="15" width="16.83203125" style="140" customWidth="1"/>
    <col min="16" max="16" width="2.83203125" style="101" customWidth="1"/>
    <col min="17" max="16384" width="9" style="140"/>
  </cols>
  <sheetData>
    <row r="1" spans="1:16" s="100" customFormat="1" ht="24" customHeight="1" x14ac:dyDescent="0.45">
      <c r="A1" s="1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3"/>
    </row>
    <row r="2" spans="1:16" s="100" customFormat="1" ht="45" customHeight="1" x14ac:dyDescent="0.45">
      <c r="A2" s="5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2"/>
    </row>
    <row r="3" spans="1:16" s="100" customFormat="1" ht="79.150000000000006" customHeight="1" x14ac:dyDescent="0.45">
      <c r="A3" s="5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2"/>
    </row>
    <row r="4" spans="1:16" s="172" customFormat="1" ht="49.5" customHeight="1" x14ac:dyDescent="0.45">
      <c r="A4" s="6"/>
      <c r="B4" s="17" t="s">
        <v>50</v>
      </c>
      <c r="C4" s="29" t="s">
        <v>38</v>
      </c>
      <c r="D4" s="15" t="s">
        <v>39</v>
      </c>
      <c r="E4" s="30" t="s">
        <v>40</v>
      </c>
      <c r="F4" s="15" t="s">
        <v>41</v>
      </c>
      <c r="G4" s="29" t="s">
        <v>42</v>
      </c>
      <c r="H4" s="15" t="s">
        <v>43</v>
      </c>
      <c r="I4" s="30" t="s">
        <v>44</v>
      </c>
      <c r="J4" s="15" t="s">
        <v>45</v>
      </c>
      <c r="K4" s="29" t="s">
        <v>46</v>
      </c>
      <c r="L4" s="15" t="s">
        <v>47</v>
      </c>
      <c r="M4" s="29" t="s">
        <v>48</v>
      </c>
      <c r="N4" s="16" t="s">
        <v>49</v>
      </c>
      <c r="O4" s="29" t="s">
        <v>12</v>
      </c>
      <c r="P4" s="7"/>
    </row>
    <row r="5" spans="1:16" ht="33.950000000000003" customHeight="1" x14ac:dyDescent="0.45">
      <c r="A5" s="8"/>
      <c r="B5" s="118" t="s">
        <v>58</v>
      </c>
      <c r="C5" s="119" t="s">
        <v>0</v>
      </c>
      <c r="D5" s="119" t="s">
        <v>1</v>
      </c>
      <c r="E5" s="120" t="s">
        <v>2</v>
      </c>
      <c r="F5" s="119" t="s">
        <v>3</v>
      </c>
      <c r="G5" s="119" t="s">
        <v>4</v>
      </c>
      <c r="H5" s="119" t="s">
        <v>5</v>
      </c>
      <c r="I5" s="119" t="s">
        <v>6</v>
      </c>
      <c r="J5" s="119" t="s">
        <v>7</v>
      </c>
      <c r="K5" s="119" t="s">
        <v>8</v>
      </c>
      <c r="L5" s="119" t="s">
        <v>9</v>
      </c>
      <c r="M5" s="119" t="s">
        <v>10</v>
      </c>
      <c r="N5" s="119" t="s">
        <v>11</v>
      </c>
      <c r="O5" s="121" t="s">
        <v>12</v>
      </c>
      <c r="P5" s="9"/>
    </row>
    <row r="6" spans="1:16" s="176" customFormat="1" ht="33.950000000000003" customHeight="1" x14ac:dyDescent="0.35">
      <c r="A6" s="151"/>
      <c r="B6" s="149" t="s">
        <v>13</v>
      </c>
      <c r="C6" s="27">
        <v>85000</v>
      </c>
      <c r="D6" s="27">
        <v>85000</v>
      </c>
      <c r="E6" s="27">
        <v>85000</v>
      </c>
      <c r="F6" s="27">
        <v>88000</v>
      </c>
      <c r="G6" s="27">
        <v>88000</v>
      </c>
      <c r="H6" s="27">
        <v>88000</v>
      </c>
      <c r="I6" s="27"/>
      <c r="J6" s="27"/>
      <c r="K6" s="27"/>
      <c r="L6" s="27"/>
      <c r="M6" s="27"/>
      <c r="N6" s="27"/>
      <c r="O6" s="27">
        <f>SUM(C6:N6)</f>
        <v>519000</v>
      </c>
      <c r="P6" s="152"/>
    </row>
    <row r="7" spans="1:16" s="176" customFormat="1" ht="33.950000000000003" customHeight="1" x14ac:dyDescent="0.35">
      <c r="A7" s="151"/>
      <c r="B7" s="45" t="s">
        <v>14</v>
      </c>
      <c r="C7" s="28">
        <f t="shared" ref="C7:N7" si="0">C6*0.27</f>
        <v>22950</v>
      </c>
      <c r="D7" s="28">
        <f t="shared" si="0"/>
        <v>22950</v>
      </c>
      <c r="E7" s="28">
        <f t="shared" si="0"/>
        <v>22950</v>
      </c>
      <c r="F7" s="28">
        <f t="shared" si="0"/>
        <v>23760</v>
      </c>
      <c r="G7" s="28">
        <f t="shared" si="0"/>
        <v>23760</v>
      </c>
      <c r="H7" s="28">
        <f t="shared" si="0"/>
        <v>23760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>SUM(C7:N7)</f>
        <v>140130</v>
      </c>
      <c r="P7" s="152"/>
    </row>
    <row r="8" spans="1:16" s="177" customFormat="1" ht="33.950000000000003" customHeight="1" x14ac:dyDescent="0.35">
      <c r="A8" s="151"/>
      <c r="B8" s="150" t="s">
        <v>15</v>
      </c>
      <c r="C8" s="31">
        <f>SUBTOTAL(109,EmployeeActual[Jan])</f>
        <v>107950</v>
      </c>
      <c r="D8" s="31">
        <f>SUBTOTAL(109,EmployeeActual[Feb])</f>
        <v>107950</v>
      </c>
      <c r="E8" s="31">
        <f>SUBTOTAL(109,EmployeeActual[Mar])</f>
        <v>107950</v>
      </c>
      <c r="F8" s="31">
        <f>SUBTOTAL(109,EmployeeActual[Apr])</f>
        <v>111760</v>
      </c>
      <c r="G8" s="31">
        <f>SUBTOTAL(109,EmployeeActual[May])</f>
        <v>111760</v>
      </c>
      <c r="H8" s="31">
        <f>SUBTOTAL(109,EmployeeActual[Jun])</f>
        <v>111760</v>
      </c>
      <c r="I8" s="31">
        <f>SUBTOTAL(109,EmployeeActual[Jul])</f>
        <v>0</v>
      </c>
      <c r="J8" s="31">
        <f>SUBTOTAL(109,EmployeeActual[Aug])</f>
        <v>0</v>
      </c>
      <c r="K8" s="31">
        <f>SUBTOTAL(109,EmployeeActual[Sep])</f>
        <v>0</v>
      </c>
      <c r="L8" s="31">
        <f>SUBTOTAL(109,EmployeeActual[Oct])</f>
        <v>0</v>
      </c>
      <c r="M8" s="31">
        <f>SUBTOTAL(109,EmployeeActual[Nov])</f>
        <v>0</v>
      </c>
      <c r="N8" s="31">
        <f>SUBTOTAL(109,EmployeeActual[Dec])</f>
        <v>0</v>
      </c>
      <c r="O8" s="31">
        <f>SUBTOTAL(109,EmployeeActual[YEAR])</f>
        <v>659130</v>
      </c>
      <c r="P8" s="152"/>
    </row>
    <row r="9" spans="1:16" s="100" customFormat="1" ht="33.950000000000003" customHeight="1" x14ac:dyDescent="0.45">
      <c r="A9" s="10"/>
      <c r="B9" s="189"/>
      <c r="C9" s="186"/>
      <c r="D9" s="189"/>
      <c r="E9" s="186"/>
      <c r="F9" s="11"/>
      <c r="G9" s="11"/>
      <c r="H9" s="11"/>
      <c r="I9" s="11"/>
      <c r="J9" s="11"/>
      <c r="K9" s="11"/>
      <c r="L9" s="11"/>
      <c r="M9" s="11"/>
      <c r="N9" s="11"/>
      <c r="O9" s="12"/>
      <c r="P9" s="4"/>
    </row>
    <row r="10" spans="1:16" s="174" customFormat="1" ht="33.950000000000003" customHeight="1" x14ac:dyDescent="0.45">
      <c r="A10" s="10"/>
      <c r="B10" s="123" t="s">
        <v>59</v>
      </c>
      <c r="C10" s="124" t="s">
        <v>0</v>
      </c>
      <c r="D10" s="124" t="s">
        <v>1</v>
      </c>
      <c r="E10" s="125" t="s">
        <v>2</v>
      </c>
      <c r="F10" s="124" t="s">
        <v>3</v>
      </c>
      <c r="G10" s="124" t="s">
        <v>4</v>
      </c>
      <c r="H10" s="124" t="s">
        <v>5</v>
      </c>
      <c r="I10" s="124" t="s">
        <v>6</v>
      </c>
      <c r="J10" s="124" t="s">
        <v>7</v>
      </c>
      <c r="K10" s="124" t="s">
        <v>8</v>
      </c>
      <c r="L10" s="124" t="s">
        <v>9</v>
      </c>
      <c r="M10" s="124" t="s">
        <v>10</v>
      </c>
      <c r="N10" s="124" t="s">
        <v>11</v>
      </c>
      <c r="O10" s="126" t="s">
        <v>12</v>
      </c>
      <c r="P10" s="4"/>
    </row>
    <row r="11" spans="1:16" s="174" customFormat="1" ht="33.950000000000003" customHeight="1" x14ac:dyDescent="0.45">
      <c r="A11" s="10"/>
      <c r="B11" s="47" t="s">
        <v>16</v>
      </c>
      <c r="C11" s="122">
        <v>9800</v>
      </c>
      <c r="D11" s="122">
        <v>9800</v>
      </c>
      <c r="E11" s="122">
        <v>9800</v>
      </c>
      <c r="F11" s="122">
        <v>9800</v>
      </c>
      <c r="G11" s="122">
        <v>9800</v>
      </c>
      <c r="H11" s="122">
        <v>9800</v>
      </c>
      <c r="I11" s="122"/>
      <c r="J11" s="122"/>
      <c r="K11" s="122"/>
      <c r="L11" s="122"/>
      <c r="M11" s="122"/>
      <c r="N11" s="122"/>
      <c r="O11" s="122">
        <f t="shared" ref="O11:O18" si="1">SUM(C11:N11)</f>
        <v>58800</v>
      </c>
      <c r="P11" s="4"/>
    </row>
    <row r="12" spans="1:16" s="174" customFormat="1" ht="33.950000000000003" customHeight="1" x14ac:dyDescent="0.45">
      <c r="A12" s="10"/>
      <c r="B12" s="18" t="s">
        <v>17</v>
      </c>
      <c r="C12" s="19">
        <v>4</v>
      </c>
      <c r="D12" s="19">
        <v>430</v>
      </c>
      <c r="E12" s="19">
        <v>385</v>
      </c>
      <c r="F12" s="19">
        <v>230</v>
      </c>
      <c r="G12" s="19">
        <v>87</v>
      </c>
      <c r="H12" s="19">
        <v>88</v>
      </c>
      <c r="I12" s="19"/>
      <c r="J12" s="19"/>
      <c r="K12" s="19"/>
      <c r="L12" s="19"/>
      <c r="M12" s="19"/>
      <c r="N12" s="19"/>
      <c r="O12" s="19">
        <f t="shared" si="1"/>
        <v>1224</v>
      </c>
      <c r="P12" s="4"/>
    </row>
    <row r="13" spans="1:16" s="174" customFormat="1" ht="33.950000000000003" customHeight="1" x14ac:dyDescent="0.45">
      <c r="A13" s="10"/>
      <c r="B13" s="18" t="s">
        <v>18</v>
      </c>
      <c r="C13" s="19">
        <v>288</v>
      </c>
      <c r="D13" s="19">
        <v>278</v>
      </c>
      <c r="E13" s="19">
        <v>268</v>
      </c>
      <c r="F13" s="19">
        <v>299</v>
      </c>
      <c r="G13" s="19">
        <v>306</v>
      </c>
      <c r="H13" s="19">
        <v>290</v>
      </c>
      <c r="I13" s="19"/>
      <c r="J13" s="19"/>
      <c r="K13" s="19"/>
      <c r="L13" s="19"/>
      <c r="M13" s="19"/>
      <c r="N13" s="19"/>
      <c r="O13" s="19">
        <f t="shared" si="1"/>
        <v>1729</v>
      </c>
      <c r="P13" s="4"/>
    </row>
    <row r="14" spans="1:16" s="174" customFormat="1" ht="33.950000000000003" customHeight="1" x14ac:dyDescent="0.45">
      <c r="A14" s="10"/>
      <c r="B14" s="18" t="s">
        <v>19</v>
      </c>
      <c r="C14" s="19">
        <v>35</v>
      </c>
      <c r="D14" s="19">
        <v>33</v>
      </c>
      <c r="E14" s="19">
        <v>34</v>
      </c>
      <c r="F14" s="19">
        <v>36</v>
      </c>
      <c r="G14" s="19">
        <v>34</v>
      </c>
      <c r="H14" s="19">
        <v>36</v>
      </c>
      <c r="I14" s="19"/>
      <c r="J14" s="19"/>
      <c r="K14" s="19"/>
      <c r="L14" s="19"/>
      <c r="M14" s="19"/>
      <c r="N14" s="19"/>
      <c r="O14" s="19">
        <f>SUM(C14:N14)</f>
        <v>208</v>
      </c>
      <c r="P14" s="4"/>
    </row>
    <row r="15" spans="1:16" s="174" customFormat="1" ht="33.950000000000003" customHeight="1" x14ac:dyDescent="0.45">
      <c r="A15" s="10"/>
      <c r="B15" s="18" t="s">
        <v>20</v>
      </c>
      <c r="C15" s="19">
        <v>224</v>
      </c>
      <c r="D15" s="19">
        <v>235</v>
      </c>
      <c r="E15" s="19">
        <v>265</v>
      </c>
      <c r="F15" s="19">
        <v>245</v>
      </c>
      <c r="G15" s="19">
        <v>245</v>
      </c>
      <c r="H15" s="19">
        <v>220</v>
      </c>
      <c r="I15" s="19"/>
      <c r="J15" s="19"/>
      <c r="K15" s="19"/>
      <c r="L15" s="19"/>
      <c r="M15" s="19"/>
      <c r="N15" s="19"/>
      <c r="O15" s="19">
        <f t="shared" si="1"/>
        <v>1434</v>
      </c>
      <c r="P15" s="4"/>
    </row>
    <row r="16" spans="1:16" s="174" customFormat="1" ht="33.950000000000003" customHeight="1" x14ac:dyDescent="0.45">
      <c r="A16" s="10"/>
      <c r="B16" s="18" t="s">
        <v>21</v>
      </c>
      <c r="C16" s="19">
        <v>180</v>
      </c>
      <c r="D16" s="19">
        <v>180</v>
      </c>
      <c r="E16" s="19">
        <v>180</v>
      </c>
      <c r="F16" s="19">
        <v>180</v>
      </c>
      <c r="G16" s="19">
        <v>180</v>
      </c>
      <c r="H16" s="19">
        <v>180</v>
      </c>
      <c r="I16" s="19"/>
      <c r="J16" s="19"/>
      <c r="K16" s="19"/>
      <c r="L16" s="19"/>
      <c r="M16" s="19"/>
      <c r="N16" s="19"/>
      <c r="O16" s="19">
        <f t="shared" si="1"/>
        <v>1080</v>
      </c>
      <c r="P16" s="4"/>
    </row>
    <row r="17" spans="1:16" s="174" customFormat="1" ht="33.950000000000003" customHeight="1" x14ac:dyDescent="0.45">
      <c r="A17" s="10"/>
      <c r="B17" s="18" t="s">
        <v>22</v>
      </c>
      <c r="C17" s="19">
        <v>256</v>
      </c>
      <c r="D17" s="19">
        <v>142</v>
      </c>
      <c r="E17" s="19">
        <v>160</v>
      </c>
      <c r="F17" s="19">
        <v>221</v>
      </c>
      <c r="G17" s="19">
        <v>256</v>
      </c>
      <c r="H17" s="19">
        <v>240</v>
      </c>
      <c r="I17" s="19"/>
      <c r="J17" s="19"/>
      <c r="K17" s="19"/>
      <c r="L17" s="19"/>
      <c r="M17" s="19"/>
      <c r="N17" s="19"/>
      <c r="O17" s="19">
        <f t="shared" si="1"/>
        <v>1275</v>
      </c>
      <c r="P17" s="4"/>
    </row>
    <row r="18" spans="1:16" s="174" customFormat="1" ht="33.950000000000003" customHeight="1" x14ac:dyDescent="0.45">
      <c r="A18" s="10"/>
      <c r="B18" s="18" t="s">
        <v>23</v>
      </c>
      <c r="C18" s="19">
        <v>600</v>
      </c>
      <c r="D18" s="19">
        <v>600</v>
      </c>
      <c r="E18" s="19">
        <v>600</v>
      </c>
      <c r="F18" s="19">
        <v>600</v>
      </c>
      <c r="G18" s="19">
        <v>600</v>
      </c>
      <c r="H18" s="19">
        <v>600</v>
      </c>
      <c r="I18" s="19"/>
      <c r="J18" s="19"/>
      <c r="K18" s="19"/>
      <c r="L18" s="19"/>
      <c r="M18" s="19"/>
      <c r="N18" s="19"/>
      <c r="O18" s="19">
        <f t="shared" si="1"/>
        <v>3600</v>
      </c>
      <c r="P18" s="4"/>
    </row>
    <row r="19" spans="1:16" s="174" customFormat="1" ht="33.950000000000003" customHeight="1" x14ac:dyDescent="0.45">
      <c r="A19" s="10"/>
      <c r="B19" s="33" t="s">
        <v>15</v>
      </c>
      <c r="C19" s="26">
        <f>SUBTOTAL(109,OfficeActual[Jan])</f>
        <v>11387</v>
      </c>
      <c r="D19" s="26">
        <f>SUBTOTAL(109,OfficeActual[Feb])</f>
        <v>11698</v>
      </c>
      <c r="E19" s="26">
        <f>SUBTOTAL(109,OfficeActual[Mar])</f>
        <v>11692</v>
      </c>
      <c r="F19" s="26">
        <f>SUBTOTAL(109,OfficeActual[Apr])</f>
        <v>11611</v>
      </c>
      <c r="G19" s="26">
        <f>SUBTOTAL(109,OfficeActual[May])</f>
        <v>11508</v>
      </c>
      <c r="H19" s="26">
        <f>SUBTOTAL(109,OfficeActual[Jun])</f>
        <v>11454</v>
      </c>
      <c r="I19" s="26">
        <f>SUBTOTAL(109,OfficeActual[Jul])</f>
        <v>0</v>
      </c>
      <c r="J19" s="26">
        <f>SUBTOTAL(109,OfficeActual[Aug])</f>
        <v>0</v>
      </c>
      <c r="K19" s="26">
        <f>SUBTOTAL(109,OfficeActual[Sep])</f>
        <v>0</v>
      </c>
      <c r="L19" s="26">
        <f>SUBTOTAL(109,OfficeActual[Oct])</f>
        <v>0</v>
      </c>
      <c r="M19" s="26">
        <f>SUBTOTAL(109,OfficeActual[Nov])</f>
        <v>0</v>
      </c>
      <c r="N19" s="26">
        <f>SUBTOTAL(109,OfficeActual[Dec])</f>
        <v>0</v>
      </c>
      <c r="O19" s="26">
        <f>SUBTOTAL(109,OfficeActual[YEAR])</f>
        <v>69350</v>
      </c>
      <c r="P19" s="4"/>
    </row>
    <row r="20" spans="1:16" s="174" customFormat="1" ht="33.950000000000003" customHeight="1" x14ac:dyDescent="0.45">
      <c r="A20" s="10"/>
      <c r="B20" s="188"/>
      <c r="C20" s="188"/>
      <c r="D20" s="11"/>
      <c r="E20" s="11"/>
      <c r="F20" s="13"/>
      <c r="G20" s="13"/>
      <c r="H20" s="13"/>
      <c r="I20" s="13"/>
      <c r="J20" s="13"/>
      <c r="K20" s="13"/>
      <c r="L20" s="13"/>
      <c r="M20" s="13"/>
      <c r="N20" s="13"/>
      <c r="O20" s="12"/>
      <c r="P20" s="4"/>
    </row>
    <row r="21" spans="1:16" s="174" customFormat="1" ht="33.950000000000003" customHeight="1" x14ac:dyDescent="0.45">
      <c r="A21" s="10"/>
      <c r="B21" s="123" t="s">
        <v>60</v>
      </c>
      <c r="C21" s="128" t="s">
        <v>0</v>
      </c>
      <c r="D21" s="128" t="s">
        <v>1</v>
      </c>
      <c r="E21" s="129" t="s">
        <v>2</v>
      </c>
      <c r="F21" s="128" t="s">
        <v>3</v>
      </c>
      <c r="G21" s="128" t="s">
        <v>4</v>
      </c>
      <c r="H21" s="128" t="s">
        <v>5</v>
      </c>
      <c r="I21" s="128" t="s">
        <v>6</v>
      </c>
      <c r="J21" s="128" t="s">
        <v>7</v>
      </c>
      <c r="K21" s="128" t="s">
        <v>8</v>
      </c>
      <c r="L21" s="128" t="s">
        <v>9</v>
      </c>
      <c r="M21" s="128" t="s">
        <v>10</v>
      </c>
      <c r="N21" s="128" t="s">
        <v>11</v>
      </c>
      <c r="O21" s="130" t="s">
        <v>12</v>
      </c>
      <c r="P21" s="4"/>
    </row>
    <row r="22" spans="1:16" s="174" customFormat="1" ht="33.950000000000003" customHeight="1" x14ac:dyDescent="0.45">
      <c r="A22" s="10"/>
      <c r="B22" s="127" t="s">
        <v>24</v>
      </c>
      <c r="C22" s="122">
        <v>500</v>
      </c>
      <c r="D22" s="122">
        <v>500</v>
      </c>
      <c r="E22" s="122">
        <v>500</v>
      </c>
      <c r="F22" s="122">
        <v>500</v>
      </c>
      <c r="G22" s="122">
        <v>500</v>
      </c>
      <c r="H22" s="122">
        <v>500</v>
      </c>
      <c r="I22" s="122"/>
      <c r="J22" s="122"/>
      <c r="K22" s="122"/>
      <c r="L22" s="122"/>
      <c r="M22" s="122"/>
      <c r="N22" s="122"/>
      <c r="O22" s="122">
        <f t="shared" ref="O22:O27" si="2">SUM(C22:N22)</f>
        <v>3000</v>
      </c>
      <c r="P22" s="4"/>
    </row>
    <row r="23" spans="1:16" s="174" customFormat="1" ht="33.950000000000003" customHeight="1" x14ac:dyDescent="0.45">
      <c r="A23" s="10"/>
      <c r="B23" s="22" t="s">
        <v>25</v>
      </c>
      <c r="C23" s="19">
        <v>200</v>
      </c>
      <c r="D23" s="19">
        <v>200</v>
      </c>
      <c r="E23" s="19">
        <v>200</v>
      </c>
      <c r="F23" s="19">
        <v>200</v>
      </c>
      <c r="G23" s="19">
        <v>200</v>
      </c>
      <c r="H23" s="19">
        <v>1500</v>
      </c>
      <c r="I23" s="19"/>
      <c r="J23" s="19"/>
      <c r="K23" s="19"/>
      <c r="L23" s="19"/>
      <c r="M23" s="19"/>
      <c r="N23" s="19"/>
      <c r="O23" s="19">
        <f t="shared" si="2"/>
        <v>2500</v>
      </c>
      <c r="P23" s="4"/>
    </row>
    <row r="24" spans="1:16" s="174" customFormat="1" ht="33.950000000000003" customHeight="1" x14ac:dyDescent="0.45">
      <c r="A24" s="10"/>
      <c r="B24" s="22" t="s">
        <v>26</v>
      </c>
      <c r="C24" s="19">
        <v>4800</v>
      </c>
      <c r="D24" s="19">
        <v>0</v>
      </c>
      <c r="E24" s="19">
        <v>0</v>
      </c>
      <c r="F24" s="19">
        <v>5500</v>
      </c>
      <c r="G24" s="19">
        <v>0</v>
      </c>
      <c r="H24" s="19">
        <v>0</v>
      </c>
      <c r="I24" s="19"/>
      <c r="J24" s="19"/>
      <c r="K24" s="19"/>
      <c r="L24" s="19"/>
      <c r="M24" s="19"/>
      <c r="N24" s="19"/>
      <c r="O24" s="19">
        <f t="shared" si="2"/>
        <v>10300</v>
      </c>
      <c r="P24" s="4"/>
    </row>
    <row r="25" spans="1:16" s="174" customFormat="1" ht="33.950000000000003" customHeight="1" x14ac:dyDescent="0.45">
      <c r="A25" s="10"/>
      <c r="B25" s="22" t="s">
        <v>27</v>
      </c>
      <c r="C25" s="19">
        <v>100</v>
      </c>
      <c r="D25" s="19">
        <v>500</v>
      </c>
      <c r="E25" s="19">
        <v>100</v>
      </c>
      <c r="F25" s="19">
        <v>100</v>
      </c>
      <c r="G25" s="19">
        <v>600</v>
      </c>
      <c r="H25" s="19">
        <v>180</v>
      </c>
      <c r="I25" s="19"/>
      <c r="J25" s="19"/>
      <c r="K25" s="19"/>
      <c r="L25" s="19"/>
      <c r="M25" s="19"/>
      <c r="N25" s="19"/>
      <c r="O25" s="19">
        <f t="shared" si="2"/>
        <v>1580</v>
      </c>
      <c r="P25" s="4"/>
    </row>
    <row r="26" spans="1:16" s="174" customFormat="1" ht="33.950000000000003" customHeight="1" x14ac:dyDescent="0.45">
      <c r="A26" s="10"/>
      <c r="B26" s="22" t="s">
        <v>28</v>
      </c>
      <c r="C26" s="19">
        <v>1800</v>
      </c>
      <c r="D26" s="19">
        <v>2200</v>
      </c>
      <c r="E26" s="19">
        <v>2200</v>
      </c>
      <c r="F26" s="19">
        <v>4700</v>
      </c>
      <c r="G26" s="19">
        <v>1500</v>
      </c>
      <c r="H26" s="19">
        <v>2300</v>
      </c>
      <c r="I26" s="19"/>
      <c r="J26" s="19"/>
      <c r="K26" s="19"/>
      <c r="L26" s="19"/>
      <c r="M26" s="19"/>
      <c r="N26" s="19"/>
      <c r="O26" s="19">
        <f t="shared" si="2"/>
        <v>14700</v>
      </c>
      <c r="P26" s="4"/>
    </row>
    <row r="27" spans="1:16" s="174" customFormat="1" ht="33.950000000000003" customHeight="1" x14ac:dyDescent="0.45">
      <c r="A27" s="10"/>
      <c r="B27" s="22" t="s">
        <v>29</v>
      </c>
      <c r="C27" s="19">
        <v>145</v>
      </c>
      <c r="D27" s="19">
        <v>156</v>
      </c>
      <c r="E27" s="19">
        <v>123</v>
      </c>
      <c r="F27" s="19">
        <v>223</v>
      </c>
      <c r="G27" s="19">
        <v>187</v>
      </c>
      <c r="H27" s="19">
        <v>245</v>
      </c>
      <c r="I27" s="19"/>
      <c r="J27" s="19"/>
      <c r="K27" s="19"/>
      <c r="L27" s="19"/>
      <c r="M27" s="19"/>
      <c r="N27" s="19"/>
      <c r="O27" s="19">
        <f t="shared" si="2"/>
        <v>1079</v>
      </c>
      <c r="P27" s="4"/>
    </row>
    <row r="28" spans="1:16" s="174" customFormat="1" ht="33.950000000000003" customHeight="1" x14ac:dyDescent="0.45">
      <c r="A28" s="10"/>
      <c r="B28" s="32" t="s">
        <v>15</v>
      </c>
      <c r="C28" s="26">
        <f>SUBTOTAL(109,MarketingActual[Jan])</f>
        <v>7545</v>
      </c>
      <c r="D28" s="26">
        <f>SUBTOTAL(109,MarketingActual[Feb])</f>
        <v>3556</v>
      </c>
      <c r="E28" s="26">
        <f>SUBTOTAL(109,MarketingActual[Mar])</f>
        <v>3123</v>
      </c>
      <c r="F28" s="26">
        <f>SUBTOTAL(109,MarketingActual[Apr])</f>
        <v>11223</v>
      </c>
      <c r="G28" s="26">
        <f>SUBTOTAL(109,MarketingActual[May])</f>
        <v>2987</v>
      </c>
      <c r="H28" s="26">
        <f>SUBTOTAL(109,MarketingActual[Jun])</f>
        <v>4725</v>
      </c>
      <c r="I28" s="26">
        <f>SUBTOTAL(109,MarketingActual[Jul])</f>
        <v>0</v>
      </c>
      <c r="J28" s="26">
        <f>SUBTOTAL(109,MarketingActual[Aug])</f>
        <v>0</v>
      </c>
      <c r="K28" s="26">
        <f>SUBTOTAL(109,MarketingActual[Sep])</f>
        <v>0</v>
      </c>
      <c r="L28" s="26">
        <f>SUBTOTAL(109,MarketingActual[Oct])</f>
        <v>0</v>
      </c>
      <c r="M28" s="26">
        <f>SUBTOTAL(109,MarketingActual[Nov])</f>
        <v>0</v>
      </c>
      <c r="N28" s="26">
        <f>SUBTOTAL(109,MarketingActual[Dec])</f>
        <v>0</v>
      </c>
      <c r="O28" s="26">
        <f>SUBTOTAL(109,MarketingActual[YEAR])</f>
        <v>33159</v>
      </c>
      <c r="P28" s="4"/>
    </row>
    <row r="29" spans="1:16" s="174" customFormat="1" ht="33.950000000000003" customHeight="1" x14ac:dyDescent="0.45">
      <c r="A29" s="10"/>
      <c r="B29" s="186"/>
      <c r="C29" s="186"/>
      <c r="D29" s="13"/>
      <c r="E29" s="35"/>
      <c r="F29" s="13"/>
      <c r="G29" s="13"/>
      <c r="H29" s="13"/>
      <c r="I29" s="13"/>
      <c r="J29" s="13"/>
      <c r="K29" s="13"/>
      <c r="L29" s="13"/>
      <c r="M29" s="13"/>
      <c r="N29" s="13"/>
      <c r="O29" s="12"/>
      <c r="P29" s="4"/>
    </row>
    <row r="30" spans="1:16" s="174" customFormat="1" ht="33.950000000000003" customHeight="1" x14ac:dyDescent="0.45">
      <c r="A30" s="10"/>
      <c r="B30" s="123" t="s">
        <v>62</v>
      </c>
      <c r="C30" s="132" t="s">
        <v>0</v>
      </c>
      <c r="D30" s="132" t="s">
        <v>1</v>
      </c>
      <c r="E30" s="133" t="s">
        <v>2</v>
      </c>
      <c r="F30" s="132" t="s">
        <v>3</v>
      </c>
      <c r="G30" s="132" t="s">
        <v>4</v>
      </c>
      <c r="H30" s="132" t="s">
        <v>5</v>
      </c>
      <c r="I30" s="132" t="s">
        <v>6</v>
      </c>
      <c r="J30" s="132" t="s">
        <v>7</v>
      </c>
      <c r="K30" s="132" t="s">
        <v>8</v>
      </c>
      <c r="L30" s="132" t="s">
        <v>9</v>
      </c>
      <c r="M30" s="132" t="s">
        <v>10</v>
      </c>
      <c r="N30" s="132" t="s">
        <v>11</v>
      </c>
      <c r="O30" s="134" t="s">
        <v>12</v>
      </c>
      <c r="P30" s="4"/>
    </row>
    <row r="31" spans="1:16" s="174" customFormat="1" ht="33.950000000000003" customHeight="1" x14ac:dyDescent="0.45">
      <c r="A31" s="10"/>
      <c r="B31" s="131" t="s">
        <v>30</v>
      </c>
      <c r="C31" s="122">
        <v>1600</v>
      </c>
      <c r="D31" s="122">
        <v>2400</v>
      </c>
      <c r="E31" s="122">
        <v>1400</v>
      </c>
      <c r="F31" s="122">
        <v>1600</v>
      </c>
      <c r="G31" s="122">
        <v>1200</v>
      </c>
      <c r="H31" s="122">
        <v>2800</v>
      </c>
      <c r="I31" s="122"/>
      <c r="J31" s="122"/>
      <c r="K31" s="122"/>
      <c r="L31" s="122"/>
      <c r="M31" s="122"/>
      <c r="N31" s="122"/>
      <c r="O31" s="122">
        <f>SUM(C31:N31)</f>
        <v>11000</v>
      </c>
      <c r="P31" s="4"/>
    </row>
    <row r="32" spans="1:16" s="174" customFormat="1" ht="33.950000000000003" customHeight="1" x14ac:dyDescent="0.45">
      <c r="A32" s="10"/>
      <c r="B32" s="42" t="s">
        <v>31</v>
      </c>
      <c r="C32" s="19">
        <v>1200</v>
      </c>
      <c r="D32" s="19">
        <v>2200</v>
      </c>
      <c r="E32" s="19">
        <v>1400</v>
      </c>
      <c r="F32" s="19">
        <v>1200</v>
      </c>
      <c r="G32" s="19">
        <v>800</v>
      </c>
      <c r="H32" s="19">
        <v>3500</v>
      </c>
      <c r="I32" s="19"/>
      <c r="J32" s="19"/>
      <c r="K32" s="19"/>
      <c r="L32" s="19"/>
      <c r="M32" s="19"/>
      <c r="N32" s="19"/>
      <c r="O32" s="19">
        <f>SUM(C32:N32)</f>
        <v>10300</v>
      </c>
      <c r="P32" s="4"/>
    </row>
    <row r="33" spans="1:16" s="174" customFormat="1" ht="33.950000000000003" customHeight="1" x14ac:dyDescent="0.45">
      <c r="A33" s="10"/>
      <c r="B33" s="43" t="s">
        <v>15</v>
      </c>
      <c r="C33" s="20">
        <f>SUBTOTAL(109,TrainingAndTravelActual[Jan])</f>
        <v>2800</v>
      </c>
      <c r="D33" s="20">
        <f>SUBTOTAL(109,TrainingAndTravelActual[Feb])</f>
        <v>4600</v>
      </c>
      <c r="E33" s="20">
        <f>SUBTOTAL(109,TrainingAndTravelActual[Mar])</f>
        <v>2800</v>
      </c>
      <c r="F33" s="20">
        <f>SUBTOTAL(109,TrainingAndTravelActual[Apr])</f>
        <v>2800</v>
      </c>
      <c r="G33" s="20">
        <f>SUBTOTAL(109,TrainingAndTravelActual[May])</f>
        <v>2000</v>
      </c>
      <c r="H33" s="20">
        <f>SUBTOTAL(109,TrainingAndTravelActual[Jun])</f>
        <v>6300</v>
      </c>
      <c r="I33" s="20">
        <f>SUBTOTAL(109,TrainingAndTravelActual[Jul])</f>
        <v>0</v>
      </c>
      <c r="J33" s="20">
        <f>SUBTOTAL(109,TrainingAndTravelActual[Aug])</f>
        <v>0</v>
      </c>
      <c r="K33" s="20">
        <f>SUBTOTAL(109,TrainingAndTravelActual[Sep])</f>
        <v>0</v>
      </c>
      <c r="L33" s="20">
        <f>SUBTOTAL(109,TrainingAndTravelActual[Oct])</f>
        <v>0</v>
      </c>
      <c r="M33" s="20">
        <f>SUBTOTAL(109,TrainingAndTravelActual[Nov])</f>
        <v>0</v>
      </c>
      <c r="N33" s="20">
        <f>SUBTOTAL(109,TrainingAndTravelActual[Dec])</f>
        <v>0</v>
      </c>
      <c r="O33" s="20">
        <f>SUBTOTAL(109,TrainingAndTravelActual[YEAR])</f>
        <v>21300</v>
      </c>
      <c r="P33" s="4"/>
    </row>
    <row r="34" spans="1:16" s="174" customFormat="1" ht="33.950000000000003" customHeight="1" x14ac:dyDescent="0.45">
      <c r="A34" s="10"/>
      <c r="B34" s="187"/>
      <c r="C34" s="187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4"/>
    </row>
    <row r="35" spans="1:16" s="174" customFormat="1" ht="33.950000000000003" customHeight="1" x14ac:dyDescent="0.45">
      <c r="A35" s="10"/>
      <c r="B35" s="136" t="s">
        <v>69</v>
      </c>
      <c r="C35" s="137" t="s">
        <v>0</v>
      </c>
      <c r="D35" s="137" t="s">
        <v>1</v>
      </c>
      <c r="E35" s="137" t="s">
        <v>2</v>
      </c>
      <c r="F35" s="137" t="s">
        <v>3</v>
      </c>
      <c r="G35" s="137" t="s">
        <v>4</v>
      </c>
      <c r="H35" s="137" t="s">
        <v>5</v>
      </c>
      <c r="I35" s="137" t="s">
        <v>6</v>
      </c>
      <c r="J35" s="137" t="s">
        <v>7</v>
      </c>
      <c r="K35" s="137" t="s">
        <v>8</v>
      </c>
      <c r="L35" s="137" t="s">
        <v>9</v>
      </c>
      <c r="M35" s="137" t="s">
        <v>10</v>
      </c>
      <c r="N35" s="137" t="s">
        <v>11</v>
      </c>
      <c r="O35" s="138" t="s">
        <v>52</v>
      </c>
      <c r="P35" s="4"/>
    </row>
    <row r="36" spans="1:16" s="174" customFormat="1" ht="33.950000000000003" customHeight="1" x14ac:dyDescent="0.45">
      <c r="A36" s="10"/>
      <c r="B36" s="47" t="s">
        <v>35</v>
      </c>
      <c r="C36" s="135">
        <f>TrainingAndTravelActual[[#Totals],[Jan]]+MarketingActual[[#Totals],[Jan]]+OfficeActual[[#Totals],[Jan]]+EmployeeActual[[#Totals],[Jan]]</f>
        <v>129682</v>
      </c>
      <c r="D36" s="135">
        <f>TrainingAndTravelActual[[#Totals],[Feb]]+MarketingActual[[#Totals],[Feb]]+OfficeActual[[#Totals],[Feb]]+EmployeeActual[[#Totals],[Feb]]</f>
        <v>127804</v>
      </c>
      <c r="E36" s="135">
        <f>TrainingAndTravelActual[[#Totals],[Mar]]+MarketingActual[[#Totals],[Mar]]+OfficeActual[[#Totals],[Mar]]+EmployeeActual[[#Totals],[Mar]]</f>
        <v>125565</v>
      </c>
      <c r="F36" s="135">
        <f>TrainingAndTravelActual[[#Totals],[Apr]]+MarketingActual[[#Totals],[Apr]]+OfficeActual[[#Totals],[Apr]]+EmployeeActual[[#Totals],[Apr]]</f>
        <v>137394</v>
      </c>
      <c r="G36" s="135">
        <f>TrainingAndTravelActual[[#Totals],[May]]+MarketingActual[[#Totals],[May]]+OfficeActual[[#Totals],[May]]+EmployeeActual[[#Totals],[May]]</f>
        <v>128255</v>
      </c>
      <c r="H36" s="135">
        <f>TrainingAndTravelActual[[#Totals],[Jun]]+MarketingActual[[#Totals],[Jun]]+OfficeActual[[#Totals],[Jun]]+EmployeeActual[[#Totals],[Jun]]</f>
        <v>134239</v>
      </c>
      <c r="I36" s="135">
        <f>TrainingAndTravelActual[[#Totals],[Jul]]+MarketingActual[[#Totals],[Jul]]+OfficeActual[[#Totals],[Jul]]+EmployeeActual[[#Totals],[Jul]]</f>
        <v>0</v>
      </c>
      <c r="J36" s="135">
        <f>TrainingAndTravelActual[[#Totals],[Aug]]+MarketingActual[[#Totals],[Aug]]+OfficeActual[[#Totals],[Aug]]+EmployeeActual[[#Totals],[Aug]]</f>
        <v>0</v>
      </c>
      <c r="K36" s="135">
        <f>TrainingAndTravelActual[[#Totals],[Sep]]+MarketingActual[[#Totals],[Sep]]+OfficeActual[[#Totals],[Sep]]+EmployeeActual[[#Totals],[Sep]]</f>
        <v>0</v>
      </c>
      <c r="L36" s="135">
        <f>TrainingAndTravelActual[[#Totals],[Oct]]+MarketingActual[[#Totals],[Oct]]+OfficeActual[[#Totals],[Oct]]+EmployeeActual[[#Totals],[Oct]]</f>
        <v>0</v>
      </c>
      <c r="M36" s="135">
        <f>TrainingAndTravelActual[[#Totals],[Nov]]+MarketingActual[[#Totals],[Nov]]+OfficeActual[[#Totals],[Nov]]+EmployeeActual[[#Totals],[Nov]]</f>
        <v>0</v>
      </c>
      <c r="N36" s="135">
        <f>TrainingAndTravelActual[[#Totals],[Dec]]+MarketingActual[[#Totals],[Dec]]+OfficeActual[[#Totals],[Dec]]+EmployeeActual[[#Totals],[Dec]]</f>
        <v>0</v>
      </c>
      <c r="O36" s="135">
        <f>TrainingAndTravelActual[[#Totals],[YEAR]]+MarketingActual[[#Totals],[YEAR]]+OfficeActual[[#Totals],[YEAR]]+EmployeeActual[[#Totals],[YEAR]]</f>
        <v>782939</v>
      </c>
      <c r="P36" s="34"/>
    </row>
    <row r="37" spans="1:16" s="174" customFormat="1" ht="33.950000000000003" customHeight="1" x14ac:dyDescent="0.45">
      <c r="A37" s="10"/>
      <c r="B37" s="40" t="s">
        <v>36</v>
      </c>
      <c r="C37" s="41">
        <f>SUM($C$36:C36)</f>
        <v>129682</v>
      </c>
      <c r="D37" s="41">
        <f>SUM($C$36:D36)</f>
        <v>257486</v>
      </c>
      <c r="E37" s="41">
        <f>SUM($C$36:E36)</f>
        <v>383051</v>
      </c>
      <c r="F37" s="41">
        <f>SUM($C$36:F36)</f>
        <v>520445</v>
      </c>
      <c r="G37" s="41">
        <f>SUM($C$36:G36)</f>
        <v>648700</v>
      </c>
      <c r="H37" s="41">
        <f>SUM($C$36:H36)</f>
        <v>782939</v>
      </c>
      <c r="I37" s="41">
        <f>SUM($C$36:I36)</f>
        <v>782939</v>
      </c>
      <c r="J37" s="41">
        <f>SUM($C$36:J36)</f>
        <v>782939</v>
      </c>
      <c r="K37" s="41">
        <f>SUM($C$36:K36)</f>
        <v>782939</v>
      </c>
      <c r="L37" s="41">
        <f>SUM($C$36:L36)</f>
        <v>782939</v>
      </c>
      <c r="M37" s="41">
        <f>SUM($C$36:M36)</f>
        <v>782939</v>
      </c>
      <c r="N37" s="41">
        <f>SUM($C$36:N36)</f>
        <v>782939</v>
      </c>
      <c r="O37" s="41"/>
      <c r="P37" s="34"/>
    </row>
    <row r="38" spans="1:16" s="174" customFormat="1" ht="33.950000000000003" customHeight="1" x14ac:dyDescent="0.45">
      <c r="A38" s="4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9"/>
      <c r="M38" s="39"/>
      <c r="N38" s="39"/>
      <c r="O38" s="39"/>
      <c r="P38" s="4"/>
    </row>
    <row r="39" spans="1:16" ht="33.950000000000003" customHeight="1" x14ac:dyDescent="0.45"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</row>
    <row r="40" spans="1:16" ht="33.950000000000003" customHeight="1" x14ac:dyDescent="0.45"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</row>
    <row r="41" spans="1:16" ht="33.950000000000003" customHeight="1" x14ac:dyDescent="0.45"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</row>
  </sheetData>
  <mergeCells count="6">
    <mergeCell ref="B34:C34"/>
    <mergeCell ref="B29:C29"/>
    <mergeCell ref="B20:C20"/>
    <mergeCell ref="B9:C9"/>
    <mergeCell ref="B1:O3"/>
    <mergeCell ref="D9:E9"/>
  </mergeCells>
  <printOptions horizontalCentered="1"/>
  <pageMargins left="0.4" right="0.4" top="0.4" bottom="0.4" header="0.3" footer="0.3"/>
  <pageSetup scale="59" fitToHeight="0" orientation="landscape" r:id="rId1"/>
  <headerFooter differentFirst="1">
    <oddFooter>Page &amp;P of &amp;N</oddFooter>
  </headerFooter>
  <ignoredErrors>
    <ignoredError sqref="O31:O33 O22:O28 O11:O13 O15:O19" emptyCellReference="1"/>
    <ignoredError sqref="C36:O37 C7:H7 C6:N6 O7" calculatedColumn="1"/>
    <ignoredError sqref="O6 I7:N7" emptyCellReference="1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 fitToPage="1"/>
  </sheetPr>
  <dimension ref="A1:P37"/>
  <sheetViews>
    <sheetView showGridLines="0" zoomScale="85" zoomScaleNormal="85" workbookViewId="0"/>
  </sheetViews>
  <sheetFormatPr defaultColWidth="9" defaultRowHeight="33.950000000000003" customHeight="1" x14ac:dyDescent="0.45"/>
  <cols>
    <col min="1" max="1" width="2.83203125" style="100" customWidth="1"/>
    <col min="2" max="2" width="45.83203125" style="174" customWidth="1"/>
    <col min="3" max="15" width="16.83203125" style="174" customWidth="1"/>
    <col min="16" max="16" width="2.83203125" style="174" customWidth="1"/>
    <col min="17" max="16384" width="9" style="174"/>
  </cols>
  <sheetData>
    <row r="1" spans="1:16" s="100" customFormat="1" ht="24" customHeight="1" x14ac:dyDescent="0.45">
      <c r="A1" s="1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3"/>
    </row>
    <row r="2" spans="1:16" s="100" customFormat="1" ht="45" customHeight="1" x14ac:dyDescent="0.45">
      <c r="A2" s="5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2"/>
    </row>
    <row r="3" spans="1:16" s="100" customFormat="1" ht="79.150000000000006" customHeight="1" x14ac:dyDescent="0.45">
      <c r="A3" s="5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2"/>
    </row>
    <row r="4" spans="1:16" s="172" customFormat="1" ht="49.5" customHeight="1" x14ac:dyDescent="0.45">
      <c r="A4" s="6"/>
      <c r="B4" s="17" t="s">
        <v>51</v>
      </c>
      <c r="C4" s="29" t="s">
        <v>38</v>
      </c>
      <c r="D4" s="15" t="s">
        <v>39</v>
      </c>
      <c r="E4" s="30" t="s">
        <v>40</v>
      </c>
      <c r="F4" s="15" t="s">
        <v>41</v>
      </c>
      <c r="G4" s="29" t="s">
        <v>42</v>
      </c>
      <c r="H4" s="15" t="s">
        <v>43</v>
      </c>
      <c r="I4" s="30" t="s">
        <v>44</v>
      </c>
      <c r="J4" s="15" t="s">
        <v>45</v>
      </c>
      <c r="K4" s="29" t="s">
        <v>46</v>
      </c>
      <c r="L4" s="15" t="s">
        <v>47</v>
      </c>
      <c r="M4" s="29" t="s">
        <v>48</v>
      </c>
      <c r="N4" s="16" t="s">
        <v>49</v>
      </c>
      <c r="O4" s="29" t="s">
        <v>12</v>
      </c>
      <c r="P4" s="7"/>
    </row>
    <row r="5" spans="1:16" s="140" customFormat="1" ht="33.950000000000003" customHeight="1" x14ac:dyDescent="0.45">
      <c r="A5" s="8"/>
      <c r="B5" s="154" t="s">
        <v>58</v>
      </c>
      <c r="C5" s="155" t="s">
        <v>0</v>
      </c>
      <c r="D5" s="155" t="s">
        <v>1</v>
      </c>
      <c r="E5" s="156" t="s">
        <v>2</v>
      </c>
      <c r="F5" s="155" t="s">
        <v>3</v>
      </c>
      <c r="G5" s="155" t="s">
        <v>4</v>
      </c>
      <c r="H5" s="155" t="s">
        <v>5</v>
      </c>
      <c r="I5" s="155" t="s">
        <v>6</v>
      </c>
      <c r="J5" s="155" t="s">
        <v>7</v>
      </c>
      <c r="K5" s="155" t="s">
        <v>8</v>
      </c>
      <c r="L5" s="155" t="s">
        <v>9</v>
      </c>
      <c r="M5" s="155" t="s">
        <v>10</v>
      </c>
      <c r="N5" s="155" t="s">
        <v>11</v>
      </c>
      <c r="O5" s="157" t="s">
        <v>12</v>
      </c>
      <c r="P5" s="36"/>
    </row>
    <row r="6" spans="1:16" s="173" customFormat="1" ht="33.950000000000003" customHeight="1" x14ac:dyDescent="0.35">
      <c r="A6" s="141"/>
      <c r="B6" s="149" t="s">
        <v>13</v>
      </c>
      <c r="C6" s="153">
        <f>INDEX(EmployeePlan[],MATCH(INDEX(EmployeeVariances[],ROW()-ROW(EmployeeVariances[[#Headers],[Jan]]),1),INDEX(EmployeePlan[],,1),0),MATCH(EmployeeVariances[[#Headers],[Jan]],EmployeePlan[#Headers],0))-INDEX(EmployeeActual[],MATCH(INDEX(EmployeeVariances[],ROW()-ROW(EmployeeVariances[[#Headers],[Jan]]),1),INDEX(EmployeePlan[],,1),0),MATCH(EmployeeVariances[[#Headers],[Jan]],EmployeeActual[#Headers],0))</f>
        <v>0</v>
      </c>
      <c r="D6" s="153">
        <f>INDEX(EmployeePlan[],MATCH(INDEX(EmployeeVariances[],ROW()-ROW(EmployeeVariances[[#Headers],[Feb]]),1),INDEX(EmployeePlan[],,1),0),MATCH(EmployeeVariances[[#Headers],[Feb]],EmployeePlan[#Headers],0))-INDEX(EmployeeActual[],MATCH(INDEX(EmployeeVariances[],ROW()-ROW(EmployeeVariances[[#Headers],[Feb]]),1),INDEX(EmployeePlan[],,1),0),MATCH(EmployeeVariances[[#Headers],[Feb]],EmployeeActual[#Headers],0))</f>
        <v>0</v>
      </c>
      <c r="E6" s="153">
        <f>INDEX(EmployeePlan[],MATCH(INDEX(EmployeeVariances[],ROW()-ROW(EmployeeVariances[[#Headers],[Mar]]),1),INDEX(EmployeePlan[],,1),0),MATCH(EmployeeVariances[[#Headers],[Mar]],EmployeePlan[#Headers],0))-INDEX(EmployeeActual[],MATCH(INDEX(EmployeeVariances[],ROW()-ROW(EmployeeVariances[[#Headers],[Mar]]),1),INDEX(EmployeePlan[],,1),0),MATCH(EmployeeVariances[[#Headers],[Mar]],EmployeeActual[#Headers],0))</f>
        <v>0</v>
      </c>
      <c r="F6" s="153">
        <f>INDEX(EmployeePlan[],MATCH(INDEX(EmployeeVariances[],ROW()-ROW(EmployeeVariances[[#Headers],[Apr]]),1),INDEX(EmployeePlan[],,1),0),MATCH(EmployeeVariances[[#Headers],[Apr]],EmployeePlan[#Headers],0))-INDEX(EmployeeActual[],MATCH(INDEX(EmployeeVariances[],ROW()-ROW(EmployeeVariances[[#Headers],[Apr]]),1),INDEX(EmployeePlan[],,1),0),MATCH(EmployeeVariances[[#Headers],[Apr]],EmployeeActual[#Headers],0))</f>
        <v>-500</v>
      </c>
      <c r="G6" s="153">
        <f>INDEX(EmployeePlan[],MATCH(INDEX(EmployeeVariances[],ROW()-ROW(EmployeeVariances[[#Headers],[May]]),1),INDEX(EmployeePlan[],,1),0),MATCH(EmployeeVariances[[#Headers],[May]],EmployeePlan[#Headers],0))-INDEX(EmployeeActual[],MATCH(INDEX(EmployeeVariances[],ROW()-ROW(EmployeeVariances[[#Headers],[May]]),1),INDEX(EmployeePlan[],,1),0),MATCH(EmployeeVariances[[#Headers],[May]],EmployeeActual[#Headers],0))</f>
        <v>-500</v>
      </c>
      <c r="H6" s="153">
        <f>INDEX(EmployeePlan[],MATCH(INDEX(EmployeeVariances[],ROW()-ROW(EmployeeVariances[[#Headers],[Jun]]),1),INDEX(EmployeePlan[],,1),0),MATCH(EmployeeVariances[[#Headers],[Jun]],EmployeePlan[#Headers],0))-INDEX(EmployeeActual[],MATCH(INDEX(EmployeeVariances[],ROW()-ROW(EmployeeVariances[[#Headers],[Jun]]),1),INDEX(EmployeePlan[],,1),0),MATCH(EmployeeVariances[[#Headers],[Jun]],EmployeeActual[#Headers],0))</f>
        <v>-500</v>
      </c>
      <c r="I6" s="153">
        <f>INDEX(EmployeePlan[],MATCH(INDEX(EmployeeVariances[],ROW()-ROW(EmployeeVariances[[#Headers],[Jul]]),1),INDEX(EmployeePlan[],,1),0),MATCH(EmployeeVariances[[#Headers],[Jul]],EmployeePlan[#Headers],0))-INDEX(EmployeeActual[],MATCH(INDEX(EmployeeVariances[],ROW()-ROW(EmployeeVariances[[#Headers],[Jul]]),1),INDEX(EmployeePlan[],,1),0),MATCH(EmployeeVariances[[#Headers],[Jul]],EmployeeActual[#Headers],0))</f>
        <v>87500</v>
      </c>
      <c r="J6" s="153">
        <f>INDEX(EmployeePlan[],MATCH(INDEX(EmployeeVariances[],ROW()-ROW(EmployeeVariances[[#Headers],[Aug]]),1),INDEX(EmployeePlan[],,1),0),MATCH(EmployeeVariances[[#Headers],[Aug]],EmployeePlan[#Headers],0))-INDEX(EmployeeActual[],MATCH(INDEX(EmployeeVariances[],ROW()-ROW(EmployeeVariances[[#Headers],[Aug]]),1),INDEX(EmployeePlan[],,1),0),MATCH(EmployeeVariances[[#Headers],[Aug]],EmployeeActual[#Headers],0))</f>
        <v>92400</v>
      </c>
      <c r="K6" s="153">
        <f>INDEX(EmployeePlan[],MATCH(INDEX(EmployeeVariances[],ROW()-ROW(EmployeeVariances[[#Headers],[Sep]]),1),INDEX(EmployeePlan[],,1),0),MATCH(EmployeeVariances[[#Headers],[Sep]],EmployeePlan[#Headers],0))-INDEX(EmployeeActual[],MATCH(INDEX(EmployeeVariances[],ROW()-ROW(EmployeeVariances[[#Headers],[Sep]]),1),INDEX(EmployeePlan[],,1),0),MATCH(EmployeeVariances[[#Headers],[Sep]],EmployeeActual[#Headers],0))</f>
        <v>92400</v>
      </c>
      <c r="L6" s="153">
        <f>INDEX(EmployeePlan[],MATCH(INDEX(EmployeeVariances[],ROW()-ROW(EmployeeVariances[[#Headers],[Oct]]),1),INDEX(EmployeePlan[],,1),0),MATCH(EmployeeVariances[[#Headers],[Oct]],EmployeePlan[#Headers],0))-INDEX(EmployeeActual[],MATCH(INDEX(EmployeeVariances[],ROW()-ROW(EmployeeVariances[[#Headers],[Oct]]),1),INDEX(EmployeePlan[],,1),0),MATCH(EmployeeVariances[[#Headers],[Oct]],EmployeeActual[#Headers],0))</f>
        <v>92400</v>
      </c>
      <c r="M6" s="153">
        <f>INDEX(EmployeePlan[],MATCH(INDEX(EmployeeVariances[],ROW()-ROW(EmployeeVariances[[#Headers],[Nov]]),1),INDEX(EmployeePlan[],,1),0),MATCH(EmployeeVariances[[#Headers],[Nov]],EmployeePlan[#Headers],0))-INDEX(EmployeeActual[],MATCH(INDEX(EmployeeVariances[],ROW()-ROW(EmployeeVariances[[#Headers],[Nov]]),1),INDEX(EmployeePlan[],,1),0),MATCH(EmployeeVariances[[#Headers],[Nov]],EmployeeActual[#Headers],0))</f>
        <v>92400</v>
      </c>
      <c r="N6" s="153">
        <f>INDEX(EmployeePlan[],MATCH(INDEX(EmployeeVariances[],ROW()-ROW(EmployeeVariances[[#Headers],[Dec]]),1),INDEX(EmployeePlan[],,1),0),MATCH(EmployeeVariances[[#Headers],[Dec]],EmployeePlan[#Headers],0))-INDEX(EmployeeActual[],MATCH(INDEX(EmployeeVariances[],ROW()-ROW(EmployeeVariances[[#Headers],[Dec]]),1),INDEX(EmployeePlan[],,1),0),MATCH(EmployeeVariances[[#Headers],[Dec]],EmployeeActual[#Headers],0))</f>
        <v>92400</v>
      </c>
      <c r="O6" s="153">
        <f>SUM(EmployeeVariances[[#This Row],[Jan]:[Dec]])</f>
        <v>548000</v>
      </c>
      <c r="P6" s="143"/>
    </row>
    <row r="7" spans="1:16" s="173" customFormat="1" ht="33.950000000000003" customHeight="1" x14ac:dyDescent="0.35">
      <c r="A7" s="141"/>
      <c r="B7" s="45" t="s">
        <v>14</v>
      </c>
      <c r="C7" s="142">
        <f>INDEX(EmployeePlan[],MATCH(INDEX(EmployeeVariances[],ROW()-ROW(EmployeeVariances[[#Headers],[Jan]]),1),INDEX(EmployeePlan[],,1),0),MATCH(EmployeeVariances[[#Headers],[Jan]],EmployeePlan[#Headers],0))-INDEX(EmployeeActual[],MATCH(INDEX(EmployeeVariances[],ROW()-ROW(EmployeeVariances[[#Headers],[Jan]]),1),INDEX(EmployeePlan[],,1),0),MATCH(EmployeeVariances[[#Headers],[Jan]],EmployeeActual[#Headers],0))</f>
        <v>0</v>
      </c>
      <c r="D7" s="142">
        <f>INDEX(EmployeePlan[],MATCH(INDEX(EmployeeVariances[],ROW()-ROW(EmployeeVariances[[#Headers],[Feb]]),1),INDEX(EmployeePlan[],,1),0),MATCH(EmployeeVariances[[#Headers],[Feb]],EmployeePlan[#Headers],0))-INDEX(EmployeeActual[],MATCH(INDEX(EmployeeVariances[],ROW()-ROW(EmployeeVariances[[#Headers],[Feb]]),1),INDEX(EmployeePlan[],,1),0),MATCH(EmployeeVariances[[#Headers],[Feb]],EmployeeActual[#Headers],0))</f>
        <v>0</v>
      </c>
      <c r="E7" s="142">
        <f>INDEX(EmployeePlan[],MATCH(INDEX(EmployeeVariances[],ROW()-ROW(EmployeeVariances[[#Headers],[Mar]]),1),INDEX(EmployeePlan[],,1),0),MATCH(EmployeeVariances[[#Headers],[Mar]],EmployeePlan[#Headers],0))-INDEX(EmployeeActual[],MATCH(INDEX(EmployeeVariances[],ROW()-ROW(EmployeeVariances[[#Headers],[Mar]]),1),INDEX(EmployeePlan[],,1),0),MATCH(EmployeeVariances[[#Headers],[Mar]],EmployeeActual[#Headers],0))</f>
        <v>0</v>
      </c>
      <c r="F7" s="142">
        <f>INDEX(EmployeePlan[],MATCH(INDEX(EmployeeVariances[],ROW()-ROW(EmployeeVariances[[#Headers],[Apr]]),1),INDEX(EmployeePlan[],,1),0),MATCH(EmployeeVariances[[#Headers],[Apr]],EmployeePlan[#Headers],0))-INDEX(EmployeeActual[],MATCH(INDEX(EmployeeVariances[],ROW()-ROW(EmployeeVariances[[#Headers],[Apr]]),1),INDEX(EmployeePlan[],,1),0),MATCH(EmployeeVariances[[#Headers],[Apr]],EmployeeActual[#Headers],0))</f>
        <v>-135</v>
      </c>
      <c r="G7" s="142">
        <f>INDEX(EmployeePlan[],MATCH(INDEX(EmployeeVariances[],ROW()-ROW(EmployeeVariances[[#Headers],[May]]),1),INDEX(EmployeePlan[],,1),0),MATCH(EmployeeVariances[[#Headers],[May]],EmployeePlan[#Headers],0))-INDEX(EmployeeActual[],MATCH(INDEX(EmployeeVariances[],ROW()-ROW(EmployeeVariances[[#Headers],[May]]),1),INDEX(EmployeePlan[],,1),0),MATCH(EmployeeVariances[[#Headers],[May]],EmployeeActual[#Headers],0))</f>
        <v>-135</v>
      </c>
      <c r="H7" s="142">
        <f>INDEX(EmployeePlan[],MATCH(INDEX(EmployeeVariances[],ROW()-ROW(EmployeeVariances[[#Headers],[Jun]]),1),INDEX(EmployeePlan[],,1),0),MATCH(EmployeeVariances[[#Headers],[Jun]],EmployeePlan[#Headers],0))-INDEX(EmployeeActual[],MATCH(INDEX(EmployeeVariances[],ROW()-ROW(EmployeeVariances[[#Headers],[Jun]]),1),INDEX(EmployeePlan[],,1),0),MATCH(EmployeeVariances[[#Headers],[Jun]],EmployeeActual[#Headers],0))</f>
        <v>-135</v>
      </c>
      <c r="I7" s="142">
        <f>INDEX(EmployeePlan[],MATCH(INDEX(EmployeeVariances[],ROW()-ROW(EmployeeVariances[[#Headers],[Jul]]),1),INDEX(EmployeePlan[],,1),0),MATCH(EmployeeVariances[[#Headers],[Jul]],EmployeePlan[#Headers],0))-INDEX(EmployeeActual[],MATCH(INDEX(EmployeeVariances[],ROW()-ROW(EmployeeVariances[[#Headers],[Jul]]),1),INDEX(EmployeePlan[],,1),0),MATCH(EmployeeVariances[[#Headers],[Jul]],EmployeeActual[#Headers],0))</f>
        <v>23625</v>
      </c>
      <c r="J7" s="142">
        <f>INDEX(EmployeePlan[],MATCH(INDEX(EmployeeVariances[],ROW()-ROW(EmployeeVariances[[#Headers],[Aug]]),1),INDEX(EmployeePlan[],,1),0),MATCH(EmployeeVariances[[#Headers],[Aug]],EmployeePlan[#Headers],0))-INDEX(EmployeeActual[],MATCH(INDEX(EmployeeVariances[],ROW()-ROW(EmployeeVariances[[#Headers],[Aug]]),1),INDEX(EmployeePlan[],,1),0),MATCH(EmployeeVariances[[#Headers],[Aug]],EmployeeActual[#Headers],0))</f>
        <v>24948</v>
      </c>
      <c r="K7" s="142">
        <f>INDEX(EmployeePlan[],MATCH(INDEX(EmployeeVariances[],ROW()-ROW(EmployeeVariances[[#Headers],[Sep]]),1),INDEX(EmployeePlan[],,1),0),MATCH(EmployeeVariances[[#Headers],[Sep]],EmployeePlan[#Headers],0))-INDEX(EmployeeActual[],MATCH(INDEX(EmployeeVariances[],ROW()-ROW(EmployeeVariances[[#Headers],[Sep]]),1),INDEX(EmployeePlan[],,1),0),MATCH(EmployeeVariances[[#Headers],[Sep]],EmployeeActual[#Headers],0))</f>
        <v>24948</v>
      </c>
      <c r="L7" s="142">
        <f>INDEX(EmployeePlan[],MATCH(INDEX(EmployeeVariances[],ROW()-ROW(EmployeeVariances[[#Headers],[Oct]]),1),INDEX(EmployeePlan[],,1),0),MATCH(EmployeeVariances[[#Headers],[Oct]],EmployeePlan[#Headers],0))-INDEX(EmployeeActual[],MATCH(INDEX(EmployeeVariances[],ROW()-ROW(EmployeeVariances[[#Headers],[Oct]]),1),INDEX(EmployeePlan[],,1),0),MATCH(EmployeeVariances[[#Headers],[Oct]],EmployeeActual[#Headers],0))</f>
        <v>24948</v>
      </c>
      <c r="M7" s="142">
        <f>INDEX(EmployeePlan[],MATCH(INDEX(EmployeeVariances[],ROW()-ROW(EmployeeVariances[[#Headers],[Nov]]),1),INDEX(EmployeePlan[],,1),0),MATCH(EmployeeVariances[[#Headers],[Nov]],EmployeePlan[#Headers],0))-INDEX(EmployeeActual[],MATCH(INDEX(EmployeeVariances[],ROW()-ROW(EmployeeVariances[[#Headers],[Nov]]),1),INDEX(EmployeePlan[],,1),0),MATCH(EmployeeVariances[[#Headers],[Nov]],EmployeeActual[#Headers],0))</f>
        <v>24948</v>
      </c>
      <c r="N7" s="142">
        <f>INDEX(EmployeePlan[],MATCH(INDEX(EmployeeVariances[],ROW()-ROW(EmployeeVariances[[#Headers],[Dec]]),1),INDEX(EmployeePlan[],,1),0),MATCH(EmployeeVariances[[#Headers],[Dec]],EmployeePlan[#Headers],0))-INDEX(EmployeeActual[],MATCH(INDEX(EmployeeVariances[],ROW()-ROW(EmployeeVariances[[#Headers],[Dec]]),1),INDEX(EmployeePlan[],,1),0),MATCH(EmployeeVariances[[#Headers],[Dec]],EmployeeActual[#Headers],0))</f>
        <v>24948</v>
      </c>
      <c r="O7" s="142">
        <f>SUM(EmployeeVariances[[#This Row],[Jan]:[Dec]])</f>
        <v>147960</v>
      </c>
      <c r="P7" s="144"/>
    </row>
    <row r="8" spans="1:16" s="173" customFormat="1" ht="33.950000000000003" customHeight="1" x14ac:dyDescent="0.35">
      <c r="A8" s="141"/>
      <c r="B8" s="46" t="s">
        <v>15</v>
      </c>
      <c r="C8" s="145">
        <f>SUBTOTAL(109,EmployeeVariances[Jan])</f>
        <v>0</v>
      </c>
      <c r="D8" s="145">
        <f>SUBTOTAL(109,EmployeeVariances[Feb])</f>
        <v>0</v>
      </c>
      <c r="E8" s="145">
        <f>SUBTOTAL(109,EmployeeVariances[Mar])</f>
        <v>0</v>
      </c>
      <c r="F8" s="145">
        <f>SUBTOTAL(109,EmployeeVariances[Apr])</f>
        <v>-635</v>
      </c>
      <c r="G8" s="145">
        <f>SUBTOTAL(109,EmployeeVariances[May])</f>
        <v>-635</v>
      </c>
      <c r="H8" s="145">
        <f>SUBTOTAL(109,EmployeeVariances[Jun])</f>
        <v>-635</v>
      </c>
      <c r="I8" s="145">
        <f>SUBTOTAL(109,EmployeeVariances[Jul])</f>
        <v>111125</v>
      </c>
      <c r="J8" s="145">
        <f>SUBTOTAL(109,EmployeeVariances[Aug])</f>
        <v>117348</v>
      </c>
      <c r="K8" s="145">
        <f>SUBTOTAL(109,EmployeeVariances[Sep])</f>
        <v>117348</v>
      </c>
      <c r="L8" s="145">
        <f>SUBTOTAL(109,EmployeeVariances[Oct])</f>
        <v>117348</v>
      </c>
      <c r="M8" s="145">
        <f>SUBTOTAL(109,EmployeeVariances[Nov])</f>
        <v>117348</v>
      </c>
      <c r="N8" s="145">
        <f>SUBTOTAL(109,EmployeeVariances[Dec])</f>
        <v>117348</v>
      </c>
      <c r="O8" s="145">
        <f>SUBTOTAL(109,EmployeeVariances[YEAR])</f>
        <v>695960</v>
      </c>
      <c r="P8" s="144"/>
    </row>
    <row r="9" spans="1:16" ht="33.950000000000003" customHeight="1" x14ac:dyDescent="0.45">
      <c r="A9" s="10"/>
      <c r="B9" s="186"/>
      <c r="C9" s="186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37"/>
    </row>
    <row r="10" spans="1:16" ht="33.950000000000003" customHeight="1" x14ac:dyDescent="0.45">
      <c r="A10" s="10"/>
      <c r="B10" s="158" t="s">
        <v>59</v>
      </c>
      <c r="C10" s="159" t="s">
        <v>0</v>
      </c>
      <c r="D10" s="159" t="s">
        <v>1</v>
      </c>
      <c r="E10" s="160" t="s">
        <v>2</v>
      </c>
      <c r="F10" s="159" t="s">
        <v>3</v>
      </c>
      <c r="G10" s="159" t="s">
        <v>4</v>
      </c>
      <c r="H10" s="159" t="s">
        <v>5</v>
      </c>
      <c r="I10" s="159" t="s">
        <v>6</v>
      </c>
      <c r="J10" s="159" t="s">
        <v>7</v>
      </c>
      <c r="K10" s="159" t="s">
        <v>8</v>
      </c>
      <c r="L10" s="159" t="s">
        <v>9</v>
      </c>
      <c r="M10" s="159" t="s">
        <v>10</v>
      </c>
      <c r="N10" s="159" t="s">
        <v>11</v>
      </c>
      <c r="O10" s="161" t="s">
        <v>12</v>
      </c>
      <c r="P10" s="37"/>
    </row>
    <row r="11" spans="1:16" ht="33.950000000000003" customHeight="1" x14ac:dyDescent="0.45">
      <c r="A11" s="10"/>
      <c r="B11" s="47" t="s">
        <v>16</v>
      </c>
      <c r="C11" s="122">
        <f>INDEX(OfficePlan[],MATCH(INDEX(OfficeVariances[],ROW()-ROW(OfficeVariances[[#Headers],[Jan]]),1),INDEX(OfficePlan[],,1),0),MATCH(OfficeVariances[[#Headers],[Jan]],OfficePlan[#Headers],0))-INDEX(OfficeActual[],MATCH(INDEX(OfficeVariances[],ROW()-ROW(OfficeVariances[[#Headers],[Jan]]),1),INDEX(OfficePlan[],,1),0),MATCH(OfficeVariances[[#Headers],[Jan]],OfficeActual[#Headers],0))</f>
        <v>0</v>
      </c>
      <c r="D11" s="122">
        <f>INDEX(OfficePlan[],MATCH(INDEX(OfficeVariances[],ROW()-ROW(OfficeVariances[[#Headers],[Feb]]),1),INDEX(OfficePlan[],,1),0),MATCH(OfficeVariances[[#Headers],[Feb]],OfficePlan[#Headers],0))-INDEX(OfficeActual[],MATCH(INDEX(OfficeVariances[],ROW()-ROW(OfficeVariances[[#Headers],[Feb]]),1),INDEX(OfficePlan[],,1),0),MATCH(OfficeVariances[[#Headers],[Feb]],OfficeActual[#Headers],0))</f>
        <v>0</v>
      </c>
      <c r="E11" s="122">
        <f>INDEX(OfficePlan[],MATCH(INDEX(OfficeVariances[],ROW()-ROW(OfficeVariances[[#Headers],[Mar]]),1),INDEX(OfficePlan[],,1),0),MATCH(OfficeVariances[[#Headers],[Mar]],OfficePlan[#Headers],0))-INDEX(OfficeActual[],MATCH(INDEX(OfficeVariances[],ROW()-ROW(OfficeVariances[[#Headers],[Mar]]),1),INDEX(OfficePlan[],,1),0),MATCH(OfficeVariances[[#Headers],[Mar]],OfficeActual[#Headers],0))</f>
        <v>0</v>
      </c>
      <c r="F11" s="122">
        <f>INDEX(OfficePlan[],MATCH(INDEX(OfficeVariances[],ROW()-ROW(OfficeVariances[[#Headers],[Apr]]),1),INDEX(OfficePlan[],,1),0),MATCH(OfficeVariances[[#Headers],[Apr]],OfficePlan[#Headers],0))-INDEX(OfficeActual[],MATCH(INDEX(OfficeVariances[],ROW()-ROW(OfficeVariances[[#Headers],[Apr]]),1),INDEX(OfficePlan[],,1),0),MATCH(OfficeVariances[[#Headers],[Apr]],OfficeActual[#Headers],0))</f>
        <v>0</v>
      </c>
      <c r="G11" s="122">
        <f>INDEX(OfficePlan[],MATCH(INDEX(OfficeVariances[],ROW()-ROW(OfficeVariances[[#Headers],[May]]),1),INDEX(OfficePlan[],,1),0),MATCH(OfficeVariances[[#Headers],[May]],OfficePlan[#Headers],0))-INDEX(OfficeActual[],MATCH(INDEX(OfficeVariances[],ROW()-ROW(OfficeVariances[[#Headers],[May]]),1),INDEX(OfficePlan[],,1),0),MATCH(OfficeVariances[[#Headers],[May]],OfficeActual[#Headers],0))</f>
        <v>0</v>
      </c>
      <c r="H11" s="122">
        <f>INDEX(OfficePlan[],MATCH(INDEX(OfficeVariances[],ROW()-ROW(OfficeVariances[[#Headers],[Jun]]),1),INDEX(OfficePlan[],,1),0),MATCH(OfficeVariances[[#Headers],[Jun]],OfficePlan[#Headers],0))-INDEX(OfficeActual[],MATCH(INDEX(OfficeVariances[],ROW()-ROW(OfficeVariances[[#Headers],[Jun]]),1),INDEX(OfficePlan[],,1),0),MATCH(OfficeVariances[[#Headers],[Jun]],OfficeActual[#Headers],0))</f>
        <v>0</v>
      </c>
      <c r="I11" s="122">
        <f>INDEX(OfficePlan[],MATCH(INDEX(OfficeVariances[],ROW()-ROW(OfficeVariances[[#Headers],[Jul]]),1),INDEX(OfficePlan[],,1),0),MATCH(OfficeVariances[[#Headers],[Jul]],OfficePlan[#Headers],0))-INDEX(OfficeActual[],MATCH(INDEX(OfficeVariances[],ROW()-ROW(OfficeVariances[[#Headers],[Jul]]),1),INDEX(OfficePlan[],,1),0),MATCH(OfficeVariances[[#Headers],[Jul]],OfficeActual[#Headers],0))</f>
        <v>9800</v>
      </c>
      <c r="J11" s="122">
        <f>INDEX(OfficePlan[],MATCH(INDEX(OfficeVariances[],ROW()-ROW(OfficeVariances[[#Headers],[Aug]]),1),INDEX(OfficePlan[],,1),0),MATCH(OfficeVariances[[#Headers],[Aug]],OfficePlan[#Headers],0))-INDEX(OfficeActual[],MATCH(INDEX(OfficeVariances[],ROW()-ROW(OfficeVariances[[#Headers],[Aug]]),1),INDEX(OfficePlan[],,1),0),MATCH(OfficeVariances[[#Headers],[Aug]],OfficeActual[#Headers],0))</f>
        <v>9800</v>
      </c>
      <c r="K11" s="122">
        <f>INDEX(OfficePlan[],MATCH(INDEX(OfficeVariances[],ROW()-ROW(OfficeVariances[[#Headers],[Sep]]),1),INDEX(OfficePlan[],,1),0),MATCH(OfficeVariances[[#Headers],[Sep]],OfficePlan[#Headers],0))-INDEX(OfficeActual[],MATCH(INDEX(OfficeVariances[],ROW()-ROW(OfficeVariances[[#Headers],[Sep]]),1),INDEX(OfficePlan[],,1),0),MATCH(OfficeVariances[[#Headers],[Sep]],OfficeActual[#Headers],0))</f>
        <v>9800</v>
      </c>
      <c r="L11" s="122">
        <f>INDEX(OfficePlan[],MATCH(INDEX(OfficeVariances[],ROW()-ROW(OfficeVariances[[#Headers],[Oct]]),1),INDEX(OfficePlan[],,1),0),MATCH(OfficeVariances[[#Headers],[Oct]],OfficePlan[#Headers],0))-INDEX(OfficeActual[],MATCH(INDEX(OfficeVariances[],ROW()-ROW(OfficeVariances[[#Headers],[Oct]]),1),INDEX(OfficePlan[],,1),0),MATCH(OfficeVariances[[#Headers],[Oct]],OfficeActual[#Headers],0))</f>
        <v>9800</v>
      </c>
      <c r="M11" s="122">
        <f>INDEX(OfficePlan[],MATCH(INDEX(OfficeVariances[],ROW()-ROW(OfficeVariances[[#Headers],[Nov]]),1),INDEX(OfficePlan[],,1),0),MATCH(OfficeVariances[[#Headers],[Nov]],OfficePlan[#Headers],0))-INDEX(OfficeActual[],MATCH(INDEX(OfficeVariances[],ROW()-ROW(OfficeVariances[[#Headers],[Nov]]),1),INDEX(OfficePlan[],,1),0),MATCH(OfficeVariances[[#Headers],[Nov]],OfficeActual[#Headers],0))</f>
        <v>9800</v>
      </c>
      <c r="N11" s="122">
        <f>INDEX(OfficePlan[],MATCH(INDEX(OfficeVariances[],ROW()-ROW(OfficeVariances[[#Headers],[Dec]]),1),INDEX(OfficePlan[],,1),0),MATCH(OfficeVariances[[#Headers],[Dec]],OfficePlan[#Headers],0))-INDEX(OfficeActual[],MATCH(INDEX(OfficeVariances[],ROW()-ROW(OfficeVariances[[#Headers],[Dec]]),1),INDEX(OfficePlan[],,1),0),MATCH(OfficeVariances[[#Headers],[Dec]],OfficeActual[#Headers],0))</f>
        <v>9800</v>
      </c>
      <c r="O11" s="122">
        <f>SUM(OfficeVariances[[#This Row],[Jan]:[Dec]])</f>
        <v>58800</v>
      </c>
      <c r="P11" s="37"/>
    </row>
    <row r="12" spans="1:16" ht="33.950000000000003" customHeight="1" x14ac:dyDescent="0.45">
      <c r="A12" s="10"/>
      <c r="B12" s="18" t="s">
        <v>17</v>
      </c>
      <c r="C12" s="19">
        <f>INDEX(OfficePlan[],MATCH(INDEX(OfficeVariances[],ROW()-ROW(OfficeVariances[[#Headers],[Jan]]),1),INDEX(OfficePlan[],,1),0),MATCH(OfficeVariances[[#Headers],[Jan]],OfficePlan[#Headers],0))-INDEX(OfficeActual[],MATCH(INDEX(OfficeVariances[],ROW()-ROW(OfficeVariances[[#Headers],[Jan]]),1),INDEX(OfficePlan[],,1),0),MATCH(OfficeVariances[[#Headers],[Jan]],OfficeActual[#Headers],0))</f>
        <v>-4</v>
      </c>
      <c r="D12" s="19">
        <f>INDEX(OfficePlan[],MATCH(INDEX(OfficeVariances[],ROW()-ROW(OfficeVariances[[#Headers],[Feb]]),1),INDEX(OfficePlan[],,1),0),MATCH(OfficeVariances[[#Headers],[Feb]],OfficePlan[#Headers],0))-INDEX(OfficeActual[],MATCH(INDEX(OfficeVariances[],ROW()-ROW(OfficeVariances[[#Headers],[Feb]]),1),INDEX(OfficePlan[],,1),0),MATCH(OfficeVariances[[#Headers],[Feb]],OfficeActual[#Headers],0))</f>
        <v>-30</v>
      </c>
      <c r="E12" s="19">
        <f>INDEX(OfficePlan[],MATCH(INDEX(OfficeVariances[],ROW()-ROW(OfficeVariances[[#Headers],[Mar]]),1),INDEX(OfficePlan[],,1),0),MATCH(OfficeVariances[[#Headers],[Mar]],OfficePlan[#Headers],0))-INDEX(OfficeActual[],MATCH(INDEX(OfficeVariances[],ROW()-ROW(OfficeVariances[[#Headers],[Mar]]),1),INDEX(OfficePlan[],,1),0),MATCH(OfficeVariances[[#Headers],[Mar]],OfficeActual[#Headers],0))</f>
        <v>15</v>
      </c>
      <c r="F12" s="19">
        <f>INDEX(OfficePlan[],MATCH(INDEX(OfficeVariances[],ROW()-ROW(OfficeVariances[[#Headers],[Apr]]),1),INDEX(OfficePlan[],,1),0),MATCH(OfficeVariances[[#Headers],[Apr]],OfficePlan[#Headers],0))-INDEX(OfficeActual[],MATCH(INDEX(OfficeVariances[],ROW()-ROW(OfficeVariances[[#Headers],[Apr]]),1),INDEX(OfficePlan[],,1),0),MATCH(OfficeVariances[[#Headers],[Apr]],OfficeActual[#Headers],0))</f>
        <v>-130</v>
      </c>
      <c r="G12" s="19">
        <f>INDEX(OfficePlan[],MATCH(INDEX(OfficeVariances[],ROW()-ROW(OfficeVariances[[#Headers],[May]]),1),INDEX(OfficePlan[],,1),0),MATCH(OfficeVariances[[#Headers],[May]],OfficePlan[#Headers],0))-INDEX(OfficeActual[],MATCH(INDEX(OfficeVariances[],ROW()-ROW(OfficeVariances[[#Headers],[May]]),1),INDEX(OfficePlan[],,1),0),MATCH(OfficeVariances[[#Headers],[May]],OfficeActual[#Headers],0))</f>
        <v>13</v>
      </c>
      <c r="H12" s="19">
        <f>INDEX(OfficePlan[],MATCH(INDEX(OfficeVariances[],ROW()-ROW(OfficeVariances[[#Headers],[Jun]]),1),INDEX(OfficePlan[],,1),0),MATCH(OfficeVariances[[#Headers],[Jun]],OfficePlan[#Headers],0))-INDEX(OfficeActual[],MATCH(INDEX(OfficeVariances[],ROW()-ROW(OfficeVariances[[#Headers],[Jun]]),1),INDEX(OfficePlan[],,1),0),MATCH(OfficeVariances[[#Headers],[Jun]],OfficeActual[#Headers],0))</f>
        <v>12</v>
      </c>
      <c r="I12" s="19">
        <f>INDEX(OfficePlan[],MATCH(INDEX(OfficeVariances[],ROW()-ROW(OfficeVariances[[#Headers],[Jul]]),1),INDEX(OfficePlan[],,1),0),MATCH(OfficeVariances[[#Headers],[Jul]],OfficePlan[#Headers],0))-INDEX(OfficeActual[],MATCH(INDEX(OfficeVariances[],ROW()-ROW(OfficeVariances[[#Headers],[Jul]]),1),INDEX(OfficePlan[],,1),0),MATCH(OfficeVariances[[#Headers],[Jul]],OfficeActual[#Headers],0))</f>
        <v>100</v>
      </c>
      <c r="J12" s="19">
        <f>INDEX(OfficePlan[],MATCH(INDEX(OfficeVariances[],ROW()-ROW(OfficeVariances[[#Headers],[Aug]]),1),INDEX(OfficePlan[],,1),0),MATCH(OfficeVariances[[#Headers],[Aug]],OfficePlan[#Headers],0))-INDEX(OfficeActual[],MATCH(INDEX(OfficeVariances[],ROW()-ROW(OfficeVariances[[#Headers],[Aug]]),1),INDEX(OfficePlan[],,1),0),MATCH(OfficeVariances[[#Headers],[Aug]],OfficeActual[#Headers],0))</f>
        <v>100</v>
      </c>
      <c r="K12" s="19">
        <f>INDEX(OfficePlan[],MATCH(INDEX(OfficeVariances[],ROW()-ROW(OfficeVariances[[#Headers],[Sep]]),1),INDEX(OfficePlan[],,1),0),MATCH(OfficeVariances[[#Headers],[Sep]],OfficePlan[#Headers],0))-INDEX(OfficeActual[],MATCH(INDEX(OfficeVariances[],ROW()-ROW(OfficeVariances[[#Headers],[Sep]]),1),INDEX(OfficePlan[],,1),0),MATCH(OfficeVariances[[#Headers],[Sep]],OfficeActual[#Headers],0))</f>
        <v>100</v>
      </c>
      <c r="L12" s="19">
        <f>INDEX(OfficePlan[],MATCH(INDEX(OfficeVariances[],ROW()-ROW(OfficeVariances[[#Headers],[Oct]]),1),INDEX(OfficePlan[],,1),0),MATCH(OfficeVariances[[#Headers],[Oct]],OfficePlan[#Headers],0))-INDEX(OfficeActual[],MATCH(INDEX(OfficeVariances[],ROW()-ROW(OfficeVariances[[#Headers],[Oct]]),1),INDEX(OfficePlan[],,1),0),MATCH(OfficeVariances[[#Headers],[Oct]],OfficeActual[#Headers],0))</f>
        <v>100</v>
      </c>
      <c r="M12" s="19">
        <f>INDEX(OfficePlan[],MATCH(INDEX(OfficeVariances[],ROW()-ROW(OfficeVariances[[#Headers],[Nov]]),1),INDEX(OfficePlan[],,1),0),MATCH(OfficeVariances[[#Headers],[Nov]],OfficePlan[#Headers],0))-INDEX(OfficeActual[],MATCH(INDEX(OfficeVariances[],ROW()-ROW(OfficeVariances[[#Headers],[Nov]]),1),INDEX(OfficePlan[],,1),0),MATCH(OfficeVariances[[#Headers],[Nov]],OfficeActual[#Headers],0))</f>
        <v>400</v>
      </c>
      <c r="N12" s="19">
        <f>INDEX(OfficePlan[],MATCH(INDEX(OfficeVariances[],ROW()-ROW(OfficeVariances[[#Headers],[Dec]]),1),INDEX(OfficePlan[],,1),0),MATCH(OfficeVariances[[#Headers],[Dec]],OfficePlan[#Headers],0))-INDEX(OfficeActual[],MATCH(INDEX(OfficeVariances[],ROW()-ROW(OfficeVariances[[#Headers],[Dec]]),1),INDEX(OfficePlan[],,1),0),MATCH(OfficeVariances[[#Headers],[Dec]],OfficeActual[#Headers],0))</f>
        <v>400</v>
      </c>
      <c r="O12" s="19">
        <f>SUM(OfficeVariances[[#This Row],[Jan]:[Dec]])</f>
        <v>1076</v>
      </c>
      <c r="P12" s="37"/>
    </row>
    <row r="13" spans="1:16" ht="33.950000000000003" customHeight="1" x14ac:dyDescent="0.45">
      <c r="A13" s="10"/>
      <c r="B13" s="18" t="s">
        <v>18</v>
      </c>
      <c r="C13" s="19">
        <f>INDEX(OfficePlan[],MATCH(INDEX(OfficeVariances[],ROW()-ROW(OfficeVariances[[#Headers],[Jan]]),1),INDEX(OfficePlan[],,1),0),MATCH(OfficeVariances[[#Headers],[Jan]],OfficePlan[#Headers],0))-INDEX(OfficeActual[],MATCH(INDEX(OfficeVariances[],ROW()-ROW(OfficeVariances[[#Headers],[Jan]]),1),INDEX(OfficePlan[],,1),0),MATCH(OfficeVariances[[#Headers],[Jan]],OfficeActual[#Headers],0))</f>
        <v>12</v>
      </c>
      <c r="D13" s="19">
        <f>INDEX(OfficePlan[],MATCH(INDEX(OfficeVariances[],ROW()-ROW(OfficeVariances[[#Headers],[Feb]]),1),INDEX(OfficePlan[],,1),0),MATCH(OfficeVariances[[#Headers],[Feb]],OfficePlan[#Headers],0))-INDEX(OfficeActual[],MATCH(INDEX(OfficeVariances[],ROW()-ROW(OfficeVariances[[#Headers],[Feb]]),1),INDEX(OfficePlan[],,1),0),MATCH(OfficeVariances[[#Headers],[Feb]],OfficeActual[#Headers],0))</f>
        <v>22</v>
      </c>
      <c r="E13" s="19">
        <f>INDEX(OfficePlan[],MATCH(INDEX(OfficeVariances[],ROW()-ROW(OfficeVariances[[#Headers],[Mar]]),1),INDEX(OfficePlan[],,1),0),MATCH(OfficeVariances[[#Headers],[Mar]],OfficePlan[#Headers],0))-INDEX(OfficeActual[],MATCH(INDEX(OfficeVariances[],ROW()-ROW(OfficeVariances[[#Headers],[Mar]]),1),INDEX(OfficePlan[],,1),0),MATCH(OfficeVariances[[#Headers],[Mar]],OfficeActual[#Headers],0))</f>
        <v>32</v>
      </c>
      <c r="F13" s="19">
        <f>INDEX(OfficePlan[],MATCH(INDEX(OfficeVariances[],ROW()-ROW(OfficeVariances[[#Headers],[Apr]]),1),INDEX(OfficePlan[],,1),0),MATCH(OfficeVariances[[#Headers],[Apr]],OfficePlan[#Headers],0))-INDEX(OfficeActual[],MATCH(INDEX(OfficeVariances[],ROW()-ROW(OfficeVariances[[#Headers],[Apr]]),1),INDEX(OfficePlan[],,1),0),MATCH(OfficeVariances[[#Headers],[Apr]],OfficeActual[#Headers],0))</f>
        <v>1</v>
      </c>
      <c r="G13" s="19">
        <f>INDEX(OfficePlan[],MATCH(INDEX(OfficeVariances[],ROW()-ROW(OfficeVariances[[#Headers],[May]]),1),INDEX(OfficePlan[],,1),0),MATCH(OfficeVariances[[#Headers],[May]],OfficePlan[#Headers],0))-INDEX(OfficeActual[],MATCH(INDEX(OfficeVariances[],ROW()-ROW(OfficeVariances[[#Headers],[May]]),1),INDEX(OfficePlan[],,1),0),MATCH(OfficeVariances[[#Headers],[May]],OfficeActual[#Headers],0))</f>
        <v>-6</v>
      </c>
      <c r="H13" s="19">
        <f>INDEX(OfficePlan[],MATCH(INDEX(OfficeVariances[],ROW()-ROW(OfficeVariances[[#Headers],[Jun]]),1),INDEX(OfficePlan[],,1),0),MATCH(OfficeVariances[[#Headers],[Jun]],OfficePlan[#Headers],0))-INDEX(OfficeActual[],MATCH(INDEX(OfficeVariances[],ROW()-ROW(OfficeVariances[[#Headers],[Jun]]),1),INDEX(OfficePlan[],,1),0),MATCH(OfficeVariances[[#Headers],[Jun]],OfficeActual[#Headers],0))</f>
        <v>10</v>
      </c>
      <c r="I13" s="19">
        <f>INDEX(OfficePlan[],MATCH(INDEX(OfficeVariances[],ROW()-ROW(OfficeVariances[[#Headers],[Jul]]),1),INDEX(OfficePlan[],,1),0),MATCH(OfficeVariances[[#Headers],[Jul]],OfficePlan[#Headers],0))-INDEX(OfficeActual[],MATCH(INDEX(OfficeVariances[],ROW()-ROW(OfficeVariances[[#Headers],[Jul]]),1),INDEX(OfficePlan[],,1),0),MATCH(OfficeVariances[[#Headers],[Jul]],OfficeActual[#Headers],0))</f>
        <v>300</v>
      </c>
      <c r="J13" s="19">
        <f>INDEX(OfficePlan[],MATCH(INDEX(OfficeVariances[],ROW()-ROW(OfficeVariances[[#Headers],[Aug]]),1),INDEX(OfficePlan[],,1),0),MATCH(OfficeVariances[[#Headers],[Aug]],OfficePlan[#Headers],0))-INDEX(OfficeActual[],MATCH(INDEX(OfficeVariances[],ROW()-ROW(OfficeVariances[[#Headers],[Aug]]),1),INDEX(OfficePlan[],,1),0),MATCH(OfficeVariances[[#Headers],[Aug]],OfficeActual[#Headers],0))</f>
        <v>300</v>
      </c>
      <c r="K13" s="19">
        <f>INDEX(OfficePlan[],MATCH(INDEX(OfficeVariances[],ROW()-ROW(OfficeVariances[[#Headers],[Sep]]),1),INDEX(OfficePlan[],,1),0),MATCH(OfficeVariances[[#Headers],[Sep]],OfficePlan[#Headers],0))-INDEX(OfficeActual[],MATCH(INDEX(OfficeVariances[],ROW()-ROW(OfficeVariances[[#Headers],[Sep]]),1),INDEX(OfficePlan[],,1),0),MATCH(OfficeVariances[[#Headers],[Sep]],OfficeActual[#Headers],0))</f>
        <v>300</v>
      </c>
      <c r="L13" s="19">
        <f>INDEX(OfficePlan[],MATCH(INDEX(OfficeVariances[],ROW()-ROW(OfficeVariances[[#Headers],[Oct]]),1),INDEX(OfficePlan[],,1),0),MATCH(OfficeVariances[[#Headers],[Oct]],OfficePlan[#Headers],0))-INDEX(OfficeActual[],MATCH(INDEX(OfficeVariances[],ROW()-ROW(OfficeVariances[[#Headers],[Oct]]),1),INDEX(OfficePlan[],,1),0),MATCH(OfficeVariances[[#Headers],[Oct]],OfficeActual[#Headers],0))</f>
        <v>300</v>
      </c>
      <c r="M13" s="19">
        <f>INDEX(OfficePlan[],MATCH(INDEX(OfficeVariances[],ROW()-ROW(OfficeVariances[[#Headers],[Nov]]),1),INDEX(OfficePlan[],,1),0),MATCH(OfficeVariances[[#Headers],[Nov]],OfficePlan[#Headers],0))-INDEX(OfficeActual[],MATCH(INDEX(OfficeVariances[],ROW()-ROW(OfficeVariances[[#Headers],[Nov]]),1),INDEX(OfficePlan[],,1),0),MATCH(OfficeVariances[[#Headers],[Nov]],OfficeActual[#Headers],0))</f>
        <v>300</v>
      </c>
      <c r="N13" s="19">
        <f>INDEX(OfficePlan[],MATCH(INDEX(OfficeVariances[],ROW()-ROW(OfficeVariances[[#Headers],[Dec]]),1),INDEX(OfficePlan[],,1),0),MATCH(OfficeVariances[[#Headers],[Dec]],OfficePlan[#Headers],0))-INDEX(OfficeActual[],MATCH(INDEX(OfficeVariances[],ROW()-ROW(OfficeVariances[[#Headers],[Dec]]),1),INDEX(OfficePlan[],,1),0),MATCH(OfficeVariances[[#Headers],[Dec]],OfficeActual[#Headers],0))</f>
        <v>300</v>
      </c>
      <c r="O13" s="19">
        <f>SUM(OfficeVariances[[#This Row],[Jan]:[Dec]])</f>
        <v>1871</v>
      </c>
      <c r="P13" s="37"/>
    </row>
    <row r="14" spans="1:16" ht="33.950000000000003" customHeight="1" x14ac:dyDescent="0.45">
      <c r="A14" s="10"/>
      <c r="B14" s="18" t="s">
        <v>19</v>
      </c>
      <c r="C14" s="19">
        <f>INDEX(OfficePlan[],MATCH(INDEX(OfficeVariances[],ROW()-ROW(OfficeVariances[[#Headers],[Jan]]),1),INDEX(OfficePlan[],,1),0),MATCH(OfficeVariances[[#Headers],[Jan]],OfficePlan[#Headers],0))-INDEX(OfficeActual[],MATCH(INDEX(OfficeVariances[],ROW()-ROW(OfficeVariances[[#Headers],[Jan]]),1),INDEX(OfficePlan[],,1),0),MATCH(OfficeVariances[[#Headers],[Jan]],OfficeActual[#Headers],0))</f>
        <v>5</v>
      </c>
      <c r="D14" s="19">
        <f>INDEX(OfficePlan[],MATCH(INDEX(OfficeVariances[],ROW()-ROW(OfficeVariances[[#Headers],[Feb]]),1),INDEX(OfficePlan[],,1),0),MATCH(OfficeVariances[[#Headers],[Feb]],OfficePlan[#Headers],0))-INDEX(OfficeActual[],MATCH(INDEX(OfficeVariances[],ROW()-ROW(OfficeVariances[[#Headers],[Feb]]),1),INDEX(OfficePlan[],,1),0),MATCH(OfficeVariances[[#Headers],[Feb]],OfficeActual[#Headers],0))</f>
        <v>7</v>
      </c>
      <c r="E14" s="19">
        <f>INDEX(OfficePlan[],MATCH(INDEX(OfficeVariances[],ROW()-ROW(OfficeVariances[[#Headers],[Mar]]),1),INDEX(OfficePlan[],,1),0),MATCH(OfficeVariances[[#Headers],[Mar]],OfficePlan[#Headers],0))-INDEX(OfficeActual[],MATCH(INDEX(OfficeVariances[],ROW()-ROW(OfficeVariances[[#Headers],[Mar]]),1),INDEX(OfficePlan[],,1),0),MATCH(OfficeVariances[[#Headers],[Mar]],OfficeActual[#Headers],0))</f>
        <v>6</v>
      </c>
      <c r="F14" s="19">
        <f>INDEX(OfficePlan[],MATCH(INDEX(OfficeVariances[],ROW()-ROW(OfficeVariances[[#Headers],[Apr]]),1),INDEX(OfficePlan[],,1),0),MATCH(OfficeVariances[[#Headers],[Apr]],OfficePlan[#Headers],0))-INDEX(OfficeActual[],MATCH(INDEX(OfficeVariances[],ROW()-ROW(OfficeVariances[[#Headers],[Apr]]),1),INDEX(OfficePlan[],,1),0),MATCH(OfficeVariances[[#Headers],[Apr]],OfficeActual[#Headers],0))</f>
        <v>4</v>
      </c>
      <c r="G14" s="19">
        <f>INDEX(OfficePlan[],MATCH(INDEX(OfficeVariances[],ROW()-ROW(OfficeVariances[[#Headers],[May]]),1),INDEX(OfficePlan[],,1),0),MATCH(OfficeVariances[[#Headers],[May]],OfficePlan[#Headers],0))-INDEX(OfficeActual[],MATCH(INDEX(OfficeVariances[],ROW()-ROW(OfficeVariances[[#Headers],[May]]),1),INDEX(OfficePlan[],,1),0),MATCH(OfficeVariances[[#Headers],[May]],OfficeActual[#Headers],0))</f>
        <v>6</v>
      </c>
      <c r="H14" s="19">
        <f>INDEX(OfficePlan[],MATCH(INDEX(OfficeVariances[],ROW()-ROW(OfficeVariances[[#Headers],[Jun]]),1),INDEX(OfficePlan[],,1),0),MATCH(OfficeVariances[[#Headers],[Jun]],OfficePlan[#Headers],0))-INDEX(OfficeActual[],MATCH(INDEX(OfficeVariances[],ROW()-ROW(OfficeVariances[[#Headers],[Jun]]),1),INDEX(OfficePlan[],,1),0),MATCH(OfficeVariances[[#Headers],[Jun]],OfficeActual[#Headers],0))</f>
        <v>4</v>
      </c>
      <c r="I14" s="19">
        <f>INDEX(OfficePlan[],MATCH(INDEX(OfficeVariances[],ROW()-ROW(OfficeVariances[[#Headers],[Jul]]),1),INDEX(OfficePlan[],,1),0),MATCH(OfficeVariances[[#Headers],[Jul]],OfficePlan[#Headers],0))-INDEX(OfficeActual[],MATCH(INDEX(OfficeVariances[],ROW()-ROW(OfficeVariances[[#Headers],[Jul]]),1),INDEX(OfficePlan[],,1),0),MATCH(OfficeVariances[[#Headers],[Jul]],OfficeActual[#Headers],0))</f>
        <v>40</v>
      </c>
      <c r="J14" s="19">
        <f>INDEX(OfficePlan[],MATCH(INDEX(OfficeVariances[],ROW()-ROW(OfficeVariances[[#Headers],[Aug]]),1),INDEX(OfficePlan[],,1),0),MATCH(OfficeVariances[[#Headers],[Aug]],OfficePlan[#Headers],0))-INDEX(OfficeActual[],MATCH(INDEX(OfficeVariances[],ROW()-ROW(OfficeVariances[[#Headers],[Aug]]),1),INDEX(OfficePlan[],,1),0),MATCH(OfficeVariances[[#Headers],[Aug]],OfficeActual[#Headers],0))</f>
        <v>40</v>
      </c>
      <c r="K14" s="19">
        <f>INDEX(OfficePlan[],MATCH(INDEX(OfficeVariances[],ROW()-ROW(OfficeVariances[[#Headers],[Sep]]),1),INDEX(OfficePlan[],,1),0),MATCH(OfficeVariances[[#Headers],[Sep]],OfficePlan[#Headers],0))-INDEX(OfficeActual[],MATCH(INDEX(OfficeVariances[],ROW()-ROW(OfficeVariances[[#Headers],[Sep]]),1),INDEX(OfficePlan[],,1),0),MATCH(OfficeVariances[[#Headers],[Sep]],OfficeActual[#Headers],0))</f>
        <v>40</v>
      </c>
      <c r="L14" s="19">
        <f>INDEX(OfficePlan[],MATCH(INDEX(OfficeVariances[],ROW()-ROW(OfficeVariances[[#Headers],[Oct]]),1),INDEX(OfficePlan[],,1),0),MATCH(OfficeVariances[[#Headers],[Oct]],OfficePlan[#Headers],0))-INDEX(OfficeActual[],MATCH(INDEX(OfficeVariances[],ROW()-ROW(OfficeVariances[[#Headers],[Oct]]),1),INDEX(OfficePlan[],,1),0),MATCH(OfficeVariances[[#Headers],[Oct]],OfficeActual[#Headers],0))</f>
        <v>40</v>
      </c>
      <c r="M14" s="19">
        <f>INDEX(OfficePlan[],MATCH(INDEX(OfficeVariances[],ROW()-ROW(OfficeVariances[[#Headers],[Nov]]),1),INDEX(OfficePlan[],,1),0),MATCH(OfficeVariances[[#Headers],[Nov]],OfficePlan[#Headers],0))-INDEX(OfficeActual[],MATCH(INDEX(OfficeVariances[],ROW()-ROW(OfficeVariances[[#Headers],[Nov]]),1),INDEX(OfficePlan[],,1),0),MATCH(OfficeVariances[[#Headers],[Nov]],OfficeActual[#Headers],0))</f>
        <v>40</v>
      </c>
      <c r="N14" s="19">
        <f>INDEX(OfficePlan[],MATCH(INDEX(OfficeVariances[],ROW()-ROW(OfficeVariances[[#Headers],[Dec]]),1),INDEX(OfficePlan[],,1),0),MATCH(OfficeVariances[[#Headers],[Dec]],OfficePlan[#Headers],0))-INDEX(OfficeActual[],MATCH(INDEX(OfficeVariances[],ROW()-ROW(OfficeVariances[[#Headers],[Dec]]),1),INDEX(OfficePlan[],,1),0),MATCH(OfficeVariances[[#Headers],[Dec]],OfficeActual[#Headers],0))</f>
        <v>40</v>
      </c>
      <c r="O14" s="19">
        <f>SUM(OfficeVariances[[#This Row],[Jan]:[Dec]])</f>
        <v>272</v>
      </c>
      <c r="P14" s="37"/>
    </row>
    <row r="15" spans="1:16" ht="33.950000000000003" customHeight="1" x14ac:dyDescent="0.45">
      <c r="A15" s="10"/>
      <c r="B15" s="18" t="s">
        <v>20</v>
      </c>
      <c r="C15" s="19">
        <f>INDEX(OfficePlan[],MATCH(INDEX(OfficeVariances[],ROW()-ROW(OfficeVariances[[#Headers],[Jan]]),1),INDEX(OfficePlan[],,1),0),MATCH(OfficeVariances[[#Headers],[Jan]],OfficePlan[#Headers],0))-INDEX(OfficeActual[],MATCH(INDEX(OfficeVariances[],ROW()-ROW(OfficeVariances[[#Headers],[Jan]]),1),INDEX(OfficePlan[],,1),0),MATCH(OfficeVariances[[#Headers],[Jan]],OfficeActual[#Headers],0))</f>
        <v>26</v>
      </c>
      <c r="D15" s="19">
        <f>INDEX(OfficePlan[],MATCH(INDEX(OfficeVariances[],ROW()-ROW(OfficeVariances[[#Headers],[Feb]]),1),INDEX(OfficePlan[],,1),0),MATCH(OfficeVariances[[#Headers],[Feb]],OfficePlan[#Headers],0))-INDEX(OfficeActual[],MATCH(INDEX(OfficeVariances[],ROW()-ROW(OfficeVariances[[#Headers],[Feb]]),1),INDEX(OfficePlan[],,1),0),MATCH(OfficeVariances[[#Headers],[Feb]],OfficeActual[#Headers],0))</f>
        <v>15</v>
      </c>
      <c r="E15" s="19">
        <f>INDEX(OfficePlan[],MATCH(INDEX(OfficeVariances[],ROW()-ROW(OfficeVariances[[#Headers],[Mar]]),1),INDEX(OfficePlan[],,1),0),MATCH(OfficeVariances[[#Headers],[Mar]],OfficePlan[#Headers],0))-INDEX(OfficeActual[],MATCH(INDEX(OfficeVariances[],ROW()-ROW(OfficeVariances[[#Headers],[Mar]]),1),INDEX(OfficePlan[],,1),0),MATCH(OfficeVariances[[#Headers],[Mar]],OfficeActual[#Headers],0))</f>
        <v>-15</v>
      </c>
      <c r="F15" s="19">
        <f>INDEX(OfficePlan[],MATCH(INDEX(OfficeVariances[],ROW()-ROW(OfficeVariances[[#Headers],[Apr]]),1),INDEX(OfficePlan[],,1),0),MATCH(OfficeVariances[[#Headers],[Apr]],OfficePlan[#Headers],0))-INDEX(OfficeActual[],MATCH(INDEX(OfficeVariances[],ROW()-ROW(OfficeVariances[[#Headers],[Apr]]),1),INDEX(OfficePlan[],,1),0),MATCH(OfficeVariances[[#Headers],[Apr]],OfficeActual[#Headers],0))</f>
        <v>5</v>
      </c>
      <c r="G15" s="19">
        <f>INDEX(OfficePlan[],MATCH(INDEX(OfficeVariances[],ROW()-ROW(OfficeVariances[[#Headers],[May]]),1),INDEX(OfficePlan[],,1),0),MATCH(OfficeVariances[[#Headers],[May]],OfficePlan[#Headers],0))-INDEX(OfficeActual[],MATCH(INDEX(OfficeVariances[],ROW()-ROW(OfficeVariances[[#Headers],[May]]),1),INDEX(OfficePlan[],,1),0),MATCH(OfficeVariances[[#Headers],[May]],OfficeActual[#Headers],0))</f>
        <v>5</v>
      </c>
      <c r="H15" s="19">
        <f>INDEX(OfficePlan[],MATCH(INDEX(OfficeVariances[],ROW()-ROW(OfficeVariances[[#Headers],[Jun]]),1),INDEX(OfficePlan[],,1),0),MATCH(OfficeVariances[[#Headers],[Jun]],OfficePlan[#Headers],0))-INDEX(OfficeActual[],MATCH(INDEX(OfficeVariances[],ROW()-ROW(OfficeVariances[[#Headers],[Jun]]),1),INDEX(OfficePlan[],,1),0),MATCH(OfficeVariances[[#Headers],[Jun]],OfficeActual[#Headers],0))</f>
        <v>30</v>
      </c>
      <c r="I15" s="19">
        <f>INDEX(OfficePlan[],MATCH(INDEX(OfficeVariances[],ROW()-ROW(OfficeVariances[[#Headers],[Jul]]),1),INDEX(OfficePlan[],,1),0),MATCH(OfficeVariances[[#Headers],[Jul]],OfficePlan[#Headers],0))-INDEX(OfficeActual[],MATCH(INDEX(OfficeVariances[],ROW()-ROW(OfficeVariances[[#Headers],[Jul]]),1),INDEX(OfficePlan[],,1),0),MATCH(OfficeVariances[[#Headers],[Jul]],OfficeActual[#Headers],0))</f>
        <v>250</v>
      </c>
      <c r="J15" s="19">
        <f>INDEX(OfficePlan[],MATCH(INDEX(OfficeVariances[],ROW()-ROW(OfficeVariances[[#Headers],[Aug]]),1),INDEX(OfficePlan[],,1),0),MATCH(OfficeVariances[[#Headers],[Aug]],OfficePlan[#Headers],0))-INDEX(OfficeActual[],MATCH(INDEX(OfficeVariances[],ROW()-ROW(OfficeVariances[[#Headers],[Aug]]),1),INDEX(OfficePlan[],,1),0),MATCH(OfficeVariances[[#Headers],[Aug]],OfficeActual[#Headers],0))</f>
        <v>250</v>
      </c>
      <c r="K15" s="19">
        <f>INDEX(OfficePlan[],MATCH(INDEX(OfficeVariances[],ROW()-ROW(OfficeVariances[[#Headers],[Sep]]),1),INDEX(OfficePlan[],,1),0),MATCH(OfficeVariances[[#Headers],[Sep]],OfficePlan[#Headers],0))-INDEX(OfficeActual[],MATCH(INDEX(OfficeVariances[],ROW()-ROW(OfficeVariances[[#Headers],[Sep]]),1),INDEX(OfficePlan[],,1),0),MATCH(OfficeVariances[[#Headers],[Sep]],OfficeActual[#Headers],0))</f>
        <v>250</v>
      </c>
      <c r="L15" s="19">
        <f>INDEX(OfficePlan[],MATCH(INDEX(OfficeVariances[],ROW()-ROW(OfficeVariances[[#Headers],[Oct]]),1),INDEX(OfficePlan[],,1),0),MATCH(OfficeVariances[[#Headers],[Oct]],OfficePlan[#Headers],0))-INDEX(OfficeActual[],MATCH(INDEX(OfficeVariances[],ROW()-ROW(OfficeVariances[[#Headers],[Oct]]),1),INDEX(OfficePlan[],,1),0),MATCH(OfficeVariances[[#Headers],[Oct]],OfficeActual[#Headers],0))</f>
        <v>250</v>
      </c>
      <c r="M15" s="19">
        <f>INDEX(OfficePlan[],MATCH(INDEX(OfficeVariances[],ROW()-ROW(OfficeVariances[[#Headers],[Nov]]),1),INDEX(OfficePlan[],,1),0),MATCH(OfficeVariances[[#Headers],[Nov]],OfficePlan[#Headers],0))-INDEX(OfficeActual[],MATCH(INDEX(OfficeVariances[],ROW()-ROW(OfficeVariances[[#Headers],[Nov]]),1),INDEX(OfficePlan[],,1),0),MATCH(OfficeVariances[[#Headers],[Nov]],OfficeActual[#Headers],0))</f>
        <v>250</v>
      </c>
      <c r="N15" s="19">
        <f>INDEX(OfficePlan[],MATCH(INDEX(OfficeVariances[],ROW()-ROW(OfficeVariances[[#Headers],[Dec]]),1),INDEX(OfficePlan[],,1),0),MATCH(OfficeVariances[[#Headers],[Dec]],OfficePlan[#Headers],0))-INDEX(OfficeActual[],MATCH(INDEX(OfficeVariances[],ROW()-ROW(OfficeVariances[[#Headers],[Dec]]),1),INDEX(OfficePlan[],,1),0),MATCH(OfficeVariances[[#Headers],[Dec]],OfficeActual[#Headers],0))</f>
        <v>250</v>
      </c>
      <c r="O15" s="19">
        <f>SUM(OfficeVariances[[#This Row],[Jan]:[Dec]])</f>
        <v>1566</v>
      </c>
      <c r="P15" s="37"/>
    </row>
    <row r="16" spans="1:16" ht="33.950000000000003" customHeight="1" x14ac:dyDescent="0.45">
      <c r="A16" s="10"/>
      <c r="B16" s="18" t="s">
        <v>21</v>
      </c>
      <c r="C16" s="19">
        <f>INDEX(OfficePlan[],MATCH(INDEX(OfficeVariances[],ROW()-ROW(OfficeVariances[[#Headers],[Jan]]),1),INDEX(OfficePlan[],,1),0),MATCH(OfficeVariances[[#Headers],[Jan]],OfficePlan[#Headers],0))-INDEX(OfficeActual[],MATCH(INDEX(OfficeVariances[],ROW()-ROW(OfficeVariances[[#Headers],[Jan]]),1),INDEX(OfficePlan[],,1),0),MATCH(OfficeVariances[[#Headers],[Jan]],OfficeActual[#Headers],0))</f>
        <v>0</v>
      </c>
      <c r="D16" s="19">
        <f>INDEX(OfficePlan[],MATCH(INDEX(OfficeVariances[],ROW()-ROW(OfficeVariances[[#Headers],[Feb]]),1),INDEX(OfficePlan[],,1),0),MATCH(OfficeVariances[[#Headers],[Feb]],OfficePlan[#Headers],0))-INDEX(OfficeActual[],MATCH(INDEX(OfficeVariances[],ROW()-ROW(OfficeVariances[[#Headers],[Feb]]),1),INDEX(OfficePlan[],,1),0),MATCH(OfficeVariances[[#Headers],[Feb]],OfficeActual[#Headers],0))</f>
        <v>0</v>
      </c>
      <c r="E16" s="19">
        <f>INDEX(OfficePlan[],MATCH(INDEX(OfficeVariances[],ROW()-ROW(OfficeVariances[[#Headers],[Mar]]),1),INDEX(OfficePlan[],,1),0),MATCH(OfficeVariances[[#Headers],[Mar]],OfficePlan[#Headers],0))-INDEX(OfficeActual[],MATCH(INDEX(OfficeVariances[],ROW()-ROW(OfficeVariances[[#Headers],[Mar]]),1),INDEX(OfficePlan[],,1),0),MATCH(OfficeVariances[[#Headers],[Mar]],OfficeActual[#Headers],0))</f>
        <v>0</v>
      </c>
      <c r="F16" s="19">
        <f>INDEX(OfficePlan[],MATCH(INDEX(OfficeVariances[],ROW()-ROW(OfficeVariances[[#Headers],[Apr]]),1),INDEX(OfficePlan[],,1),0),MATCH(OfficeVariances[[#Headers],[Apr]],OfficePlan[#Headers],0))-INDEX(OfficeActual[],MATCH(INDEX(OfficeVariances[],ROW()-ROW(OfficeVariances[[#Headers],[Apr]]),1),INDEX(OfficePlan[],,1),0),MATCH(OfficeVariances[[#Headers],[Apr]],OfficeActual[#Headers],0))</f>
        <v>0</v>
      </c>
      <c r="G16" s="19">
        <f>INDEX(OfficePlan[],MATCH(INDEX(OfficeVariances[],ROW()-ROW(OfficeVariances[[#Headers],[May]]),1),INDEX(OfficePlan[],,1),0),MATCH(OfficeVariances[[#Headers],[May]],OfficePlan[#Headers],0))-INDEX(OfficeActual[],MATCH(INDEX(OfficeVariances[],ROW()-ROW(OfficeVariances[[#Headers],[May]]),1),INDEX(OfficePlan[],,1),0),MATCH(OfficeVariances[[#Headers],[May]],OfficeActual[#Headers],0))</f>
        <v>0</v>
      </c>
      <c r="H16" s="19">
        <f>INDEX(OfficePlan[],MATCH(INDEX(OfficeVariances[],ROW()-ROW(OfficeVariances[[#Headers],[Jun]]),1),INDEX(OfficePlan[],,1),0),MATCH(OfficeVariances[[#Headers],[Jun]],OfficePlan[#Headers],0))-INDEX(OfficeActual[],MATCH(INDEX(OfficeVariances[],ROW()-ROW(OfficeVariances[[#Headers],[Jun]]),1),INDEX(OfficePlan[],,1),0),MATCH(OfficeVariances[[#Headers],[Jun]],OfficeActual[#Headers],0))</f>
        <v>0</v>
      </c>
      <c r="I16" s="19">
        <f>INDEX(OfficePlan[],MATCH(INDEX(OfficeVariances[],ROW()-ROW(OfficeVariances[[#Headers],[Jul]]),1),INDEX(OfficePlan[],,1),0),MATCH(OfficeVariances[[#Headers],[Jul]],OfficePlan[#Headers],0))-INDEX(OfficeActual[],MATCH(INDEX(OfficeVariances[],ROW()-ROW(OfficeVariances[[#Headers],[Jul]]),1),INDEX(OfficePlan[],,1),0),MATCH(OfficeVariances[[#Headers],[Jul]],OfficeActual[#Headers],0))</f>
        <v>180</v>
      </c>
      <c r="J16" s="19">
        <f>INDEX(OfficePlan[],MATCH(INDEX(OfficeVariances[],ROW()-ROW(OfficeVariances[[#Headers],[Aug]]),1),INDEX(OfficePlan[],,1),0),MATCH(OfficeVariances[[#Headers],[Aug]],OfficePlan[#Headers],0))-INDEX(OfficeActual[],MATCH(INDEX(OfficeVariances[],ROW()-ROW(OfficeVariances[[#Headers],[Aug]]),1),INDEX(OfficePlan[],,1),0),MATCH(OfficeVariances[[#Headers],[Aug]],OfficeActual[#Headers],0))</f>
        <v>180</v>
      </c>
      <c r="K16" s="19">
        <f>INDEX(OfficePlan[],MATCH(INDEX(OfficeVariances[],ROW()-ROW(OfficeVariances[[#Headers],[Sep]]),1),INDEX(OfficePlan[],,1),0),MATCH(OfficeVariances[[#Headers],[Sep]],OfficePlan[#Headers],0))-INDEX(OfficeActual[],MATCH(INDEX(OfficeVariances[],ROW()-ROW(OfficeVariances[[#Headers],[Sep]]),1),INDEX(OfficePlan[],,1),0),MATCH(OfficeVariances[[#Headers],[Sep]],OfficeActual[#Headers],0))</f>
        <v>180</v>
      </c>
      <c r="L16" s="19">
        <f>INDEX(OfficePlan[],MATCH(INDEX(OfficeVariances[],ROW()-ROW(OfficeVariances[[#Headers],[Oct]]),1),INDEX(OfficePlan[],,1),0),MATCH(OfficeVariances[[#Headers],[Oct]],OfficePlan[#Headers],0))-INDEX(OfficeActual[],MATCH(INDEX(OfficeVariances[],ROW()-ROW(OfficeVariances[[#Headers],[Oct]]),1),INDEX(OfficePlan[],,1),0),MATCH(OfficeVariances[[#Headers],[Oct]],OfficeActual[#Headers],0))</f>
        <v>180</v>
      </c>
      <c r="M16" s="19">
        <f>INDEX(OfficePlan[],MATCH(INDEX(OfficeVariances[],ROW()-ROW(OfficeVariances[[#Headers],[Nov]]),1),INDEX(OfficePlan[],,1),0),MATCH(OfficeVariances[[#Headers],[Nov]],OfficePlan[#Headers],0))-INDEX(OfficeActual[],MATCH(INDEX(OfficeVariances[],ROW()-ROW(OfficeVariances[[#Headers],[Nov]]),1),INDEX(OfficePlan[],,1),0),MATCH(OfficeVariances[[#Headers],[Nov]],OfficeActual[#Headers],0))</f>
        <v>180</v>
      </c>
      <c r="N16" s="19">
        <f>INDEX(OfficePlan[],MATCH(INDEX(OfficeVariances[],ROW()-ROW(OfficeVariances[[#Headers],[Dec]]),1),INDEX(OfficePlan[],,1),0),MATCH(OfficeVariances[[#Headers],[Dec]],OfficePlan[#Headers],0))-INDEX(OfficeActual[],MATCH(INDEX(OfficeVariances[],ROW()-ROW(OfficeVariances[[#Headers],[Dec]]),1),INDEX(OfficePlan[],,1),0),MATCH(OfficeVariances[[#Headers],[Dec]],OfficeActual[#Headers],0))</f>
        <v>180</v>
      </c>
      <c r="O16" s="19">
        <f>SUM(OfficeVariances[[#This Row],[Jan]:[Dec]])</f>
        <v>1080</v>
      </c>
      <c r="P16" s="37"/>
    </row>
    <row r="17" spans="1:16" ht="33.950000000000003" customHeight="1" x14ac:dyDescent="0.45">
      <c r="A17" s="10"/>
      <c r="B17" s="18" t="s">
        <v>22</v>
      </c>
      <c r="C17" s="19">
        <f>INDEX(OfficePlan[],MATCH(INDEX(OfficeVariances[],ROW()-ROW(OfficeVariances[[#Headers],[Jan]]),1),INDEX(OfficePlan[],,1),0),MATCH(OfficeVariances[[#Headers],[Jan]],OfficePlan[#Headers],0))-INDEX(OfficeActual[],MATCH(INDEX(OfficeVariances[],ROW()-ROW(OfficeVariances[[#Headers],[Jan]]),1),INDEX(OfficePlan[],,1),0),MATCH(OfficeVariances[[#Headers],[Jan]],OfficeActual[#Headers],0))</f>
        <v>-56</v>
      </c>
      <c r="D17" s="19">
        <f>INDEX(OfficePlan[],MATCH(INDEX(OfficeVariances[],ROW()-ROW(OfficeVariances[[#Headers],[Feb]]),1),INDEX(OfficePlan[],,1),0),MATCH(OfficeVariances[[#Headers],[Feb]],OfficePlan[#Headers],0))-INDEX(OfficeActual[],MATCH(INDEX(OfficeVariances[],ROW()-ROW(OfficeVariances[[#Headers],[Feb]]),1),INDEX(OfficePlan[],,1),0),MATCH(OfficeVariances[[#Headers],[Feb]],OfficeActual[#Headers],0))</f>
        <v>58</v>
      </c>
      <c r="E17" s="19">
        <f>INDEX(OfficePlan[],MATCH(INDEX(OfficeVariances[],ROW()-ROW(OfficeVariances[[#Headers],[Mar]]),1),INDEX(OfficePlan[],,1),0),MATCH(OfficeVariances[[#Headers],[Mar]],OfficePlan[#Headers],0))-INDEX(OfficeActual[],MATCH(INDEX(OfficeVariances[],ROW()-ROW(OfficeVariances[[#Headers],[Mar]]),1),INDEX(OfficePlan[],,1),0),MATCH(OfficeVariances[[#Headers],[Mar]],OfficeActual[#Headers],0))</f>
        <v>40</v>
      </c>
      <c r="F17" s="19">
        <f>INDEX(OfficePlan[],MATCH(INDEX(OfficeVariances[],ROW()-ROW(OfficeVariances[[#Headers],[Apr]]),1),INDEX(OfficePlan[],,1),0),MATCH(OfficeVariances[[#Headers],[Apr]],OfficePlan[#Headers],0))-INDEX(OfficeActual[],MATCH(INDEX(OfficeVariances[],ROW()-ROW(OfficeVariances[[#Headers],[Apr]]),1),INDEX(OfficePlan[],,1),0),MATCH(OfficeVariances[[#Headers],[Apr]],OfficeActual[#Headers],0))</f>
        <v>-21</v>
      </c>
      <c r="G17" s="19">
        <f>INDEX(OfficePlan[],MATCH(INDEX(OfficeVariances[],ROW()-ROW(OfficeVariances[[#Headers],[May]]),1),INDEX(OfficePlan[],,1),0),MATCH(OfficeVariances[[#Headers],[May]],OfficePlan[#Headers],0))-INDEX(OfficeActual[],MATCH(INDEX(OfficeVariances[],ROW()-ROW(OfficeVariances[[#Headers],[May]]),1),INDEX(OfficePlan[],,1),0),MATCH(OfficeVariances[[#Headers],[May]],OfficeActual[#Headers],0))</f>
        <v>-56</v>
      </c>
      <c r="H17" s="19">
        <f>INDEX(OfficePlan[],MATCH(INDEX(OfficeVariances[],ROW()-ROW(OfficeVariances[[#Headers],[Jun]]),1),INDEX(OfficePlan[],,1),0),MATCH(OfficeVariances[[#Headers],[Jun]],OfficePlan[#Headers],0))-INDEX(OfficeActual[],MATCH(INDEX(OfficeVariances[],ROW()-ROW(OfficeVariances[[#Headers],[Jun]]),1),INDEX(OfficePlan[],,1),0),MATCH(OfficeVariances[[#Headers],[Jun]],OfficeActual[#Headers],0))</f>
        <v>-40</v>
      </c>
      <c r="I17" s="19">
        <f>INDEX(OfficePlan[],MATCH(INDEX(OfficeVariances[],ROW()-ROW(OfficeVariances[[#Headers],[Jul]]),1),INDEX(OfficePlan[],,1),0),MATCH(OfficeVariances[[#Headers],[Jul]],OfficePlan[#Headers],0))-INDEX(OfficeActual[],MATCH(INDEX(OfficeVariances[],ROW()-ROW(OfficeVariances[[#Headers],[Jul]]),1),INDEX(OfficePlan[],,1),0),MATCH(OfficeVariances[[#Headers],[Jul]],OfficeActual[#Headers],0))</f>
        <v>200</v>
      </c>
      <c r="J17" s="19">
        <f>INDEX(OfficePlan[],MATCH(INDEX(OfficeVariances[],ROW()-ROW(OfficeVariances[[#Headers],[Aug]]),1),INDEX(OfficePlan[],,1),0),MATCH(OfficeVariances[[#Headers],[Aug]],OfficePlan[#Headers],0))-INDEX(OfficeActual[],MATCH(INDEX(OfficeVariances[],ROW()-ROW(OfficeVariances[[#Headers],[Aug]]),1),INDEX(OfficePlan[],,1),0),MATCH(OfficeVariances[[#Headers],[Aug]],OfficeActual[#Headers],0))</f>
        <v>200</v>
      </c>
      <c r="K17" s="19">
        <f>INDEX(OfficePlan[],MATCH(INDEX(OfficeVariances[],ROW()-ROW(OfficeVariances[[#Headers],[Sep]]),1),INDEX(OfficePlan[],,1),0),MATCH(OfficeVariances[[#Headers],[Sep]],OfficePlan[#Headers],0))-INDEX(OfficeActual[],MATCH(INDEX(OfficeVariances[],ROW()-ROW(OfficeVariances[[#Headers],[Sep]]),1),INDEX(OfficePlan[],,1),0),MATCH(OfficeVariances[[#Headers],[Sep]],OfficeActual[#Headers],0))</f>
        <v>200</v>
      </c>
      <c r="L17" s="19">
        <f>INDEX(OfficePlan[],MATCH(INDEX(OfficeVariances[],ROW()-ROW(OfficeVariances[[#Headers],[Oct]]),1),INDEX(OfficePlan[],,1),0),MATCH(OfficeVariances[[#Headers],[Oct]],OfficePlan[#Headers],0))-INDEX(OfficeActual[],MATCH(INDEX(OfficeVariances[],ROW()-ROW(OfficeVariances[[#Headers],[Oct]]),1),INDEX(OfficePlan[],,1),0),MATCH(OfficeVariances[[#Headers],[Oct]],OfficeActual[#Headers],0))</f>
        <v>200</v>
      </c>
      <c r="M17" s="19">
        <f>INDEX(OfficePlan[],MATCH(INDEX(OfficeVariances[],ROW()-ROW(OfficeVariances[[#Headers],[Nov]]),1),INDEX(OfficePlan[],,1),0),MATCH(OfficeVariances[[#Headers],[Nov]],OfficePlan[#Headers],0))-INDEX(OfficeActual[],MATCH(INDEX(OfficeVariances[],ROW()-ROW(OfficeVariances[[#Headers],[Nov]]),1),INDEX(OfficePlan[],,1),0),MATCH(OfficeVariances[[#Headers],[Nov]],OfficeActual[#Headers],0))</f>
        <v>200</v>
      </c>
      <c r="N17" s="19">
        <f>INDEX(OfficePlan[],MATCH(INDEX(OfficeVariances[],ROW()-ROW(OfficeVariances[[#Headers],[Dec]]),1),INDEX(OfficePlan[],,1),0),MATCH(OfficeVariances[[#Headers],[Dec]],OfficePlan[#Headers],0))-INDEX(OfficeActual[],MATCH(INDEX(OfficeVariances[],ROW()-ROW(OfficeVariances[[#Headers],[Dec]]),1),INDEX(OfficePlan[],,1),0),MATCH(OfficeVariances[[#Headers],[Dec]],OfficeActual[#Headers],0))</f>
        <v>200</v>
      </c>
      <c r="O17" s="19">
        <f>SUM(OfficeVariances[[#This Row],[Jan]:[Dec]])</f>
        <v>1125</v>
      </c>
      <c r="P17" s="37"/>
    </row>
    <row r="18" spans="1:16" ht="33.950000000000003" customHeight="1" x14ac:dyDescent="0.45">
      <c r="A18" s="10"/>
      <c r="B18" s="18" t="s">
        <v>23</v>
      </c>
      <c r="C18" s="19">
        <f>INDEX(OfficePlan[],MATCH(INDEX(OfficeVariances[],ROW()-ROW(OfficeVariances[[#Headers],[Jan]]),1),INDEX(OfficePlan[],,1),0),MATCH(OfficeVariances[[#Headers],[Jan]],OfficePlan[#Headers],0))-INDEX(OfficeActual[],MATCH(INDEX(OfficeVariances[],ROW()-ROW(OfficeVariances[[#Headers],[Jan]]),1),INDEX(OfficePlan[],,1),0),MATCH(OfficeVariances[[#Headers],[Jan]],OfficeActual[#Headers],0))</f>
        <v>0</v>
      </c>
      <c r="D18" s="19">
        <f>INDEX(OfficePlan[],MATCH(INDEX(OfficeVariances[],ROW()-ROW(OfficeVariances[[#Headers],[Feb]]),1),INDEX(OfficePlan[],,1),0),MATCH(OfficeVariances[[#Headers],[Feb]],OfficePlan[#Headers],0))-INDEX(OfficeActual[],MATCH(INDEX(OfficeVariances[],ROW()-ROW(OfficeVariances[[#Headers],[Feb]]),1),INDEX(OfficePlan[],,1),0),MATCH(OfficeVariances[[#Headers],[Feb]],OfficeActual[#Headers],0))</f>
        <v>0</v>
      </c>
      <c r="E18" s="19">
        <f>INDEX(OfficePlan[],MATCH(INDEX(OfficeVariances[],ROW()-ROW(OfficeVariances[[#Headers],[Mar]]),1),INDEX(OfficePlan[],,1),0),MATCH(OfficeVariances[[#Headers],[Mar]],OfficePlan[#Headers],0))-INDEX(OfficeActual[],MATCH(INDEX(OfficeVariances[],ROW()-ROW(OfficeVariances[[#Headers],[Mar]]),1),INDEX(OfficePlan[],,1),0),MATCH(OfficeVariances[[#Headers],[Mar]],OfficeActual[#Headers],0))</f>
        <v>0</v>
      </c>
      <c r="F18" s="19">
        <f>INDEX(OfficePlan[],MATCH(INDEX(OfficeVariances[],ROW()-ROW(OfficeVariances[[#Headers],[Apr]]),1),INDEX(OfficePlan[],,1),0),MATCH(OfficeVariances[[#Headers],[Apr]],OfficePlan[#Headers],0))-INDEX(OfficeActual[],MATCH(INDEX(OfficeVariances[],ROW()-ROW(OfficeVariances[[#Headers],[Apr]]),1),INDEX(OfficePlan[],,1),0),MATCH(OfficeVariances[[#Headers],[Apr]],OfficeActual[#Headers],0))</f>
        <v>0</v>
      </c>
      <c r="G18" s="19">
        <f>INDEX(OfficePlan[],MATCH(INDEX(OfficeVariances[],ROW()-ROW(OfficeVariances[[#Headers],[May]]),1),INDEX(OfficePlan[],,1),0),MATCH(OfficeVariances[[#Headers],[May]],OfficePlan[#Headers],0))-INDEX(OfficeActual[],MATCH(INDEX(OfficeVariances[],ROW()-ROW(OfficeVariances[[#Headers],[May]]),1),INDEX(OfficePlan[],,1),0),MATCH(OfficeVariances[[#Headers],[May]],OfficeActual[#Headers],0))</f>
        <v>0</v>
      </c>
      <c r="H18" s="19">
        <f>INDEX(OfficePlan[],MATCH(INDEX(OfficeVariances[],ROW()-ROW(OfficeVariances[[#Headers],[Jun]]),1),INDEX(OfficePlan[],,1),0),MATCH(OfficeVariances[[#Headers],[Jun]],OfficePlan[#Headers],0))-INDEX(OfficeActual[],MATCH(INDEX(OfficeVariances[],ROW()-ROW(OfficeVariances[[#Headers],[Jun]]),1),INDEX(OfficePlan[],,1),0),MATCH(OfficeVariances[[#Headers],[Jun]],OfficeActual[#Headers],0))</f>
        <v>0</v>
      </c>
      <c r="I18" s="19">
        <f>INDEX(OfficePlan[],MATCH(INDEX(OfficeVariances[],ROW()-ROW(OfficeVariances[[#Headers],[Jul]]),1),INDEX(OfficePlan[],,1),0),MATCH(OfficeVariances[[#Headers],[Jul]],OfficePlan[#Headers],0))-INDEX(OfficeActual[],MATCH(INDEX(OfficeVariances[],ROW()-ROW(OfficeVariances[[#Headers],[Jul]]),1),INDEX(OfficePlan[],,1),0),MATCH(OfficeVariances[[#Headers],[Jul]],OfficeActual[#Headers],0))</f>
        <v>600</v>
      </c>
      <c r="J18" s="19">
        <f>INDEX(OfficePlan[],MATCH(INDEX(OfficeVariances[],ROW()-ROW(OfficeVariances[[#Headers],[Aug]]),1),INDEX(OfficePlan[],,1),0),MATCH(OfficeVariances[[#Headers],[Aug]],OfficePlan[#Headers],0))-INDEX(OfficeActual[],MATCH(INDEX(OfficeVariances[],ROW()-ROW(OfficeVariances[[#Headers],[Aug]]),1),INDEX(OfficePlan[],,1),0),MATCH(OfficeVariances[[#Headers],[Aug]],OfficeActual[#Headers],0))</f>
        <v>600</v>
      </c>
      <c r="K18" s="19">
        <f>INDEX(OfficePlan[],MATCH(INDEX(OfficeVariances[],ROW()-ROW(OfficeVariances[[#Headers],[Sep]]),1),INDEX(OfficePlan[],,1),0),MATCH(OfficeVariances[[#Headers],[Sep]],OfficePlan[#Headers],0))-INDEX(OfficeActual[],MATCH(INDEX(OfficeVariances[],ROW()-ROW(OfficeVariances[[#Headers],[Sep]]),1),INDEX(OfficePlan[],,1),0),MATCH(OfficeVariances[[#Headers],[Sep]],OfficeActual[#Headers],0))</f>
        <v>600</v>
      </c>
      <c r="L18" s="19">
        <f>INDEX(OfficePlan[],MATCH(INDEX(OfficeVariances[],ROW()-ROW(OfficeVariances[[#Headers],[Oct]]),1),INDEX(OfficePlan[],,1),0),MATCH(OfficeVariances[[#Headers],[Oct]],OfficePlan[#Headers],0))-INDEX(OfficeActual[],MATCH(INDEX(OfficeVariances[],ROW()-ROW(OfficeVariances[[#Headers],[Oct]]),1),INDEX(OfficePlan[],,1),0),MATCH(OfficeVariances[[#Headers],[Oct]],OfficeActual[#Headers],0))</f>
        <v>600</v>
      </c>
      <c r="M18" s="19">
        <f>INDEX(OfficePlan[],MATCH(INDEX(OfficeVariances[],ROW()-ROW(OfficeVariances[[#Headers],[Nov]]),1),INDEX(OfficePlan[],,1),0),MATCH(OfficeVariances[[#Headers],[Nov]],OfficePlan[#Headers],0))-INDEX(OfficeActual[],MATCH(INDEX(OfficeVariances[],ROW()-ROW(OfficeVariances[[#Headers],[Nov]]),1),INDEX(OfficePlan[],,1),0),MATCH(OfficeVariances[[#Headers],[Nov]],OfficeActual[#Headers],0))</f>
        <v>600</v>
      </c>
      <c r="N18" s="19">
        <f>INDEX(OfficePlan[],MATCH(INDEX(OfficeVariances[],ROW()-ROW(OfficeVariances[[#Headers],[Dec]]),1),INDEX(OfficePlan[],,1),0),MATCH(OfficeVariances[[#Headers],[Dec]],OfficePlan[#Headers],0))-INDEX(OfficeActual[],MATCH(INDEX(OfficeVariances[],ROW()-ROW(OfficeVariances[[#Headers],[Dec]]),1),INDEX(OfficePlan[],,1),0),MATCH(OfficeVariances[[#Headers],[Dec]],OfficeActual[#Headers],0))</f>
        <v>600</v>
      </c>
      <c r="O18" s="19">
        <f>SUM(OfficeVariances[[#This Row],[Jan]:[Dec]])</f>
        <v>3600</v>
      </c>
      <c r="P18" s="37"/>
    </row>
    <row r="19" spans="1:16" ht="33.950000000000003" customHeight="1" x14ac:dyDescent="0.45">
      <c r="A19" s="10"/>
      <c r="B19" s="21" t="s">
        <v>15</v>
      </c>
      <c r="C19" s="20">
        <f>SUBTOTAL(109,OfficeVariances[Jan])</f>
        <v>-17</v>
      </c>
      <c r="D19" s="20">
        <f>SUBTOTAL(109,OfficeVariances[Feb])</f>
        <v>72</v>
      </c>
      <c r="E19" s="20">
        <f>SUBTOTAL(109,OfficeVariances[Mar])</f>
        <v>78</v>
      </c>
      <c r="F19" s="20">
        <f>SUBTOTAL(109,OfficeVariances[Apr])</f>
        <v>-141</v>
      </c>
      <c r="G19" s="20">
        <f>SUBTOTAL(109,OfficeVariances[May])</f>
        <v>-38</v>
      </c>
      <c r="H19" s="20">
        <f>SUBTOTAL(109,OfficeVariances[Jun])</f>
        <v>16</v>
      </c>
      <c r="I19" s="20">
        <f>SUBTOTAL(109,OfficeVariances[Jul])</f>
        <v>11470</v>
      </c>
      <c r="J19" s="20">
        <f>SUBTOTAL(109,OfficeVariances[Aug])</f>
        <v>11470</v>
      </c>
      <c r="K19" s="20">
        <f>SUBTOTAL(109,OfficeVariances[Sep])</f>
        <v>11470</v>
      </c>
      <c r="L19" s="20">
        <f>SUBTOTAL(109,OfficeVariances[Oct])</f>
        <v>11470</v>
      </c>
      <c r="M19" s="20">
        <f>SUBTOTAL(109,OfficeVariances[Nov])</f>
        <v>11770</v>
      </c>
      <c r="N19" s="20">
        <f>SUBTOTAL(109,OfficeVariances[Dec])</f>
        <v>11770</v>
      </c>
      <c r="O19" s="20">
        <f>SUBTOTAL(109,OfficeVariances[YEAR])</f>
        <v>69390</v>
      </c>
      <c r="P19" s="37"/>
    </row>
    <row r="20" spans="1:16" ht="33.950000000000003" customHeight="1" x14ac:dyDescent="0.45">
      <c r="A20" s="10"/>
      <c r="B20" s="188"/>
      <c r="C20" s="188"/>
      <c r="D20" s="11"/>
      <c r="E20" s="11"/>
      <c r="F20" s="13"/>
      <c r="G20" s="13"/>
      <c r="H20" s="13"/>
      <c r="I20" s="13"/>
      <c r="J20" s="13"/>
      <c r="K20" s="13"/>
      <c r="L20" s="13"/>
      <c r="M20" s="13"/>
      <c r="N20" s="13"/>
      <c r="O20" s="12"/>
      <c r="P20" s="37"/>
    </row>
    <row r="21" spans="1:16" ht="33.950000000000003" customHeight="1" x14ac:dyDescent="0.45">
      <c r="A21" s="10"/>
      <c r="B21" s="158" t="s">
        <v>60</v>
      </c>
      <c r="C21" s="162" t="s">
        <v>0</v>
      </c>
      <c r="D21" s="162" t="s">
        <v>1</v>
      </c>
      <c r="E21" s="163" t="s">
        <v>2</v>
      </c>
      <c r="F21" s="162" t="s">
        <v>3</v>
      </c>
      <c r="G21" s="162" t="s">
        <v>4</v>
      </c>
      <c r="H21" s="162" t="s">
        <v>5</v>
      </c>
      <c r="I21" s="162" t="s">
        <v>6</v>
      </c>
      <c r="J21" s="162" t="s">
        <v>7</v>
      </c>
      <c r="K21" s="162" t="s">
        <v>8</v>
      </c>
      <c r="L21" s="162" t="s">
        <v>9</v>
      </c>
      <c r="M21" s="162" t="s">
        <v>10</v>
      </c>
      <c r="N21" s="162" t="s">
        <v>11</v>
      </c>
      <c r="O21" s="164" t="s">
        <v>12</v>
      </c>
      <c r="P21" s="37"/>
    </row>
    <row r="22" spans="1:16" ht="33.950000000000003" customHeight="1" x14ac:dyDescent="0.45">
      <c r="A22" s="10"/>
      <c r="B22" s="127" t="s">
        <v>24</v>
      </c>
      <c r="C22" s="122">
        <f>INDEX(MarketingPlan[],MATCH(INDEX(MarketingVariances[],ROW()-ROW(MarketingVariances[[#Headers],[Jan]]),1),INDEX(MarketingPlan[],,1),0),MATCH(MarketingVariances[[#Headers],[Jan]],MarketingPlan[#Headers],0))-INDEX(MarketingActual[],MATCH(INDEX(MarketingVariances[],ROW()-ROW(MarketingVariances[[#Headers],[Jan]]),1),INDEX(MarketingPlan[],,1),0),MATCH(MarketingVariances[[#Headers],[Jan]],MarketingActual[#Headers],0))</f>
        <v>0</v>
      </c>
      <c r="D22" s="122">
        <f>INDEX(MarketingPlan[],MATCH(INDEX(MarketingVariances[],ROW()-ROW(MarketingVariances[[#Headers],[Feb]]),1),INDEX(MarketingPlan[],,1),0),MATCH(MarketingVariances[[#Headers],[Feb]],MarketingPlan[#Headers],0))-INDEX(MarketingActual[],MATCH(INDEX(MarketingVariances[],ROW()-ROW(MarketingVariances[[#Headers],[Feb]]),1),INDEX(MarketingPlan[],,1),0),MATCH(MarketingVariances[[#Headers],[Feb]],MarketingActual[#Headers],0))</f>
        <v>0</v>
      </c>
      <c r="E22" s="122">
        <f>INDEX(MarketingPlan[],MATCH(INDEX(MarketingVariances[],ROW()-ROW(MarketingVariances[[#Headers],[Mar]]),1),INDEX(MarketingPlan[],,1),0),MATCH(MarketingVariances[[#Headers],[Mar]],MarketingPlan[#Headers],0))-INDEX(MarketingActual[],MATCH(INDEX(MarketingVariances[],ROW()-ROW(MarketingVariances[[#Headers],[Mar]]),1),INDEX(MarketingPlan[],,1),0),MATCH(MarketingVariances[[#Headers],[Mar]],MarketingActual[#Headers],0))</f>
        <v>0</v>
      </c>
      <c r="F22" s="122">
        <f>INDEX(MarketingPlan[],MATCH(INDEX(MarketingVariances[],ROW()-ROW(MarketingVariances[[#Headers],[Apr]]),1),INDEX(MarketingPlan[],,1),0),MATCH(MarketingVariances[[#Headers],[Apr]],MarketingPlan[#Headers],0))-INDEX(MarketingActual[],MATCH(INDEX(MarketingVariances[],ROW()-ROW(MarketingVariances[[#Headers],[Apr]]),1),INDEX(MarketingPlan[],,1),0),MATCH(MarketingVariances[[#Headers],[Apr]],MarketingActual[#Headers],0))</f>
        <v>0</v>
      </c>
      <c r="G22" s="122">
        <f>INDEX(MarketingPlan[],MATCH(INDEX(MarketingVariances[],ROW()-ROW(MarketingVariances[[#Headers],[May]]),1),INDEX(MarketingPlan[],,1),0),MATCH(MarketingVariances[[#Headers],[May]],MarketingPlan[#Headers],0))-INDEX(MarketingActual[],MATCH(INDEX(MarketingVariances[],ROW()-ROW(MarketingVariances[[#Headers],[May]]),1),INDEX(MarketingPlan[],,1),0),MATCH(MarketingVariances[[#Headers],[May]],MarketingActual[#Headers],0))</f>
        <v>0</v>
      </c>
      <c r="H22" s="122">
        <f>INDEX(MarketingPlan[],MATCH(INDEX(MarketingVariances[],ROW()-ROW(MarketingVariances[[#Headers],[Jun]]),1),INDEX(MarketingPlan[],,1),0),MATCH(MarketingVariances[[#Headers],[Jun]],MarketingPlan[#Headers],0))-INDEX(MarketingActual[],MATCH(INDEX(MarketingVariances[],ROW()-ROW(MarketingVariances[[#Headers],[Jun]]),1),INDEX(MarketingPlan[],,1),0),MATCH(MarketingVariances[[#Headers],[Jun]],MarketingActual[#Headers],0))</f>
        <v>0</v>
      </c>
      <c r="I22" s="122">
        <f>INDEX(MarketingPlan[],MATCH(INDEX(MarketingVariances[],ROW()-ROW(MarketingVariances[[#Headers],[Jul]]),1),INDEX(MarketingPlan[],,1),0),MATCH(MarketingVariances[[#Headers],[Jul]],MarketingPlan[#Headers],0))-INDEX(MarketingActual[],MATCH(INDEX(MarketingVariances[],ROW()-ROW(MarketingVariances[[#Headers],[Jul]]),1),INDEX(MarketingPlan[],,1),0),MATCH(MarketingVariances[[#Headers],[Jul]],MarketingActual[#Headers],0))</f>
        <v>500</v>
      </c>
      <c r="J22" s="122">
        <f>INDEX(MarketingPlan[],MATCH(INDEX(MarketingVariances[],ROW()-ROW(MarketingVariances[[#Headers],[Aug]]),1),INDEX(MarketingPlan[],,1),0),MATCH(MarketingVariances[[#Headers],[Aug]],MarketingPlan[#Headers],0))-INDEX(MarketingActual[],MATCH(INDEX(MarketingVariances[],ROW()-ROW(MarketingVariances[[#Headers],[Aug]]),1),INDEX(MarketingPlan[],,1),0),MATCH(MarketingVariances[[#Headers],[Aug]],MarketingActual[#Headers],0))</f>
        <v>500</v>
      </c>
      <c r="K22" s="122">
        <f>INDEX(MarketingPlan[],MATCH(INDEX(MarketingVariances[],ROW()-ROW(MarketingVariances[[#Headers],[Sep]]),1),INDEX(MarketingPlan[],,1),0),MATCH(MarketingVariances[[#Headers],[Sep]],MarketingPlan[#Headers],0))-INDEX(MarketingActual[],MATCH(INDEX(MarketingVariances[],ROW()-ROW(MarketingVariances[[#Headers],[Sep]]),1),INDEX(MarketingPlan[],,1),0),MATCH(MarketingVariances[[#Headers],[Sep]],MarketingActual[#Headers],0))</f>
        <v>500</v>
      </c>
      <c r="L22" s="122">
        <f>INDEX(MarketingPlan[],MATCH(INDEX(MarketingVariances[],ROW()-ROW(MarketingVariances[[#Headers],[Oct]]),1),INDEX(MarketingPlan[],,1),0),MATCH(MarketingVariances[[#Headers],[Oct]],MarketingPlan[#Headers],0))-INDEX(MarketingActual[],MATCH(INDEX(MarketingVariances[],ROW()-ROW(MarketingVariances[[#Headers],[Oct]]),1),INDEX(MarketingPlan[],,1),0),MATCH(MarketingVariances[[#Headers],[Oct]],MarketingActual[#Headers],0))</f>
        <v>500</v>
      </c>
      <c r="M22" s="122">
        <f>INDEX(MarketingPlan[],MATCH(INDEX(MarketingVariances[],ROW()-ROW(MarketingVariances[[#Headers],[Nov]]),1),INDEX(MarketingPlan[],,1),0),MATCH(MarketingVariances[[#Headers],[Nov]],MarketingPlan[#Headers],0))-INDEX(MarketingActual[],MATCH(INDEX(MarketingVariances[],ROW()-ROW(MarketingVariances[[#Headers],[Nov]]),1),INDEX(MarketingPlan[],,1),0),MATCH(MarketingVariances[[#Headers],[Nov]],MarketingActual[#Headers],0))</f>
        <v>500</v>
      </c>
      <c r="N22" s="122">
        <f>INDEX(MarketingPlan[],MATCH(INDEX(MarketingVariances[],ROW()-ROW(MarketingVariances[[#Headers],[Dec]]),1),INDEX(MarketingPlan[],,1),0),MATCH(MarketingVariances[[#Headers],[Dec]],MarketingPlan[#Headers],0))-INDEX(MarketingActual[],MATCH(INDEX(MarketingVariances[],ROW()-ROW(MarketingVariances[[#Headers],[Dec]]),1),INDEX(MarketingPlan[],,1),0),MATCH(MarketingVariances[[#Headers],[Dec]],MarketingActual[#Headers],0))</f>
        <v>500</v>
      </c>
      <c r="O22" s="122">
        <f>SUM(MarketingVariances[[#This Row],[Jan]:[Dec]])</f>
        <v>3000</v>
      </c>
      <c r="P22" s="37"/>
    </row>
    <row r="23" spans="1:16" ht="33.950000000000003" customHeight="1" x14ac:dyDescent="0.45">
      <c r="A23" s="10"/>
      <c r="B23" s="22" t="s">
        <v>25</v>
      </c>
      <c r="C23" s="19">
        <f>INDEX(MarketingPlan[],MATCH(INDEX(MarketingVariances[],ROW()-ROW(MarketingVariances[[#Headers],[Jan]]),1),INDEX(MarketingPlan[],,1),0),MATCH(MarketingVariances[[#Headers],[Jan]],MarketingPlan[#Headers],0))-INDEX(MarketingActual[],MATCH(INDEX(MarketingVariances[],ROW()-ROW(MarketingVariances[[#Headers],[Jan]]),1),INDEX(MarketingPlan[],,1),0),MATCH(MarketingVariances[[#Headers],[Jan]],MarketingActual[#Headers],0))</f>
        <v>0</v>
      </c>
      <c r="D23" s="19">
        <f>INDEX(MarketingPlan[],MATCH(INDEX(MarketingVariances[],ROW()-ROW(MarketingVariances[[#Headers],[Feb]]),1),INDEX(MarketingPlan[],,1),0),MATCH(MarketingVariances[[#Headers],[Feb]],MarketingPlan[#Headers],0))-INDEX(MarketingActual[],MATCH(INDEX(MarketingVariances[],ROW()-ROW(MarketingVariances[[#Headers],[Feb]]),1),INDEX(MarketingPlan[],,1),0),MATCH(MarketingVariances[[#Headers],[Feb]],MarketingActual[#Headers],0))</f>
        <v>0</v>
      </c>
      <c r="E23" s="19">
        <f>INDEX(MarketingPlan[],MATCH(INDEX(MarketingVariances[],ROW()-ROW(MarketingVariances[[#Headers],[Mar]]),1),INDEX(MarketingPlan[],,1),0),MATCH(MarketingVariances[[#Headers],[Mar]],MarketingPlan[#Headers],0))-INDEX(MarketingActual[],MATCH(INDEX(MarketingVariances[],ROW()-ROW(MarketingVariances[[#Headers],[Mar]]),1),INDEX(MarketingPlan[],,1),0),MATCH(MarketingVariances[[#Headers],[Mar]],MarketingActual[#Headers],0))</f>
        <v>0</v>
      </c>
      <c r="F23" s="19">
        <f>INDEX(MarketingPlan[],MATCH(INDEX(MarketingVariances[],ROW()-ROW(MarketingVariances[[#Headers],[Apr]]),1),INDEX(MarketingPlan[],,1),0),MATCH(MarketingVariances[[#Headers],[Apr]],MarketingPlan[#Headers],0))-INDEX(MarketingActual[],MATCH(INDEX(MarketingVariances[],ROW()-ROW(MarketingVariances[[#Headers],[Apr]]),1),INDEX(MarketingPlan[],,1),0),MATCH(MarketingVariances[[#Headers],[Apr]],MarketingActual[#Headers],0))</f>
        <v>0</v>
      </c>
      <c r="G23" s="19">
        <f>INDEX(MarketingPlan[],MATCH(INDEX(MarketingVariances[],ROW()-ROW(MarketingVariances[[#Headers],[May]]),1),INDEX(MarketingPlan[],,1),0),MATCH(MarketingVariances[[#Headers],[May]],MarketingPlan[#Headers],0))-INDEX(MarketingActual[],MATCH(INDEX(MarketingVariances[],ROW()-ROW(MarketingVariances[[#Headers],[May]]),1),INDEX(MarketingPlan[],,1),0),MATCH(MarketingVariances[[#Headers],[May]],MarketingActual[#Headers],0))</f>
        <v>0</v>
      </c>
      <c r="H23" s="19">
        <f>INDEX(MarketingPlan[],MATCH(INDEX(MarketingVariances[],ROW()-ROW(MarketingVariances[[#Headers],[Jun]]),1),INDEX(MarketingPlan[],,1),0),MATCH(MarketingVariances[[#Headers],[Jun]],MarketingPlan[#Headers],0))-INDEX(MarketingActual[],MATCH(INDEX(MarketingVariances[],ROW()-ROW(MarketingVariances[[#Headers],[Jun]]),1),INDEX(MarketingPlan[],,1),0),MATCH(MarketingVariances[[#Headers],[Jun]],MarketingActual[#Headers],0))</f>
        <v>-500</v>
      </c>
      <c r="I23" s="19">
        <f>INDEX(MarketingPlan[],MATCH(INDEX(MarketingVariances[],ROW()-ROW(MarketingVariances[[#Headers],[Jul]]),1),INDEX(MarketingPlan[],,1),0),MATCH(MarketingVariances[[#Headers],[Jul]],MarketingPlan[#Headers],0))-INDEX(MarketingActual[],MATCH(INDEX(MarketingVariances[],ROW()-ROW(MarketingVariances[[#Headers],[Jul]]),1),INDEX(MarketingPlan[],,1),0),MATCH(MarketingVariances[[#Headers],[Jul]],MarketingActual[#Headers],0))</f>
        <v>200</v>
      </c>
      <c r="J23" s="19">
        <f>INDEX(MarketingPlan[],MATCH(INDEX(MarketingVariances[],ROW()-ROW(MarketingVariances[[#Headers],[Aug]]),1),INDEX(MarketingPlan[],,1),0),MATCH(MarketingVariances[[#Headers],[Aug]],MarketingPlan[#Headers],0))-INDEX(MarketingActual[],MATCH(INDEX(MarketingVariances[],ROW()-ROW(MarketingVariances[[#Headers],[Aug]]),1),INDEX(MarketingPlan[],,1),0),MATCH(MarketingVariances[[#Headers],[Aug]],MarketingActual[#Headers],0))</f>
        <v>200</v>
      </c>
      <c r="K23" s="19">
        <f>INDEX(MarketingPlan[],MATCH(INDEX(MarketingVariances[],ROW()-ROW(MarketingVariances[[#Headers],[Sep]]),1),INDEX(MarketingPlan[],,1),0),MATCH(MarketingVariances[[#Headers],[Sep]],MarketingPlan[#Headers],0))-INDEX(MarketingActual[],MATCH(INDEX(MarketingVariances[],ROW()-ROW(MarketingVariances[[#Headers],[Sep]]),1),INDEX(MarketingPlan[],,1),0),MATCH(MarketingVariances[[#Headers],[Sep]],MarketingActual[#Headers],0))</f>
        <v>200</v>
      </c>
      <c r="L23" s="19">
        <f>INDEX(MarketingPlan[],MATCH(INDEX(MarketingVariances[],ROW()-ROW(MarketingVariances[[#Headers],[Oct]]),1),INDEX(MarketingPlan[],,1),0),MATCH(MarketingVariances[[#Headers],[Oct]],MarketingPlan[#Headers],0))-INDEX(MarketingActual[],MATCH(INDEX(MarketingVariances[],ROW()-ROW(MarketingVariances[[#Headers],[Oct]]),1),INDEX(MarketingPlan[],,1),0),MATCH(MarketingVariances[[#Headers],[Oct]],MarketingActual[#Headers],0))</f>
        <v>200</v>
      </c>
      <c r="M23" s="19">
        <f>INDEX(MarketingPlan[],MATCH(INDEX(MarketingVariances[],ROW()-ROW(MarketingVariances[[#Headers],[Nov]]),1),INDEX(MarketingPlan[],,1),0),MATCH(MarketingVariances[[#Headers],[Nov]],MarketingPlan[#Headers],0))-INDEX(MarketingActual[],MATCH(INDEX(MarketingVariances[],ROW()-ROW(MarketingVariances[[#Headers],[Nov]]),1),INDEX(MarketingPlan[],,1),0),MATCH(MarketingVariances[[#Headers],[Nov]],MarketingActual[#Headers],0))</f>
        <v>200</v>
      </c>
      <c r="N23" s="19">
        <f>INDEX(MarketingPlan[],MATCH(INDEX(MarketingVariances[],ROW()-ROW(MarketingVariances[[#Headers],[Dec]]),1),INDEX(MarketingPlan[],,1),0),MATCH(MarketingVariances[[#Headers],[Dec]],MarketingPlan[#Headers],0))-INDEX(MarketingActual[],MATCH(INDEX(MarketingVariances[],ROW()-ROW(MarketingVariances[[#Headers],[Dec]]),1),INDEX(MarketingPlan[],,1),0),MATCH(MarketingVariances[[#Headers],[Dec]],MarketingActual[#Headers],0))</f>
        <v>1000</v>
      </c>
      <c r="O23" s="19">
        <f>SUM(MarketingVariances[[#This Row],[Jan]:[Dec]])</f>
        <v>1500</v>
      </c>
      <c r="P23" s="37"/>
    </row>
    <row r="24" spans="1:16" ht="33.950000000000003" customHeight="1" x14ac:dyDescent="0.45">
      <c r="A24" s="10"/>
      <c r="B24" s="22" t="s">
        <v>26</v>
      </c>
      <c r="C24" s="19">
        <f>INDEX(MarketingPlan[],MATCH(INDEX(MarketingVariances[],ROW()-ROW(MarketingVariances[[#Headers],[Jan]]),1),INDEX(MarketingPlan[],,1),0),MATCH(MarketingVariances[[#Headers],[Jan]],MarketingPlan[#Headers],0))-INDEX(MarketingActual[],MATCH(INDEX(MarketingVariances[],ROW()-ROW(MarketingVariances[[#Headers],[Jan]]),1),INDEX(MarketingPlan[],,1),0),MATCH(MarketingVariances[[#Headers],[Jan]],MarketingActual[#Headers],0))</f>
        <v>200</v>
      </c>
      <c r="D24" s="19">
        <f>INDEX(MarketingPlan[],MATCH(INDEX(MarketingVariances[],ROW()-ROW(MarketingVariances[[#Headers],[Feb]]),1),INDEX(MarketingPlan[],,1),0),MATCH(MarketingVariances[[#Headers],[Feb]],MarketingPlan[#Headers],0))-INDEX(MarketingActual[],MATCH(INDEX(MarketingVariances[],ROW()-ROW(MarketingVariances[[#Headers],[Feb]]),1),INDEX(MarketingPlan[],,1),0),MATCH(MarketingVariances[[#Headers],[Feb]],MarketingActual[#Headers],0))</f>
        <v>0</v>
      </c>
      <c r="E24" s="19">
        <f>INDEX(MarketingPlan[],MATCH(INDEX(MarketingVariances[],ROW()-ROW(MarketingVariances[[#Headers],[Mar]]),1),INDEX(MarketingPlan[],,1),0),MATCH(MarketingVariances[[#Headers],[Mar]],MarketingPlan[#Headers],0))-INDEX(MarketingActual[],MATCH(INDEX(MarketingVariances[],ROW()-ROW(MarketingVariances[[#Headers],[Mar]]),1),INDEX(MarketingPlan[],,1),0),MATCH(MarketingVariances[[#Headers],[Mar]],MarketingActual[#Headers],0))</f>
        <v>0</v>
      </c>
      <c r="F24" s="19">
        <f>INDEX(MarketingPlan[],MATCH(INDEX(MarketingVariances[],ROW()-ROW(MarketingVariances[[#Headers],[Apr]]),1),INDEX(MarketingPlan[],,1),0),MATCH(MarketingVariances[[#Headers],[Apr]],MarketingPlan[#Headers],0))-INDEX(MarketingActual[],MATCH(INDEX(MarketingVariances[],ROW()-ROW(MarketingVariances[[#Headers],[Apr]]),1),INDEX(MarketingPlan[],,1),0),MATCH(MarketingVariances[[#Headers],[Apr]],MarketingActual[#Headers],0))</f>
        <v>-500</v>
      </c>
      <c r="G24" s="19">
        <f>INDEX(MarketingPlan[],MATCH(INDEX(MarketingVariances[],ROW()-ROW(MarketingVariances[[#Headers],[May]]),1),INDEX(MarketingPlan[],,1),0),MATCH(MarketingVariances[[#Headers],[May]],MarketingPlan[#Headers],0))-INDEX(MarketingActual[],MATCH(INDEX(MarketingVariances[],ROW()-ROW(MarketingVariances[[#Headers],[May]]),1),INDEX(MarketingPlan[],,1),0),MATCH(MarketingVariances[[#Headers],[May]],MarketingActual[#Headers],0))</f>
        <v>0</v>
      </c>
      <c r="H24" s="19">
        <f>INDEX(MarketingPlan[],MATCH(INDEX(MarketingVariances[],ROW()-ROW(MarketingVariances[[#Headers],[Jun]]),1),INDEX(MarketingPlan[],,1),0),MATCH(MarketingVariances[[#Headers],[Jun]],MarketingPlan[#Headers],0))-INDEX(MarketingActual[],MATCH(INDEX(MarketingVariances[],ROW()-ROW(MarketingVariances[[#Headers],[Jun]]),1),INDEX(MarketingPlan[],,1),0),MATCH(MarketingVariances[[#Headers],[Jun]],MarketingActual[#Headers],0))</f>
        <v>0</v>
      </c>
      <c r="I24" s="19">
        <f>INDEX(MarketingPlan[],MATCH(INDEX(MarketingVariances[],ROW()-ROW(MarketingVariances[[#Headers],[Jul]]),1),INDEX(MarketingPlan[],,1),0),MATCH(MarketingVariances[[#Headers],[Jul]],MarketingPlan[#Headers],0))-INDEX(MarketingActual[],MATCH(INDEX(MarketingVariances[],ROW()-ROW(MarketingVariances[[#Headers],[Jul]]),1),INDEX(MarketingPlan[],,1),0),MATCH(MarketingVariances[[#Headers],[Jul]],MarketingActual[#Headers],0))</f>
        <v>5000</v>
      </c>
      <c r="J24" s="19">
        <f>INDEX(MarketingPlan[],MATCH(INDEX(MarketingVariances[],ROW()-ROW(MarketingVariances[[#Headers],[Aug]]),1),INDEX(MarketingPlan[],,1),0),MATCH(MarketingVariances[[#Headers],[Aug]],MarketingPlan[#Headers],0))-INDEX(MarketingActual[],MATCH(INDEX(MarketingVariances[],ROW()-ROW(MarketingVariances[[#Headers],[Aug]]),1),INDEX(MarketingPlan[],,1),0),MATCH(MarketingVariances[[#Headers],[Aug]],MarketingActual[#Headers],0))</f>
        <v>0</v>
      </c>
      <c r="K24" s="19">
        <f>INDEX(MarketingPlan[],MATCH(INDEX(MarketingVariances[],ROW()-ROW(MarketingVariances[[#Headers],[Sep]]),1),INDEX(MarketingPlan[],,1),0),MATCH(MarketingVariances[[#Headers],[Sep]],MarketingPlan[#Headers],0))-INDEX(MarketingActual[],MATCH(INDEX(MarketingVariances[],ROW()-ROW(MarketingVariances[[#Headers],[Sep]]),1),INDEX(MarketingPlan[],,1),0),MATCH(MarketingVariances[[#Headers],[Sep]],MarketingActual[#Headers],0))</f>
        <v>0</v>
      </c>
      <c r="L24" s="19">
        <f>INDEX(MarketingPlan[],MATCH(INDEX(MarketingVariances[],ROW()-ROW(MarketingVariances[[#Headers],[Oct]]),1),INDEX(MarketingPlan[],,1),0),MATCH(MarketingVariances[[#Headers],[Oct]],MarketingPlan[#Headers],0))-INDEX(MarketingActual[],MATCH(INDEX(MarketingVariances[],ROW()-ROW(MarketingVariances[[#Headers],[Oct]]),1),INDEX(MarketingPlan[],,1),0),MATCH(MarketingVariances[[#Headers],[Oct]],MarketingActual[#Headers],0))</f>
        <v>5000</v>
      </c>
      <c r="M24" s="19">
        <f>INDEX(MarketingPlan[],MATCH(INDEX(MarketingVariances[],ROW()-ROW(MarketingVariances[[#Headers],[Nov]]),1),INDEX(MarketingPlan[],,1),0),MATCH(MarketingVariances[[#Headers],[Nov]],MarketingPlan[#Headers],0))-INDEX(MarketingActual[],MATCH(INDEX(MarketingVariances[],ROW()-ROW(MarketingVariances[[#Headers],[Nov]]),1),INDEX(MarketingPlan[],,1),0),MATCH(MarketingVariances[[#Headers],[Nov]],MarketingActual[#Headers],0))</f>
        <v>0</v>
      </c>
      <c r="N24" s="19">
        <f>INDEX(MarketingPlan[],MATCH(INDEX(MarketingVariances[],ROW()-ROW(MarketingVariances[[#Headers],[Dec]]),1),INDEX(MarketingPlan[],,1),0),MATCH(MarketingVariances[[#Headers],[Dec]],MarketingPlan[#Headers],0))-INDEX(MarketingActual[],MATCH(INDEX(MarketingVariances[],ROW()-ROW(MarketingVariances[[#Headers],[Dec]]),1),INDEX(MarketingPlan[],,1),0),MATCH(MarketingVariances[[#Headers],[Dec]],MarketingActual[#Headers],0))</f>
        <v>0</v>
      </c>
      <c r="O24" s="19">
        <f>SUM(MarketingVariances[[#This Row],[Jan]:[Dec]])</f>
        <v>9700</v>
      </c>
      <c r="P24" s="37"/>
    </row>
    <row r="25" spans="1:16" ht="33.950000000000003" customHeight="1" x14ac:dyDescent="0.45">
      <c r="A25" s="10"/>
      <c r="B25" s="22" t="s">
        <v>27</v>
      </c>
      <c r="C25" s="19">
        <f>INDEX(MarketingPlan[],MATCH(INDEX(MarketingVariances[],ROW()-ROW(MarketingVariances[[#Headers],[Jan]]),1),INDEX(MarketingPlan[],,1),0),MATCH(MarketingVariances[[#Headers],[Jan]],MarketingPlan[#Headers],0))-INDEX(MarketingActual[],MATCH(INDEX(MarketingVariances[],ROW()-ROW(MarketingVariances[[#Headers],[Jan]]),1),INDEX(MarketingPlan[],,1),0),MATCH(MarketingVariances[[#Headers],[Jan]],MarketingActual[#Headers],0))</f>
        <v>100</v>
      </c>
      <c r="D25" s="19">
        <f>INDEX(MarketingPlan[],MATCH(INDEX(MarketingVariances[],ROW()-ROW(MarketingVariances[[#Headers],[Feb]]),1),INDEX(MarketingPlan[],,1),0),MATCH(MarketingVariances[[#Headers],[Feb]],MarketingPlan[#Headers],0))-INDEX(MarketingActual[],MATCH(INDEX(MarketingVariances[],ROW()-ROW(MarketingVariances[[#Headers],[Feb]]),1),INDEX(MarketingPlan[],,1),0),MATCH(MarketingVariances[[#Headers],[Feb]],MarketingActual[#Headers],0))</f>
        <v>-300</v>
      </c>
      <c r="E25" s="19">
        <f>INDEX(MarketingPlan[],MATCH(INDEX(MarketingVariances[],ROW()-ROW(MarketingVariances[[#Headers],[Mar]]),1),INDEX(MarketingPlan[],,1),0),MATCH(MarketingVariances[[#Headers],[Mar]],MarketingPlan[#Headers],0))-INDEX(MarketingActual[],MATCH(INDEX(MarketingVariances[],ROW()-ROW(MarketingVariances[[#Headers],[Mar]]),1),INDEX(MarketingPlan[],,1),0),MATCH(MarketingVariances[[#Headers],[Mar]],MarketingActual[#Headers],0))</f>
        <v>100</v>
      </c>
      <c r="F25" s="19">
        <f>INDEX(MarketingPlan[],MATCH(INDEX(MarketingVariances[],ROW()-ROW(MarketingVariances[[#Headers],[Apr]]),1),INDEX(MarketingPlan[],,1),0),MATCH(MarketingVariances[[#Headers],[Apr]],MarketingPlan[#Headers],0))-INDEX(MarketingActual[],MATCH(INDEX(MarketingVariances[],ROW()-ROW(MarketingVariances[[#Headers],[Apr]]),1),INDEX(MarketingPlan[],,1),0),MATCH(MarketingVariances[[#Headers],[Apr]],MarketingActual[#Headers],0))</f>
        <v>100</v>
      </c>
      <c r="G25" s="19">
        <f>INDEX(MarketingPlan[],MATCH(INDEX(MarketingVariances[],ROW()-ROW(MarketingVariances[[#Headers],[May]]),1),INDEX(MarketingPlan[],,1),0),MATCH(MarketingVariances[[#Headers],[May]],MarketingPlan[#Headers],0))-INDEX(MarketingActual[],MATCH(INDEX(MarketingVariances[],ROW()-ROW(MarketingVariances[[#Headers],[May]]),1),INDEX(MarketingPlan[],,1),0),MATCH(MarketingVariances[[#Headers],[May]],MarketingActual[#Headers],0))</f>
        <v>-400</v>
      </c>
      <c r="H25" s="19">
        <f>INDEX(MarketingPlan[],MATCH(INDEX(MarketingVariances[],ROW()-ROW(MarketingVariances[[#Headers],[Jun]]),1),INDEX(MarketingPlan[],,1),0),MATCH(MarketingVariances[[#Headers],[Jun]],MarketingPlan[#Headers],0))-INDEX(MarketingActual[],MATCH(INDEX(MarketingVariances[],ROW()-ROW(MarketingVariances[[#Headers],[Jun]]),1),INDEX(MarketingPlan[],,1),0),MATCH(MarketingVariances[[#Headers],[Jun]],MarketingActual[#Headers],0))</f>
        <v>20</v>
      </c>
      <c r="I25" s="19">
        <f>INDEX(MarketingPlan[],MATCH(INDEX(MarketingVariances[],ROW()-ROW(MarketingVariances[[#Headers],[Jul]]),1),INDEX(MarketingPlan[],,1),0),MATCH(MarketingVariances[[#Headers],[Jul]],MarketingPlan[#Headers],0))-INDEX(MarketingActual[],MATCH(INDEX(MarketingVariances[],ROW()-ROW(MarketingVariances[[#Headers],[Jul]]),1),INDEX(MarketingPlan[],,1),0),MATCH(MarketingVariances[[#Headers],[Jul]],MarketingActual[#Headers],0))</f>
        <v>200</v>
      </c>
      <c r="J25" s="19">
        <f>INDEX(MarketingPlan[],MATCH(INDEX(MarketingVariances[],ROW()-ROW(MarketingVariances[[#Headers],[Aug]]),1),INDEX(MarketingPlan[],,1),0),MATCH(MarketingVariances[[#Headers],[Aug]],MarketingPlan[#Headers],0))-INDEX(MarketingActual[],MATCH(INDEX(MarketingVariances[],ROW()-ROW(MarketingVariances[[#Headers],[Aug]]),1),INDEX(MarketingPlan[],,1),0),MATCH(MarketingVariances[[#Headers],[Aug]],MarketingActual[#Headers],0))</f>
        <v>200</v>
      </c>
      <c r="K25" s="19">
        <f>INDEX(MarketingPlan[],MATCH(INDEX(MarketingVariances[],ROW()-ROW(MarketingVariances[[#Headers],[Sep]]),1),INDEX(MarketingPlan[],,1),0),MATCH(MarketingVariances[[#Headers],[Sep]],MarketingPlan[#Headers],0))-INDEX(MarketingActual[],MATCH(INDEX(MarketingVariances[],ROW()-ROW(MarketingVariances[[#Headers],[Sep]]),1),INDEX(MarketingPlan[],,1),0),MATCH(MarketingVariances[[#Headers],[Sep]],MarketingActual[#Headers],0))</f>
        <v>200</v>
      </c>
      <c r="L25" s="19">
        <f>INDEX(MarketingPlan[],MATCH(INDEX(MarketingVariances[],ROW()-ROW(MarketingVariances[[#Headers],[Oct]]),1),INDEX(MarketingPlan[],,1),0),MATCH(MarketingVariances[[#Headers],[Oct]],MarketingPlan[#Headers],0))-INDEX(MarketingActual[],MATCH(INDEX(MarketingVariances[],ROW()-ROW(MarketingVariances[[#Headers],[Oct]]),1),INDEX(MarketingPlan[],,1),0),MATCH(MarketingVariances[[#Headers],[Oct]],MarketingActual[#Headers],0))</f>
        <v>200</v>
      </c>
      <c r="M25" s="19">
        <f>INDEX(MarketingPlan[],MATCH(INDEX(MarketingVariances[],ROW()-ROW(MarketingVariances[[#Headers],[Nov]]),1),INDEX(MarketingPlan[],,1),0),MATCH(MarketingVariances[[#Headers],[Nov]],MarketingPlan[#Headers],0))-INDEX(MarketingActual[],MATCH(INDEX(MarketingVariances[],ROW()-ROW(MarketingVariances[[#Headers],[Nov]]),1),INDEX(MarketingPlan[],,1),0),MATCH(MarketingVariances[[#Headers],[Nov]],MarketingActual[#Headers],0))</f>
        <v>200</v>
      </c>
      <c r="N25" s="19">
        <f>INDEX(MarketingPlan[],MATCH(INDEX(MarketingVariances[],ROW()-ROW(MarketingVariances[[#Headers],[Dec]]),1),INDEX(MarketingPlan[],,1),0),MATCH(MarketingVariances[[#Headers],[Dec]],MarketingPlan[#Headers],0))-INDEX(MarketingActual[],MATCH(INDEX(MarketingVariances[],ROW()-ROW(MarketingVariances[[#Headers],[Dec]]),1),INDEX(MarketingPlan[],,1),0),MATCH(MarketingVariances[[#Headers],[Dec]],MarketingActual[#Headers],0))</f>
        <v>200</v>
      </c>
      <c r="O25" s="19">
        <f>SUM(MarketingVariances[[#This Row],[Jan]:[Dec]])</f>
        <v>820</v>
      </c>
      <c r="P25" s="37"/>
    </row>
    <row r="26" spans="1:16" ht="33.950000000000003" customHeight="1" x14ac:dyDescent="0.45">
      <c r="A26" s="10"/>
      <c r="B26" s="22" t="s">
        <v>28</v>
      </c>
      <c r="C26" s="19">
        <f>INDEX(MarketingPlan[],MATCH(INDEX(MarketingVariances[],ROW()-ROW(MarketingVariances[[#Headers],[Jan]]),1),INDEX(MarketingPlan[],,1),0),MATCH(MarketingVariances[[#Headers],[Jan]],MarketingPlan[#Headers],0))-INDEX(MarketingActual[],MATCH(INDEX(MarketingVariances[],ROW()-ROW(MarketingVariances[[#Headers],[Jan]]),1),INDEX(MarketingPlan[],,1),0),MATCH(MarketingVariances[[#Headers],[Jan]],MarketingActual[#Headers],0))</f>
        <v>200</v>
      </c>
      <c r="D26" s="19">
        <f>INDEX(MarketingPlan[],MATCH(INDEX(MarketingVariances[],ROW()-ROW(MarketingVariances[[#Headers],[Feb]]),1),INDEX(MarketingPlan[],,1),0),MATCH(MarketingVariances[[#Headers],[Feb]],MarketingPlan[#Headers],0))-INDEX(MarketingActual[],MATCH(INDEX(MarketingVariances[],ROW()-ROW(MarketingVariances[[#Headers],[Feb]]),1),INDEX(MarketingPlan[],,1),0),MATCH(MarketingVariances[[#Headers],[Feb]],MarketingActual[#Headers],0))</f>
        <v>-200</v>
      </c>
      <c r="E26" s="19">
        <f>INDEX(MarketingPlan[],MATCH(INDEX(MarketingVariances[],ROW()-ROW(MarketingVariances[[#Headers],[Mar]]),1),INDEX(MarketingPlan[],,1),0),MATCH(MarketingVariances[[#Headers],[Mar]],MarketingPlan[#Headers],0))-INDEX(MarketingActual[],MATCH(INDEX(MarketingVariances[],ROW()-ROW(MarketingVariances[[#Headers],[Mar]]),1),INDEX(MarketingPlan[],,1),0),MATCH(MarketingVariances[[#Headers],[Mar]],MarketingActual[#Headers],0))</f>
        <v>-200</v>
      </c>
      <c r="F26" s="19">
        <f>INDEX(MarketingPlan[],MATCH(INDEX(MarketingVariances[],ROW()-ROW(MarketingVariances[[#Headers],[Apr]]),1),INDEX(MarketingPlan[],,1),0),MATCH(MarketingVariances[[#Headers],[Apr]],MarketingPlan[#Headers],0))-INDEX(MarketingActual[],MATCH(INDEX(MarketingVariances[],ROW()-ROW(MarketingVariances[[#Headers],[Apr]]),1),INDEX(MarketingPlan[],,1),0),MATCH(MarketingVariances[[#Headers],[Apr]],MarketingActual[#Headers],0))</f>
        <v>300</v>
      </c>
      <c r="G26" s="19">
        <f>INDEX(MarketingPlan[],MATCH(INDEX(MarketingVariances[],ROW()-ROW(MarketingVariances[[#Headers],[May]]),1),INDEX(MarketingPlan[],,1),0),MATCH(MarketingVariances[[#Headers],[May]],MarketingPlan[#Headers],0))-INDEX(MarketingActual[],MATCH(INDEX(MarketingVariances[],ROW()-ROW(MarketingVariances[[#Headers],[May]]),1),INDEX(MarketingPlan[],,1),0),MATCH(MarketingVariances[[#Headers],[May]],MarketingActual[#Headers],0))</f>
        <v>500</v>
      </c>
      <c r="H26" s="19">
        <f>INDEX(MarketingPlan[],MATCH(INDEX(MarketingVariances[],ROW()-ROW(MarketingVariances[[#Headers],[Jun]]),1),INDEX(MarketingPlan[],,1),0),MATCH(MarketingVariances[[#Headers],[Jun]],MarketingPlan[#Headers],0))-INDEX(MarketingActual[],MATCH(INDEX(MarketingVariances[],ROW()-ROW(MarketingVariances[[#Headers],[Jun]]),1),INDEX(MarketingPlan[],,1),0),MATCH(MarketingVariances[[#Headers],[Jun]],MarketingActual[#Headers],0))</f>
        <v>-300</v>
      </c>
      <c r="I26" s="19">
        <f>INDEX(MarketingPlan[],MATCH(INDEX(MarketingVariances[],ROW()-ROW(MarketingVariances[[#Headers],[Jul]]),1),INDEX(MarketingPlan[],,1),0),MATCH(MarketingVariances[[#Headers],[Jul]],MarketingPlan[#Headers],0))-INDEX(MarketingActual[],MATCH(INDEX(MarketingVariances[],ROW()-ROW(MarketingVariances[[#Headers],[Jul]]),1),INDEX(MarketingPlan[],,1),0),MATCH(MarketingVariances[[#Headers],[Jul]],MarketingActual[#Headers],0))</f>
        <v>2000</v>
      </c>
      <c r="J26" s="19">
        <f>INDEX(MarketingPlan[],MATCH(INDEX(MarketingVariances[],ROW()-ROW(MarketingVariances[[#Headers],[Aug]]),1),INDEX(MarketingPlan[],,1),0),MATCH(MarketingVariances[[#Headers],[Aug]],MarketingPlan[#Headers],0))-INDEX(MarketingActual[],MATCH(INDEX(MarketingVariances[],ROW()-ROW(MarketingVariances[[#Headers],[Aug]]),1),INDEX(MarketingPlan[],,1),0),MATCH(MarketingVariances[[#Headers],[Aug]],MarketingActual[#Headers],0))</f>
        <v>5000</v>
      </c>
      <c r="K26" s="19">
        <f>INDEX(MarketingPlan[],MATCH(INDEX(MarketingVariances[],ROW()-ROW(MarketingVariances[[#Headers],[Sep]]),1),INDEX(MarketingPlan[],,1),0),MATCH(MarketingVariances[[#Headers],[Sep]],MarketingPlan[#Headers],0))-INDEX(MarketingActual[],MATCH(INDEX(MarketingVariances[],ROW()-ROW(MarketingVariances[[#Headers],[Sep]]),1),INDEX(MarketingPlan[],,1),0),MATCH(MarketingVariances[[#Headers],[Sep]],MarketingActual[#Headers],0))</f>
        <v>2000</v>
      </c>
      <c r="L26" s="19">
        <f>INDEX(MarketingPlan[],MATCH(INDEX(MarketingVariances[],ROW()-ROW(MarketingVariances[[#Headers],[Oct]]),1),INDEX(MarketingPlan[],,1),0),MATCH(MarketingVariances[[#Headers],[Oct]],MarketingPlan[#Headers],0))-INDEX(MarketingActual[],MATCH(INDEX(MarketingVariances[],ROW()-ROW(MarketingVariances[[#Headers],[Oct]]),1),INDEX(MarketingPlan[],,1),0),MATCH(MarketingVariances[[#Headers],[Oct]],MarketingActual[#Headers],0))</f>
        <v>2000</v>
      </c>
      <c r="M26" s="19">
        <f>INDEX(MarketingPlan[],MATCH(INDEX(MarketingVariances[],ROW()-ROW(MarketingVariances[[#Headers],[Nov]]),1),INDEX(MarketingPlan[],,1),0),MATCH(MarketingVariances[[#Headers],[Nov]],MarketingPlan[#Headers],0))-INDEX(MarketingActual[],MATCH(INDEX(MarketingVariances[],ROW()-ROW(MarketingVariances[[#Headers],[Nov]]),1),INDEX(MarketingPlan[],,1),0),MATCH(MarketingVariances[[#Headers],[Nov]],MarketingActual[#Headers],0))</f>
        <v>2000</v>
      </c>
      <c r="N26" s="19">
        <f>INDEX(MarketingPlan[],MATCH(INDEX(MarketingVariances[],ROW()-ROW(MarketingVariances[[#Headers],[Dec]]),1),INDEX(MarketingPlan[],,1),0),MATCH(MarketingVariances[[#Headers],[Dec]],MarketingPlan[#Headers],0))-INDEX(MarketingActual[],MATCH(INDEX(MarketingVariances[],ROW()-ROW(MarketingVariances[[#Headers],[Dec]]),1),INDEX(MarketingPlan[],,1),0),MATCH(MarketingVariances[[#Headers],[Dec]],MarketingActual[#Headers],0))</f>
        <v>5000</v>
      </c>
      <c r="O26" s="19">
        <f>SUM(MarketingVariances[[#This Row],[Jan]:[Dec]])</f>
        <v>18300</v>
      </c>
      <c r="P26" s="37"/>
    </row>
    <row r="27" spans="1:16" ht="33.950000000000003" customHeight="1" x14ac:dyDescent="0.45">
      <c r="A27" s="10"/>
      <c r="B27" s="22" t="s">
        <v>29</v>
      </c>
      <c r="C27" s="19">
        <f>INDEX(MarketingPlan[],MATCH(INDEX(MarketingVariances[],ROW()-ROW(MarketingVariances[[#Headers],[Jan]]),1),INDEX(MarketingPlan[],,1),0),MATCH(MarketingVariances[[#Headers],[Jan]],MarketingPlan[#Headers],0))-INDEX(MarketingActual[],MATCH(INDEX(MarketingVariances[],ROW()-ROW(MarketingVariances[[#Headers],[Jan]]),1),INDEX(MarketingPlan[],,1),0),MATCH(MarketingVariances[[#Headers],[Jan]],MarketingActual[#Headers],0))</f>
        <v>55</v>
      </c>
      <c r="D27" s="19">
        <f>INDEX(MarketingPlan[],MATCH(INDEX(MarketingVariances[],ROW()-ROW(MarketingVariances[[#Headers],[Feb]]),1),INDEX(MarketingPlan[],,1),0),MATCH(MarketingVariances[[#Headers],[Feb]],MarketingPlan[#Headers],0))-INDEX(MarketingActual[],MATCH(INDEX(MarketingVariances[],ROW()-ROW(MarketingVariances[[#Headers],[Feb]]),1),INDEX(MarketingPlan[],,1),0),MATCH(MarketingVariances[[#Headers],[Feb]],MarketingActual[#Headers],0))</f>
        <v>44</v>
      </c>
      <c r="E27" s="19">
        <f>INDEX(MarketingPlan[],MATCH(INDEX(MarketingVariances[],ROW()-ROW(MarketingVariances[[#Headers],[Mar]]),1),INDEX(MarketingPlan[],,1),0),MATCH(MarketingVariances[[#Headers],[Mar]],MarketingPlan[#Headers],0))-INDEX(MarketingActual[],MATCH(INDEX(MarketingVariances[],ROW()-ROW(MarketingVariances[[#Headers],[Mar]]),1),INDEX(MarketingPlan[],,1),0),MATCH(MarketingVariances[[#Headers],[Mar]],MarketingActual[#Headers],0))</f>
        <v>77</v>
      </c>
      <c r="F27" s="19">
        <f>INDEX(MarketingPlan[],MATCH(INDEX(MarketingVariances[],ROW()-ROW(MarketingVariances[[#Headers],[Apr]]),1),INDEX(MarketingPlan[],,1),0),MATCH(MarketingVariances[[#Headers],[Apr]],MarketingPlan[#Headers],0))-INDEX(MarketingActual[],MATCH(INDEX(MarketingVariances[],ROW()-ROW(MarketingVariances[[#Headers],[Apr]]),1),INDEX(MarketingPlan[],,1),0),MATCH(MarketingVariances[[#Headers],[Apr]],MarketingActual[#Headers],0))</f>
        <v>-23</v>
      </c>
      <c r="G27" s="19">
        <f>INDEX(MarketingPlan[],MATCH(INDEX(MarketingVariances[],ROW()-ROW(MarketingVariances[[#Headers],[May]]),1),INDEX(MarketingPlan[],,1),0),MATCH(MarketingVariances[[#Headers],[May]],MarketingPlan[#Headers],0))-INDEX(MarketingActual[],MATCH(INDEX(MarketingVariances[],ROW()-ROW(MarketingVariances[[#Headers],[May]]),1),INDEX(MarketingPlan[],,1),0),MATCH(MarketingVariances[[#Headers],[May]],MarketingActual[#Headers],0))</f>
        <v>13</v>
      </c>
      <c r="H27" s="19">
        <f>INDEX(MarketingPlan[],MATCH(INDEX(MarketingVariances[],ROW()-ROW(MarketingVariances[[#Headers],[Jun]]),1),INDEX(MarketingPlan[],,1),0),MATCH(MarketingVariances[[#Headers],[Jun]],MarketingPlan[#Headers],0))-INDEX(MarketingActual[],MATCH(INDEX(MarketingVariances[],ROW()-ROW(MarketingVariances[[#Headers],[Jun]]),1),INDEX(MarketingPlan[],,1),0),MATCH(MarketingVariances[[#Headers],[Jun]],MarketingActual[#Headers],0))</f>
        <v>-45</v>
      </c>
      <c r="I27" s="19">
        <f>INDEX(MarketingPlan[],MATCH(INDEX(MarketingVariances[],ROW()-ROW(MarketingVariances[[#Headers],[Jul]]),1),INDEX(MarketingPlan[],,1),0),MATCH(MarketingVariances[[#Headers],[Jul]],MarketingPlan[#Headers],0))-INDEX(MarketingActual[],MATCH(INDEX(MarketingVariances[],ROW()-ROW(MarketingVariances[[#Headers],[Jul]]),1),INDEX(MarketingPlan[],,1),0),MATCH(MarketingVariances[[#Headers],[Jul]],MarketingActual[#Headers],0))</f>
        <v>200</v>
      </c>
      <c r="J27" s="19">
        <f>INDEX(MarketingPlan[],MATCH(INDEX(MarketingVariances[],ROW()-ROW(MarketingVariances[[#Headers],[Aug]]),1),INDEX(MarketingPlan[],,1),0),MATCH(MarketingVariances[[#Headers],[Aug]],MarketingPlan[#Headers],0))-INDEX(MarketingActual[],MATCH(INDEX(MarketingVariances[],ROW()-ROW(MarketingVariances[[#Headers],[Aug]]),1),INDEX(MarketingPlan[],,1),0),MATCH(MarketingVariances[[#Headers],[Aug]],MarketingActual[#Headers],0))</f>
        <v>200</v>
      </c>
      <c r="K27" s="19">
        <f>INDEX(MarketingPlan[],MATCH(INDEX(MarketingVariances[],ROW()-ROW(MarketingVariances[[#Headers],[Sep]]),1),INDEX(MarketingPlan[],,1),0),MATCH(MarketingVariances[[#Headers],[Sep]],MarketingPlan[#Headers],0))-INDEX(MarketingActual[],MATCH(INDEX(MarketingVariances[],ROW()-ROW(MarketingVariances[[#Headers],[Sep]]),1),INDEX(MarketingPlan[],,1),0),MATCH(MarketingVariances[[#Headers],[Sep]],MarketingActual[#Headers],0))</f>
        <v>200</v>
      </c>
      <c r="L27" s="19">
        <f>INDEX(MarketingPlan[],MATCH(INDEX(MarketingVariances[],ROW()-ROW(MarketingVariances[[#Headers],[Oct]]),1),INDEX(MarketingPlan[],,1),0),MATCH(MarketingVariances[[#Headers],[Oct]],MarketingPlan[#Headers],0))-INDEX(MarketingActual[],MATCH(INDEX(MarketingVariances[],ROW()-ROW(MarketingVariances[[#Headers],[Oct]]),1),INDEX(MarketingPlan[],,1),0),MATCH(MarketingVariances[[#Headers],[Oct]],MarketingActual[#Headers],0))</f>
        <v>200</v>
      </c>
      <c r="M27" s="19">
        <f>INDEX(MarketingPlan[],MATCH(INDEX(MarketingVariances[],ROW()-ROW(MarketingVariances[[#Headers],[Nov]]),1),INDEX(MarketingPlan[],,1),0),MATCH(MarketingVariances[[#Headers],[Nov]],MarketingPlan[#Headers],0))-INDEX(MarketingActual[],MATCH(INDEX(MarketingVariances[],ROW()-ROW(MarketingVariances[[#Headers],[Nov]]),1),INDEX(MarketingPlan[],,1),0),MATCH(MarketingVariances[[#Headers],[Nov]],MarketingActual[#Headers],0))</f>
        <v>200</v>
      </c>
      <c r="N27" s="19">
        <f>INDEX(MarketingPlan[],MATCH(INDEX(MarketingVariances[],ROW()-ROW(MarketingVariances[[#Headers],[Dec]]),1),INDEX(MarketingPlan[],,1),0),MATCH(MarketingVariances[[#Headers],[Dec]],MarketingPlan[#Headers],0))-INDEX(MarketingActual[],MATCH(INDEX(MarketingVariances[],ROW()-ROW(MarketingVariances[[#Headers],[Dec]]),1),INDEX(MarketingPlan[],,1),0),MATCH(MarketingVariances[[#Headers],[Dec]],MarketingActual[#Headers],0))</f>
        <v>200</v>
      </c>
      <c r="O27" s="19">
        <f>SUM(MarketingVariances[[#This Row],[Jan]:[Dec]])</f>
        <v>1321</v>
      </c>
      <c r="P27" s="37"/>
    </row>
    <row r="28" spans="1:16" ht="33.950000000000003" customHeight="1" x14ac:dyDescent="0.45">
      <c r="A28" s="10"/>
      <c r="B28" s="23" t="s">
        <v>15</v>
      </c>
      <c r="C28" s="20">
        <f>SUBTOTAL(109,MarketingVariances[Jan])</f>
        <v>555</v>
      </c>
      <c r="D28" s="20">
        <f>SUBTOTAL(109,MarketingVariances[Feb])</f>
        <v>-456</v>
      </c>
      <c r="E28" s="20">
        <f>SUBTOTAL(109,MarketingVariances[Mar])</f>
        <v>-23</v>
      </c>
      <c r="F28" s="20">
        <f>SUBTOTAL(109,MarketingVariances[Apr])</f>
        <v>-123</v>
      </c>
      <c r="G28" s="20">
        <f>SUBTOTAL(109,MarketingVariances[May])</f>
        <v>113</v>
      </c>
      <c r="H28" s="20">
        <f>SUBTOTAL(109,MarketingVariances[Jun])</f>
        <v>-825</v>
      </c>
      <c r="I28" s="20">
        <f>SUBTOTAL(109,MarketingVariances[Jul])</f>
        <v>8100</v>
      </c>
      <c r="J28" s="20">
        <f>SUBTOTAL(109,MarketingVariances[Aug])</f>
        <v>6100</v>
      </c>
      <c r="K28" s="20">
        <f>SUBTOTAL(109,MarketingVariances[Sep])</f>
        <v>3100</v>
      </c>
      <c r="L28" s="20">
        <f>SUBTOTAL(109,MarketingVariances[Oct])</f>
        <v>8100</v>
      </c>
      <c r="M28" s="20">
        <f>SUBTOTAL(109,MarketingVariances[Nov])</f>
        <v>3100</v>
      </c>
      <c r="N28" s="20">
        <f>SUBTOTAL(109,MarketingVariances[Dec])</f>
        <v>6900</v>
      </c>
      <c r="O28" s="20">
        <f>SUBTOTAL(109,MarketingVariances[YEAR])</f>
        <v>34641</v>
      </c>
      <c r="P28" s="37"/>
    </row>
    <row r="29" spans="1:16" ht="33.950000000000003" customHeight="1" x14ac:dyDescent="0.45">
      <c r="A29" s="10"/>
      <c r="B29" s="186"/>
      <c r="C29" s="186"/>
      <c r="D29" s="13"/>
      <c r="E29" s="35"/>
      <c r="F29" s="13"/>
      <c r="G29" s="13"/>
      <c r="H29" s="13"/>
      <c r="I29" s="13"/>
      <c r="J29" s="13"/>
      <c r="K29" s="13"/>
      <c r="L29" s="13"/>
      <c r="M29" s="13"/>
      <c r="N29" s="13"/>
      <c r="O29" s="12"/>
      <c r="P29" s="37"/>
    </row>
    <row r="30" spans="1:16" ht="33.950000000000003" customHeight="1" x14ac:dyDescent="0.45">
      <c r="A30" s="10"/>
      <c r="B30" s="158" t="s">
        <v>61</v>
      </c>
      <c r="C30" s="165" t="s">
        <v>0</v>
      </c>
      <c r="D30" s="165" t="s">
        <v>1</v>
      </c>
      <c r="E30" s="166" t="s">
        <v>2</v>
      </c>
      <c r="F30" s="165" t="s">
        <v>3</v>
      </c>
      <c r="G30" s="165" t="s">
        <v>4</v>
      </c>
      <c r="H30" s="165" t="s">
        <v>5</v>
      </c>
      <c r="I30" s="165" t="s">
        <v>6</v>
      </c>
      <c r="J30" s="165" t="s">
        <v>7</v>
      </c>
      <c r="K30" s="165" t="s">
        <v>8</v>
      </c>
      <c r="L30" s="165" t="s">
        <v>9</v>
      </c>
      <c r="M30" s="165" t="s">
        <v>10</v>
      </c>
      <c r="N30" s="165" t="s">
        <v>11</v>
      </c>
      <c r="O30" s="167" t="s">
        <v>12</v>
      </c>
      <c r="P30" s="37"/>
    </row>
    <row r="31" spans="1:16" ht="33.950000000000003" customHeight="1" x14ac:dyDescent="0.45">
      <c r="A31" s="10"/>
      <c r="B31" s="131" t="s">
        <v>30</v>
      </c>
      <c r="C31" s="122">
        <f>INDEX(TrainingAndTravelPlan[],MATCH(INDEX(TrainingAndTravelVariances[],ROW()-ROW(TrainingAndTravelVariances[[#Headers],[Jan]]),1),INDEX(TrainingAndTravelPlan[],,1),0),MATCH(TrainingAndTravelVariances[[#Headers],[Jan]],TrainingAndTravelPlan[#Headers],0))-INDEX(TrainingAndTravelActual[],MATCH(INDEX(TrainingAndTravelVariances[],ROW()-ROW(TrainingAndTravelVariances[[#Headers],[Jan]]),1),INDEX(TrainingAndTravelPlan[],,1),0),MATCH(TrainingAndTravelVariances[[#Headers],[Jan]],TrainingAndTravelActual[#Headers],0))</f>
        <v>400</v>
      </c>
      <c r="D31" s="122">
        <f>INDEX(TrainingAndTravelPlan[],MATCH(INDEX(TrainingAndTravelVariances[],ROW()-ROW(TrainingAndTravelVariances[[#Headers],[Feb]]),1),INDEX(TrainingAndTravelPlan[],,1),0),MATCH(TrainingAndTravelVariances[[#Headers],[Feb]],TrainingAndTravelPlan[#Headers],0))-INDEX(TrainingAndTravelActual[],MATCH(INDEX(TrainingAndTravelVariances[],ROW()-ROW(TrainingAndTravelVariances[[#Headers],[Feb]]),1),INDEX(TrainingAndTravelPlan[],,1),0),MATCH(TrainingAndTravelVariances[[#Headers],[Feb]],TrainingAndTravelActual[#Headers],0))</f>
        <v>-400</v>
      </c>
      <c r="E31" s="122">
        <f>INDEX(TrainingAndTravelPlan[],MATCH(INDEX(TrainingAndTravelVariances[],ROW()-ROW(TrainingAndTravelVariances[[#Headers],[Mar]]),1),INDEX(TrainingAndTravelPlan[],,1),0),MATCH(TrainingAndTravelVariances[[#Headers],[Mar]],TrainingAndTravelPlan[#Headers],0))-INDEX(TrainingAndTravelActual[],MATCH(INDEX(TrainingAndTravelVariances[],ROW()-ROW(TrainingAndTravelVariances[[#Headers],[Mar]]),1),INDEX(TrainingAndTravelPlan[],,1),0),MATCH(TrainingAndTravelVariances[[#Headers],[Mar]],TrainingAndTravelActual[#Headers],0))</f>
        <v>600</v>
      </c>
      <c r="F31" s="122">
        <f>INDEX(TrainingAndTravelPlan[],MATCH(INDEX(TrainingAndTravelVariances[],ROW()-ROW(TrainingAndTravelVariances[[#Headers],[Apr]]),1),INDEX(TrainingAndTravelPlan[],,1),0),MATCH(TrainingAndTravelVariances[[#Headers],[Apr]],TrainingAndTravelPlan[#Headers],0))-INDEX(TrainingAndTravelActual[],MATCH(INDEX(TrainingAndTravelVariances[],ROW()-ROW(TrainingAndTravelVariances[[#Headers],[Apr]]),1),INDEX(TrainingAndTravelPlan[],,1),0),MATCH(TrainingAndTravelVariances[[#Headers],[Apr]],TrainingAndTravelActual[#Headers],0))</f>
        <v>400</v>
      </c>
      <c r="G31" s="122">
        <f>INDEX(TrainingAndTravelPlan[],MATCH(INDEX(TrainingAndTravelVariances[],ROW()-ROW(TrainingAndTravelVariances[[#Headers],[May]]),1),INDEX(TrainingAndTravelPlan[],,1),0),MATCH(TrainingAndTravelVariances[[#Headers],[May]],TrainingAndTravelPlan[#Headers],0))-INDEX(TrainingAndTravelActual[],MATCH(INDEX(TrainingAndTravelVariances[],ROW()-ROW(TrainingAndTravelVariances[[#Headers],[May]]),1),INDEX(TrainingAndTravelPlan[],,1),0),MATCH(TrainingAndTravelVariances[[#Headers],[May]],TrainingAndTravelActual[#Headers],0))</f>
        <v>800</v>
      </c>
      <c r="H31" s="122">
        <f>INDEX(TrainingAndTravelPlan[],MATCH(INDEX(TrainingAndTravelVariances[],ROW()-ROW(TrainingAndTravelVariances[[#Headers],[Jun]]),1),INDEX(TrainingAndTravelPlan[],,1),0),MATCH(TrainingAndTravelVariances[[#Headers],[Jun]],TrainingAndTravelPlan[#Headers],0))-INDEX(TrainingAndTravelActual[],MATCH(INDEX(TrainingAndTravelVariances[],ROW()-ROW(TrainingAndTravelVariances[[#Headers],[Jun]]),1),INDEX(TrainingAndTravelPlan[],,1),0),MATCH(TrainingAndTravelVariances[[#Headers],[Jun]],TrainingAndTravelActual[#Headers],0))</f>
        <v>-800</v>
      </c>
      <c r="I31" s="122">
        <f>INDEX(TrainingAndTravelPlan[],MATCH(INDEX(TrainingAndTravelVariances[],ROW()-ROW(TrainingAndTravelVariances[[#Headers],[Jul]]),1),INDEX(TrainingAndTravelPlan[],,1),0),MATCH(TrainingAndTravelVariances[[#Headers],[Jul]],TrainingAndTravelPlan[#Headers],0))-INDEX(TrainingAndTravelActual[],MATCH(INDEX(TrainingAndTravelVariances[],ROW()-ROW(TrainingAndTravelVariances[[#Headers],[Jul]]),1),INDEX(TrainingAndTravelPlan[],,1),0),MATCH(TrainingAndTravelVariances[[#Headers],[Jul]],TrainingAndTravelActual[#Headers],0))</f>
        <v>2000</v>
      </c>
      <c r="J31" s="122">
        <f>INDEX(TrainingAndTravelPlan[],MATCH(INDEX(TrainingAndTravelVariances[],ROW()-ROW(TrainingAndTravelVariances[[#Headers],[Aug]]),1),INDEX(TrainingAndTravelPlan[],,1),0),MATCH(TrainingAndTravelVariances[[#Headers],[Aug]],TrainingAndTravelPlan[#Headers],0))-INDEX(TrainingAndTravelActual[],MATCH(INDEX(TrainingAndTravelVariances[],ROW()-ROW(TrainingAndTravelVariances[[#Headers],[Aug]]),1),INDEX(TrainingAndTravelPlan[],,1),0),MATCH(TrainingAndTravelVariances[[#Headers],[Aug]],TrainingAndTravelActual[#Headers],0))</f>
        <v>2000</v>
      </c>
      <c r="K31" s="122">
        <f>INDEX(TrainingAndTravelPlan[],MATCH(INDEX(TrainingAndTravelVariances[],ROW()-ROW(TrainingAndTravelVariances[[#Headers],[Sep]]),1),INDEX(TrainingAndTravelPlan[],,1),0),MATCH(TrainingAndTravelVariances[[#Headers],[Sep]],TrainingAndTravelPlan[#Headers],0))-INDEX(TrainingAndTravelActual[],MATCH(INDEX(TrainingAndTravelVariances[],ROW()-ROW(TrainingAndTravelVariances[[#Headers],[Sep]]),1),INDEX(TrainingAndTravelPlan[],,1),0),MATCH(TrainingAndTravelVariances[[#Headers],[Sep]],TrainingAndTravelActual[#Headers],0))</f>
        <v>2000</v>
      </c>
      <c r="L31" s="122">
        <f>INDEX(TrainingAndTravelPlan[],MATCH(INDEX(TrainingAndTravelVariances[],ROW()-ROW(TrainingAndTravelVariances[[#Headers],[Oct]]),1),INDEX(TrainingAndTravelPlan[],,1),0),MATCH(TrainingAndTravelVariances[[#Headers],[Oct]],TrainingAndTravelPlan[#Headers],0))-INDEX(TrainingAndTravelActual[],MATCH(INDEX(TrainingAndTravelVariances[],ROW()-ROW(TrainingAndTravelVariances[[#Headers],[Oct]]),1),INDEX(TrainingAndTravelPlan[],,1),0),MATCH(TrainingAndTravelVariances[[#Headers],[Oct]],TrainingAndTravelActual[#Headers],0))</f>
        <v>2000</v>
      </c>
      <c r="M31" s="122">
        <f>INDEX(TrainingAndTravelPlan[],MATCH(INDEX(TrainingAndTravelVariances[],ROW()-ROW(TrainingAndTravelVariances[[#Headers],[Nov]]),1),INDEX(TrainingAndTravelPlan[],,1),0),MATCH(TrainingAndTravelVariances[[#Headers],[Nov]],TrainingAndTravelPlan[#Headers],0))-INDEX(TrainingAndTravelActual[],MATCH(INDEX(TrainingAndTravelVariances[],ROW()-ROW(TrainingAndTravelVariances[[#Headers],[Nov]]),1),INDEX(TrainingAndTravelPlan[],,1),0),MATCH(TrainingAndTravelVariances[[#Headers],[Nov]],TrainingAndTravelActual[#Headers],0))</f>
        <v>2000</v>
      </c>
      <c r="N31" s="122">
        <f>INDEX(TrainingAndTravelPlan[],MATCH(INDEX(TrainingAndTravelVariances[],ROW()-ROW(TrainingAndTravelVariances[[#Headers],[Dec]]),1),INDEX(TrainingAndTravelPlan[],,1),0),MATCH(TrainingAndTravelVariances[[#Headers],[Dec]],TrainingAndTravelPlan[#Headers],0))-INDEX(TrainingAndTravelActual[],MATCH(INDEX(TrainingAndTravelVariances[],ROW()-ROW(TrainingAndTravelVariances[[#Headers],[Dec]]),1),INDEX(TrainingAndTravelPlan[],,1),0),MATCH(TrainingAndTravelVariances[[#Headers],[Dec]],TrainingAndTravelActual[#Headers],0))</f>
        <v>2000</v>
      </c>
      <c r="O31" s="122">
        <f>SUM(TrainingAndTravelVariances[[#This Row],[Jan]:[Dec]])</f>
        <v>13000</v>
      </c>
      <c r="P31" s="37"/>
    </row>
    <row r="32" spans="1:16" ht="33.950000000000003" customHeight="1" x14ac:dyDescent="0.45">
      <c r="A32" s="10"/>
      <c r="B32" s="42" t="s">
        <v>31</v>
      </c>
      <c r="C32" s="19">
        <f>INDEX(TrainingAndTravelPlan[],MATCH(INDEX(TrainingAndTravelVariances[],ROW()-ROW(TrainingAndTravelVariances[[#Headers],[Jan]]),1),INDEX(TrainingAndTravelPlan[],,1),0),MATCH(TrainingAndTravelVariances[[#Headers],[Jan]],TrainingAndTravelPlan[#Headers],0))-INDEX(TrainingAndTravelActual[],MATCH(INDEX(TrainingAndTravelVariances[],ROW()-ROW(TrainingAndTravelVariances[[#Headers],[Jan]]),1),INDEX(TrainingAndTravelPlan[],,1),0),MATCH(TrainingAndTravelVariances[[#Headers],[Jan]],TrainingAndTravelActual[#Headers],0))</f>
        <v>800</v>
      </c>
      <c r="D32" s="19">
        <f>INDEX(TrainingAndTravelPlan[],MATCH(INDEX(TrainingAndTravelVariances[],ROW()-ROW(TrainingAndTravelVariances[[#Headers],[Feb]]),1),INDEX(TrainingAndTravelPlan[],,1),0),MATCH(TrainingAndTravelVariances[[#Headers],[Feb]],TrainingAndTravelPlan[#Headers],0))-INDEX(TrainingAndTravelActual[],MATCH(INDEX(TrainingAndTravelVariances[],ROW()-ROW(TrainingAndTravelVariances[[#Headers],[Feb]]),1),INDEX(TrainingAndTravelPlan[],,1),0),MATCH(TrainingAndTravelVariances[[#Headers],[Feb]],TrainingAndTravelActual[#Headers],0))</f>
        <v>-200</v>
      </c>
      <c r="E32" s="19">
        <f>INDEX(TrainingAndTravelPlan[],MATCH(INDEX(TrainingAndTravelVariances[],ROW()-ROW(TrainingAndTravelVariances[[#Headers],[Mar]]),1),INDEX(TrainingAndTravelPlan[],,1),0),MATCH(TrainingAndTravelVariances[[#Headers],[Mar]],TrainingAndTravelPlan[#Headers],0))-INDEX(TrainingAndTravelActual[],MATCH(INDEX(TrainingAndTravelVariances[],ROW()-ROW(TrainingAndTravelVariances[[#Headers],[Mar]]),1),INDEX(TrainingAndTravelPlan[],,1),0),MATCH(TrainingAndTravelVariances[[#Headers],[Mar]],TrainingAndTravelActual[#Headers],0))</f>
        <v>600</v>
      </c>
      <c r="F32" s="19">
        <f>INDEX(TrainingAndTravelPlan[],MATCH(INDEX(TrainingAndTravelVariances[],ROW()-ROW(TrainingAndTravelVariances[[#Headers],[Apr]]),1),INDEX(TrainingAndTravelPlan[],,1),0),MATCH(TrainingAndTravelVariances[[#Headers],[Apr]],TrainingAndTravelPlan[#Headers],0))-INDEX(TrainingAndTravelActual[],MATCH(INDEX(TrainingAndTravelVariances[],ROW()-ROW(TrainingAndTravelVariances[[#Headers],[Apr]]),1),INDEX(TrainingAndTravelPlan[],,1),0),MATCH(TrainingAndTravelVariances[[#Headers],[Apr]],TrainingAndTravelActual[#Headers],0))</f>
        <v>800</v>
      </c>
      <c r="G32" s="19">
        <f>INDEX(TrainingAndTravelPlan[],MATCH(INDEX(TrainingAndTravelVariances[],ROW()-ROW(TrainingAndTravelVariances[[#Headers],[May]]),1),INDEX(TrainingAndTravelPlan[],,1),0),MATCH(TrainingAndTravelVariances[[#Headers],[May]],TrainingAndTravelPlan[#Headers],0))-INDEX(TrainingAndTravelActual[],MATCH(INDEX(TrainingAndTravelVariances[],ROW()-ROW(TrainingAndTravelVariances[[#Headers],[May]]),1),INDEX(TrainingAndTravelPlan[],,1),0),MATCH(TrainingAndTravelVariances[[#Headers],[May]],TrainingAndTravelActual[#Headers],0))</f>
        <v>1200</v>
      </c>
      <c r="H32" s="19">
        <f>INDEX(TrainingAndTravelPlan[],MATCH(INDEX(TrainingAndTravelVariances[],ROW()-ROW(TrainingAndTravelVariances[[#Headers],[Jun]]),1),INDEX(TrainingAndTravelPlan[],,1),0),MATCH(TrainingAndTravelVariances[[#Headers],[Jun]],TrainingAndTravelPlan[#Headers],0))-INDEX(TrainingAndTravelActual[],MATCH(INDEX(TrainingAndTravelVariances[],ROW()-ROW(TrainingAndTravelVariances[[#Headers],[Jun]]),1),INDEX(TrainingAndTravelPlan[],,1),0),MATCH(TrainingAndTravelVariances[[#Headers],[Jun]],TrainingAndTravelActual[#Headers],0))</f>
        <v>-1500</v>
      </c>
      <c r="I32" s="19">
        <f>INDEX(TrainingAndTravelPlan[],MATCH(INDEX(TrainingAndTravelVariances[],ROW()-ROW(TrainingAndTravelVariances[[#Headers],[Jul]]),1),INDEX(TrainingAndTravelPlan[],,1),0),MATCH(TrainingAndTravelVariances[[#Headers],[Jul]],TrainingAndTravelPlan[#Headers],0))-INDEX(TrainingAndTravelActual[],MATCH(INDEX(TrainingAndTravelVariances[],ROW()-ROW(TrainingAndTravelVariances[[#Headers],[Jul]]),1),INDEX(TrainingAndTravelPlan[],,1),0),MATCH(TrainingAndTravelVariances[[#Headers],[Jul]],TrainingAndTravelActual[#Headers],0))</f>
        <v>2000</v>
      </c>
      <c r="J32" s="19">
        <f>INDEX(TrainingAndTravelPlan[],MATCH(INDEX(TrainingAndTravelVariances[],ROW()-ROW(TrainingAndTravelVariances[[#Headers],[Aug]]),1),INDEX(TrainingAndTravelPlan[],,1),0),MATCH(TrainingAndTravelVariances[[#Headers],[Aug]],TrainingAndTravelPlan[#Headers],0))-INDEX(TrainingAndTravelActual[],MATCH(INDEX(TrainingAndTravelVariances[],ROW()-ROW(TrainingAndTravelVariances[[#Headers],[Aug]]),1),INDEX(TrainingAndTravelPlan[],,1),0),MATCH(TrainingAndTravelVariances[[#Headers],[Aug]],TrainingAndTravelActual[#Headers],0))</f>
        <v>2000</v>
      </c>
      <c r="K32" s="19">
        <f>INDEX(TrainingAndTravelPlan[],MATCH(INDEX(TrainingAndTravelVariances[],ROW()-ROW(TrainingAndTravelVariances[[#Headers],[Sep]]),1),INDEX(TrainingAndTravelPlan[],,1),0),MATCH(TrainingAndTravelVariances[[#Headers],[Sep]],TrainingAndTravelPlan[#Headers],0))-INDEX(TrainingAndTravelActual[],MATCH(INDEX(TrainingAndTravelVariances[],ROW()-ROW(TrainingAndTravelVariances[[#Headers],[Sep]]),1),INDEX(TrainingAndTravelPlan[],,1),0),MATCH(TrainingAndTravelVariances[[#Headers],[Sep]],TrainingAndTravelActual[#Headers],0))</f>
        <v>2000</v>
      </c>
      <c r="L32" s="19">
        <f>INDEX(TrainingAndTravelPlan[],MATCH(INDEX(TrainingAndTravelVariances[],ROW()-ROW(TrainingAndTravelVariances[[#Headers],[Oct]]),1),INDEX(TrainingAndTravelPlan[],,1),0),MATCH(TrainingAndTravelVariances[[#Headers],[Oct]],TrainingAndTravelPlan[#Headers],0))-INDEX(TrainingAndTravelActual[],MATCH(INDEX(TrainingAndTravelVariances[],ROW()-ROW(TrainingAndTravelVariances[[#Headers],[Oct]]),1),INDEX(TrainingAndTravelPlan[],,1),0),MATCH(TrainingAndTravelVariances[[#Headers],[Oct]],TrainingAndTravelActual[#Headers],0))</f>
        <v>2000</v>
      </c>
      <c r="M32" s="19">
        <f>INDEX(TrainingAndTravelPlan[],MATCH(INDEX(TrainingAndTravelVariances[],ROW()-ROW(TrainingAndTravelVariances[[#Headers],[Nov]]),1),INDEX(TrainingAndTravelPlan[],,1),0),MATCH(TrainingAndTravelVariances[[#Headers],[Nov]],TrainingAndTravelPlan[#Headers],0))-INDEX(TrainingAndTravelActual[],MATCH(INDEX(TrainingAndTravelVariances[],ROW()-ROW(TrainingAndTravelVariances[[#Headers],[Nov]]),1),INDEX(TrainingAndTravelPlan[],,1),0),MATCH(TrainingAndTravelVariances[[#Headers],[Nov]],TrainingAndTravelActual[#Headers],0))</f>
        <v>2000</v>
      </c>
      <c r="N32" s="19">
        <f>INDEX(TrainingAndTravelPlan[],MATCH(INDEX(TrainingAndTravelVariances[],ROW()-ROW(TrainingAndTravelVariances[[#Headers],[Dec]]),1),INDEX(TrainingAndTravelPlan[],,1),0),MATCH(TrainingAndTravelVariances[[#Headers],[Dec]],TrainingAndTravelPlan[#Headers],0))-INDEX(TrainingAndTravelActual[],MATCH(INDEX(TrainingAndTravelVariances[],ROW()-ROW(TrainingAndTravelVariances[[#Headers],[Dec]]),1),INDEX(TrainingAndTravelPlan[],,1),0),MATCH(TrainingAndTravelVariances[[#Headers],[Dec]],TrainingAndTravelActual[#Headers],0))</f>
        <v>2000</v>
      </c>
      <c r="O32" s="19">
        <f>SUM(TrainingAndTravelVariances[[#This Row],[Jan]:[Dec]])</f>
        <v>13700</v>
      </c>
      <c r="P32" s="37"/>
    </row>
    <row r="33" spans="1:16" ht="33.950000000000003" customHeight="1" x14ac:dyDescent="0.45">
      <c r="A33" s="10"/>
      <c r="B33" s="171" t="s">
        <v>15</v>
      </c>
      <c r="C33" s="26">
        <f>SUBTOTAL(109,TrainingAndTravelVariances[Jan])</f>
        <v>1200</v>
      </c>
      <c r="D33" s="26">
        <f>SUBTOTAL(109,TrainingAndTravelVariances[Feb])</f>
        <v>-600</v>
      </c>
      <c r="E33" s="26">
        <f>SUBTOTAL(109,TrainingAndTravelVariances[Mar])</f>
        <v>1200</v>
      </c>
      <c r="F33" s="26">
        <f>SUBTOTAL(109,TrainingAndTravelVariances[Apr])</f>
        <v>1200</v>
      </c>
      <c r="G33" s="26">
        <f>SUBTOTAL(109,TrainingAndTravelVariances[May])</f>
        <v>2000</v>
      </c>
      <c r="H33" s="26">
        <f>SUBTOTAL(109,TrainingAndTravelVariances[Jun])</f>
        <v>-2300</v>
      </c>
      <c r="I33" s="26">
        <f>SUBTOTAL(109,TrainingAndTravelVariances[Jul])</f>
        <v>4000</v>
      </c>
      <c r="J33" s="26">
        <f>SUBTOTAL(109,TrainingAndTravelVariances[Aug])</f>
        <v>4000</v>
      </c>
      <c r="K33" s="26">
        <f>SUBTOTAL(109,TrainingAndTravelVariances[Sep])</f>
        <v>4000</v>
      </c>
      <c r="L33" s="26">
        <f>SUBTOTAL(109,TrainingAndTravelVariances[Oct])</f>
        <v>4000</v>
      </c>
      <c r="M33" s="26">
        <f>SUBTOTAL(109,TrainingAndTravelVariances[Nov])</f>
        <v>4000</v>
      </c>
      <c r="N33" s="26">
        <f>SUBTOTAL(109,TrainingAndTravelVariances[Dec])</f>
        <v>4000</v>
      </c>
      <c r="O33" s="26">
        <f>SUBTOTAL(109,TrainingAndTravelVariances[YEAR])</f>
        <v>26700</v>
      </c>
      <c r="P33" s="37"/>
    </row>
    <row r="34" spans="1:16" ht="33.950000000000003" customHeight="1" x14ac:dyDescent="0.45">
      <c r="A34" s="10"/>
      <c r="B34" s="187"/>
      <c r="C34" s="187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37"/>
    </row>
    <row r="35" spans="1:16" ht="33.950000000000003" customHeight="1" x14ac:dyDescent="0.45">
      <c r="A35" s="8"/>
      <c r="B35" s="168" t="s">
        <v>32</v>
      </c>
      <c r="C35" s="169" t="s">
        <v>0</v>
      </c>
      <c r="D35" s="169" t="s">
        <v>1</v>
      </c>
      <c r="E35" s="169" t="s">
        <v>2</v>
      </c>
      <c r="F35" s="169" t="s">
        <v>3</v>
      </c>
      <c r="G35" s="169" t="s">
        <v>4</v>
      </c>
      <c r="H35" s="169" t="s">
        <v>5</v>
      </c>
      <c r="I35" s="169" t="s">
        <v>6</v>
      </c>
      <c r="J35" s="169" t="s">
        <v>7</v>
      </c>
      <c r="K35" s="169" t="s">
        <v>8</v>
      </c>
      <c r="L35" s="169" t="s">
        <v>9</v>
      </c>
      <c r="M35" s="169" t="s">
        <v>10</v>
      </c>
      <c r="N35" s="169" t="s">
        <v>11</v>
      </c>
      <c r="O35" s="170" t="s">
        <v>52</v>
      </c>
      <c r="P35" s="37"/>
    </row>
    <row r="36" spans="1:16" ht="33.950000000000003" customHeight="1" x14ac:dyDescent="0.45">
      <c r="A36" s="10"/>
      <c r="B36" s="47" t="s">
        <v>70</v>
      </c>
      <c r="C36" s="135">
        <f>TrainingAndTravelVariances[[#Totals],[Jan]]+MarketingVariances[[#Totals],[Jan]]+OfficeVariances[[#Totals],[Jan]]+EmployeeVariances[[#Totals],[Jan]]</f>
        <v>1738</v>
      </c>
      <c r="D36" s="135">
        <f>TrainingAndTravelVariances[[#Totals],[Feb]]+MarketingVariances[[#Totals],[Feb]]+OfficeVariances[[#Totals],[Feb]]+EmployeeVariances[[#Totals],[Feb]]</f>
        <v>-984</v>
      </c>
      <c r="E36" s="135">
        <f>TrainingAndTravelVariances[[#Totals],[Mar]]+MarketingVariances[[#Totals],[Mar]]+OfficeVariances[[#Totals],[Mar]]+EmployeeVariances[[#Totals],[Mar]]</f>
        <v>1255</v>
      </c>
      <c r="F36" s="135">
        <f>TrainingAndTravelVariances[[#Totals],[Apr]]+MarketingVariances[[#Totals],[Apr]]+OfficeVariances[[#Totals],[Apr]]+EmployeeVariances[[#Totals],[Apr]]</f>
        <v>301</v>
      </c>
      <c r="G36" s="135">
        <f>TrainingAndTravelVariances[[#Totals],[May]]+MarketingVariances[[#Totals],[May]]+OfficeVariances[[#Totals],[May]]+EmployeeVariances[[#Totals],[May]]</f>
        <v>1440</v>
      </c>
      <c r="H36" s="135">
        <f>TrainingAndTravelVariances[[#Totals],[Jun]]+MarketingVariances[[#Totals],[Jun]]+OfficeVariances[[#Totals],[Jun]]+EmployeeVariances[[#Totals],[Jun]]</f>
        <v>-3744</v>
      </c>
      <c r="I36" s="135">
        <f>TrainingAndTravelVariances[[#Totals],[Jul]]+MarketingVariances[[#Totals],[Jul]]+OfficeVariances[[#Totals],[Jul]]+EmployeeVariances[[#Totals],[Jul]]</f>
        <v>134695</v>
      </c>
      <c r="J36" s="135">
        <f>TrainingAndTravelVariances[[#Totals],[Aug]]+MarketingVariances[[#Totals],[Aug]]+OfficeVariances[[#Totals],[Aug]]+EmployeeVariances[[#Totals],[Aug]]</f>
        <v>138918</v>
      </c>
      <c r="K36" s="135">
        <f>TrainingAndTravelVariances[[#Totals],[Sep]]+MarketingVariances[[#Totals],[Sep]]+OfficeVariances[[#Totals],[Sep]]+EmployeeVariances[[#Totals],[Sep]]</f>
        <v>135918</v>
      </c>
      <c r="L36" s="135">
        <f>TrainingAndTravelVariances[[#Totals],[Oct]]+MarketingVariances[[#Totals],[Oct]]+OfficeVariances[[#Totals],[Oct]]+EmployeeVariances[[#Totals],[Oct]]</f>
        <v>140918</v>
      </c>
      <c r="M36" s="135">
        <f>TrainingAndTravelVariances[[#Totals],[Nov]]+MarketingVariances[[#Totals],[Nov]]+OfficeVariances[[#Totals],[Nov]]+EmployeeVariances[[#Totals],[Nov]]</f>
        <v>136218</v>
      </c>
      <c r="N36" s="135">
        <f>TrainingAndTravelVariances[[#Totals],[Dec]]+MarketingVariances[[#Totals],[Dec]]+OfficeVariances[[#Totals],[Dec]]+EmployeeVariances[[#Totals],[Dec]]</f>
        <v>140018</v>
      </c>
      <c r="O36" s="135">
        <f>TrainingAndTravelVariances[[#Totals],[YEAR]]+MarketingVariances[[#Totals],[YEAR]]+OfficeVariances[[#Totals],[YEAR]]+EmployeeVariances[[#Totals],[YEAR]]</f>
        <v>826691</v>
      </c>
      <c r="P36" s="37"/>
    </row>
    <row r="37" spans="1:16" ht="33.950000000000003" customHeight="1" x14ac:dyDescent="0.45">
      <c r="A37" s="10"/>
      <c r="B37" s="44" t="s">
        <v>71</v>
      </c>
      <c r="C37" s="25">
        <f>SUM($C$36:C36)</f>
        <v>1738</v>
      </c>
      <c r="D37" s="25">
        <f>SUM($C$36:D36)</f>
        <v>754</v>
      </c>
      <c r="E37" s="25">
        <f>SUM($C$36:E36)</f>
        <v>2009</v>
      </c>
      <c r="F37" s="25">
        <f>SUM($C$36:F36)</f>
        <v>2310</v>
      </c>
      <c r="G37" s="25">
        <f>SUM($C$36:G36)</f>
        <v>3750</v>
      </c>
      <c r="H37" s="25">
        <f>SUM($C$36:H36)</f>
        <v>6</v>
      </c>
      <c r="I37" s="25">
        <f>SUM($C$36:I36)</f>
        <v>134701</v>
      </c>
      <c r="J37" s="25">
        <f>SUM($C$36:J36)</f>
        <v>273619</v>
      </c>
      <c r="K37" s="25">
        <f>SUM($C$36:K36)</f>
        <v>409537</v>
      </c>
      <c r="L37" s="25">
        <f>SUM($C$36:L36)</f>
        <v>550455</v>
      </c>
      <c r="M37" s="25">
        <f>SUM($C$36:M36)</f>
        <v>686673</v>
      </c>
      <c r="N37" s="25">
        <f>SUM($C$36:N36)</f>
        <v>826691</v>
      </c>
      <c r="O37" s="25"/>
      <c r="P37" s="37"/>
    </row>
  </sheetData>
  <mergeCells count="5">
    <mergeCell ref="B34:C34"/>
    <mergeCell ref="B29:C29"/>
    <mergeCell ref="B20:C20"/>
    <mergeCell ref="B9:C9"/>
    <mergeCell ref="B1:O3"/>
  </mergeCells>
  <printOptions horizontalCentered="1"/>
  <pageMargins left="0.4" right="0.4" top="0.4" bottom="0.4" header="0.3" footer="0.3"/>
  <pageSetup scale="59" fitToHeight="0" orientation="landscape" r:id="rId1"/>
  <headerFooter differentFirst="1">
    <oddFooter>Page &amp;P of &amp;N</oddFooter>
  </headerFooter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/>
    <pageSetUpPr autoPageBreaks="0" fitToPage="1"/>
  </sheetPr>
  <dimension ref="A1:G33"/>
  <sheetViews>
    <sheetView showGridLines="0" zoomScale="85" zoomScaleNormal="85" workbookViewId="0"/>
  </sheetViews>
  <sheetFormatPr defaultColWidth="9" defaultRowHeight="21.75" x14ac:dyDescent="0.45"/>
  <cols>
    <col min="1" max="1" width="2.83203125" style="183" customWidth="1"/>
    <col min="2" max="6" width="50.6640625" style="174" customWidth="1"/>
    <col min="7" max="7" width="2.83203125" style="100" customWidth="1"/>
    <col min="8" max="16384" width="9" style="140"/>
  </cols>
  <sheetData>
    <row r="1" spans="1:7" s="101" customFormat="1" ht="24" customHeight="1" x14ac:dyDescent="0.45">
      <c r="A1" s="1"/>
      <c r="B1" s="184"/>
      <c r="C1" s="184"/>
      <c r="D1" s="184"/>
      <c r="E1" s="184"/>
      <c r="F1" s="184"/>
      <c r="G1" s="182"/>
    </row>
    <row r="2" spans="1:7" s="101" customFormat="1" ht="45" customHeight="1" x14ac:dyDescent="0.45">
      <c r="A2" s="5"/>
      <c r="B2" s="184"/>
      <c r="C2" s="184"/>
      <c r="D2" s="184"/>
      <c r="E2" s="184"/>
      <c r="F2" s="184"/>
      <c r="G2" s="182"/>
    </row>
    <row r="3" spans="1:7" s="101" customFormat="1" ht="79.150000000000006" customHeight="1" x14ac:dyDescent="0.45">
      <c r="A3" s="5"/>
      <c r="B3" s="184"/>
      <c r="C3" s="184"/>
      <c r="D3" s="184"/>
      <c r="E3" s="184"/>
      <c r="F3" s="184"/>
      <c r="G3" s="182"/>
    </row>
    <row r="4" spans="1:7" ht="50.1" customHeight="1" x14ac:dyDescent="0.45">
      <c r="A4" s="48"/>
      <c r="B4" s="64" t="s">
        <v>64</v>
      </c>
      <c r="C4" s="65" t="s">
        <v>37</v>
      </c>
      <c r="D4" s="65" t="s">
        <v>50</v>
      </c>
      <c r="E4" s="65" t="s">
        <v>72</v>
      </c>
      <c r="F4" s="65" t="s">
        <v>65</v>
      </c>
      <c r="G4" s="181"/>
    </row>
    <row r="5" spans="1:7" ht="42" customHeight="1" x14ac:dyDescent="0.45">
      <c r="A5" s="49"/>
      <c r="B5" s="54" t="s">
        <v>58</v>
      </c>
      <c r="C5" s="56">
        <f>EmployeePlan[[#Totals],[YEAR]]</f>
        <v>1355090</v>
      </c>
      <c r="D5" s="56">
        <f>EmployeeActual[[#Totals],[YEAR]]</f>
        <v>659130</v>
      </c>
      <c r="E5" s="56">
        <f>C5-D5</f>
        <v>695960</v>
      </c>
      <c r="F5" s="57">
        <f>E5/C5</f>
        <v>0.5135895032802249</v>
      </c>
      <c r="G5" s="101"/>
    </row>
    <row r="6" spans="1:7" ht="42" customHeight="1" x14ac:dyDescent="0.45">
      <c r="A6" s="48"/>
      <c r="B6" s="55" t="str">
        <f>'PLANNED EXPENSES'!B10</f>
        <v>OFFICE COSTS</v>
      </c>
      <c r="C6" s="58">
        <f>OfficePlan[[#Totals],[YEAR]]</f>
        <v>138740</v>
      </c>
      <c r="D6" s="58">
        <f>OfficeActual[[#Totals],[YEAR]]</f>
        <v>69350</v>
      </c>
      <c r="E6" s="58">
        <f>C6-D6</f>
        <v>69390</v>
      </c>
      <c r="F6" s="59">
        <f>E6/C6</f>
        <v>0.50014415453366012</v>
      </c>
    </row>
    <row r="7" spans="1:7" ht="42" customHeight="1" x14ac:dyDescent="0.45">
      <c r="A7" s="48"/>
      <c r="B7" s="54" t="str">
        <f>'PLANNED EXPENSES'!B21</f>
        <v>MARKETING COSTS</v>
      </c>
      <c r="C7" s="56">
        <f>MarketingPlan[[#Totals],[YEAR]]</f>
        <v>67800</v>
      </c>
      <c r="D7" s="56">
        <f>MarketingActual[[#Totals],[YEAR]]</f>
        <v>33159</v>
      </c>
      <c r="E7" s="56">
        <f>C7-D7</f>
        <v>34641</v>
      </c>
      <c r="F7" s="57">
        <f>E7/C7</f>
        <v>0.51092920353982296</v>
      </c>
    </row>
    <row r="8" spans="1:7" ht="42" customHeight="1" x14ac:dyDescent="0.45">
      <c r="A8" s="48"/>
      <c r="B8" s="55" t="str">
        <f>'PLANNED EXPENSES'!B30</f>
        <v>TRAINING/TRAVEL</v>
      </c>
      <c r="C8" s="58">
        <f>TrainingAndTravelPlan[[#Totals],[YEAR]]</f>
        <v>48000</v>
      </c>
      <c r="D8" s="58">
        <f>TrainingAndTravelActual[[#Totals],[YEAR]]</f>
        <v>21300</v>
      </c>
      <c r="E8" s="58">
        <f>C8-D8</f>
        <v>26700</v>
      </c>
      <c r="F8" s="59">
        <f>E8/C8</f>
        <v>0.55625000000000002</v>
      </c>
    </row>
    <row r="9" spans="1:7" ht="42" customHeight="1" x14ac:dyDescent="0.45">
      <c r="A9" s="48"/>
      <c r="B9" s="54" t="str">
        <f>'PLANNED EXPENSES'!B35</f>
        <v>TOTAL PLANNED EXPENSES</v>
      </c>
      <c r="C9" s="60">
        <f>'PLANNED EXPENSES'!O36</f>
        <v>1609630</v>
      </c>
      <c r="D9" s="60">
        <f>'ACTUAL EXPENSES'!O36</f>
        <v>782939</v>
      </c>
      <c r="E9" s="60">
        <f>C9-D9</f>
        <v>826691</v>
      </c>
      <c r="F9" s="61">
        <f>E9/C9</f>
        <v>0.51359070096854553</v>
      </c>
    </row>
    <row r="10" spans="1:7" x14ac:dyDescent="0.45">
      <c r="A10" s="48"/>
      <c r="B10" s="50"/>
      <c r="C10" s="51"/>
      <c r="D10" s="51"/>
      <c r="E10" s="51"/>
      <c r="F10" s="52"/>
    </row>
    <row r="11" spans="1:7" ht="300" customHeight="1" x14ac:dyDescent="0.45">
      <c r="A11" s="48"/>
      <c r="B11" s="190"/>
      <c r="C11" s="191"/>
      <c r="D11" s="190"/>
      <c r="E11" s="190"/>
      <c r="F11" s="190"/>
      <c r="G11" s="180"/>
    </row>
    <row r="12" spans="1:7" ht="18.75" customHeight="1" x14ac:dyDescent="0.45">
      <c r="A12" s="48"/>
      <c r="B12" s="53"/>
      <c r="C12" s="37"/>
      <c r="D12" s="37"/>
      <c r="E12" s="37"/>
      <c r="F12" s="37"/>
    </row>
    <row r="13" spans="1:7" x14ac:dyDescent="0.45">
      <c r="A13" s="48"/>
      <c r="B13" s="192"/>
      <c r="C13" s="193"/>
      <c r="D13" s="193"/>
      <c r="E13" s="193"/>
      <c r="F13" s="193"/>
    </row>
    <row r="14" spans="1:7" x14ac:dyDescent="0.45">
      <c r="A14" s="48"/>
      <c r="B14" s="192"/>
      <c r="C14" s="193"/>
      <c r="D14" s="193"/>
      <c r="E14" s="193"/>
      <c r="F14" s="193"/>
    </row>
    <row r="15" spans="1:7" x14ac:dyDescent="0.45">
      <c r="A15" s="48"/>
      <c r="B15" s="192"/>
      <c r="C15" s="193"/>
      <c r="D15" s="193"/>
      <c r="E15" s="193"/>
      <c r="F15" s="193"/>
    </row>
    <row r="16" spans="1:7" x14ac:dyDescent="0.45">
      <c r="A16" s="48"/>
      <c r="B16" s="192"/>
      <c r="C16" s="193"/>
      <c r="D16" s="193"/>
      <c r="E16" s="193"/>
      <c r="F16" s="193"/>
    </row>
    <row r="17" spans="1:6" x14ac:dyDescent="0.45">
      <c r="A17" s="48"/>
      <c r="B17" s="192"/>
      <c r="C17" s="193"/>
      <c r="D17" s="193"/>
      <c r="E17" s="193"/>
      <c r="F17" s="193"/>
    </row>
    <row r="18" spans="1:6" x14ac:dyDescent="0.45">
      <c r="A18" s="48"/>
      <c r="B18" s="193"/>
      <c r="C18" s="193"/>
      <c r="D18" s="193"/>
      <c r="E18" s="193"/>
      <c r="F18" s="193"/>
    </row>
    <row r="19" spans="1:6" x14ac:dyDescent="0.45">
      <c r="A19" s="48"/>
      <c r="B19" s="193"/>
      <c r="C19" s="193"/>
      <c r="D19" s="193"/>
      <c r="E19" s="193"/>
      <c r="F19" s="193"/>
    </row>
    <row r="20" spans="1:6" x14ac:dyDescent="0.45">
      <c r="A20" s="48"/>
      <c r="B20" s="193"/>
      <c r="C20" s="193"/>
      <c r="D20" s="193"/>
      <c r="E20" s="193"/>
      <c r="F20" s="193"/>
    </row>
    <row r="21" spans="1:6" x14ac:dyDescent="0.45">
      <c r="A21" s="48"/>
      <c r="B21" s="192"/>
      <c r="C21" s="193"/>
      <c r="D21" s="193"/>
      <c r="E21" s="193"/>
      <c r="F21" s="193"/>
    </row>
    <row r="22" spans="1:6" x14ac:dyDescent="0.45">
      <c r="A22" s="48"/>
      <c r="B22" s="192"/>
      <c r="C22" s="193"/>
      <c r="D22" s="193"/>
      <c r="E22" s="193"/>
      <c r="F22" s="193"/>
    </row>
    <row r="23" spans="1:6" x14ac:dyDescent="0.45">
      <c r="A23" s="48"/>
      <c r="B23" s="192"/>
      <c r="C23" s="193"/>
      <c r="D23" s="193"/>
      <c r="E23" s="193"/>
      <c r="F23" s="193"/>
    </row>
    <row r="24" spans="1:6" x14ac:dyDescent="0.45">
      <c r="A24" s="48"/>
      <c r="B24" s="192"/>
      <c r="C24" s="193"/>
      <c r="D24" s="193"/>
      <c r="E24" s="193"/>
      <c r="F24" s="193"/>
    </row>
    <row r="25" spans="1:6" x14ac:dyDescent="0.45">
      <c r="A25" s="48"/>
      <c r="B25" s="192"/>
      <c r="C25" s="193"/>
      <c r="D25" s="193"/>
      <c r="E25" s="193"/>
      <c r="F25" s="193"/>
    </row>
    <row r="26" spans="1:6" x14ac:dyDescent="0.45">
      <c r="A26" s="48"/>
      <c r="B26" s="192"/>
      <c r="C26" s="193"/>
      <c r="D26" s="193"/>
      <c r="E26" s="193"/>
      <c r="F26" s="193"/>
    </row>
    <row r="27" spans="1:6" x14ac:dyDescent="0.45">
      <c r="A27" s="48"/>
      <c r="B27" s="193"/>
      <c r="C27" s="193"/>
      <c r="D27" s="193"/>
      <c r="E27" s="193"/>
      <c r="F27" s="193"/>
    </row>
    <row r="28" spans="1:6" x14ac:dyDescent="0.45">
      <c r="A28" s="48"/>
      <c r="B28" s="193"/>
      <c r="C28" s="193"/>
      <c r="D28" s="193"/>
      <c r="E28" s="193"/>
      <c r="F28" s="193"/>
    </row>
    <row r="29" spans="1:6" x14ac:dyDescent="0.45">
      <c r="A29" s="48"/>
      <c r="B29" s="193"/>
      <c r="C29" s="193"/>
      <c r="D29" s="193"/>
      <c r="E29" s="193"/>
      <c r="F29" s="193"/>
    </row>
    <row r="30" spans="1:6" x14ac:dyDescent="0.45">
      <c r="A30" s="48"/>
      <c r="B30" s="192"/>
      <c r="C30" s="193"/>
      <c r="D30" s="193"/>
      <c r="E30" s="193"/>
      <c r="F30" s="193"/>
    </row>
    <row r="31" spans="1:6" x14ac:dyDescent="0.45">
      <c r="A31" s="48"/>
      <c r="B31" s="192"/>
      <c r="C31" s="193"/>
      <c r="D31" s="193"/>
      <c r="E31" s="193"/>
      <c r="F31" s="193"/>
    </row>
    <row r="32" spans="1:6" x14ac:dyDescent="0.45">
      <c r="A32" s="48"/>
      <c r="B32" s="193"/>
      <c r="C32" s="193"/>
      <c r="D32" s="193"/>
      <c r="E32" s="193"/>
      <c r="F32" s="193"/>
    </row>
    <row r="33" spans="1:6" x14ac:dyDescent="0.45">
      <c r="A33" s="48"/>
      <c r="B33" s="193"/>
      <c r="C33" s="193"/>
      <c r="D33" s="193"/>
      <c r="E33" s="193"/>
      <c r="F33" s="193"/>
    </row>
  </sheetData>
  <mergeCells count="4">
    <mergeCell ref="D11:F11"/>
    <mergeCell ref="B11:C11"/>
    <mergeCell ref="B13:F33"/>
    <mergeCell ref="B1:F3"/>
  </mergeCells>
  <printOptions horizontalCentered="1"/>
  <pageMargins left="0.4" right="0.4" top="0.4" bottom="0.4" header="0.3" footer="0.3"/>
  <pageSetup scale="46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2F4C7-7C92-4A21-8DE1-70D194F435D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fb0879af-3eba-417a-a55a-ffe6dcd6ca77"/>
    <ds:schemaRef ds:uri="http://schemas.microsoft.com/office/2006/metadata/properties"/>
    <ds:schemaRef ds:uri="http://purl.org/dc/terms/"/>
    <ds:schemaRef ds:uri="http://schemas.microsoft.com/sharepoint/v3"/>
    <ds:schemaRef ds:uri="http://purl.org/dc/elements/1.1/"/>
    <ds:schemaRef ds:uri="6dc4bcd6-49db-4c07-9060-8acfc67cef9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4416933-253C-4B32-A031-F77C5C8777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874573-CA6A-4CE3-89EB-307B5A4CE7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START</vt:lpstr>
      <vt:lpstr>PLANNED EXPENSES</vt:lpstr>
      <vt:lpstr>ACTUAL EXPENSES</vt:lpstr>
      <vt:lpstr>EXPENSE VARIANCES</vt:lpstr>
      <vt:lpstr>EXPENSE ANALYSIS</vt:lpstr>
      <vt:lpstr>'ACTUAL EXPENSES'!Print_Titles</vt:lpstr>
      <vt:lpstr>'EXPENSE VARIANCES'!Print_Titles</vt:lpstr>
      <vt:lpstr>'PLANNED EXPENSES'!Print_Titles</vt:lpstr>
      <vt:lpstr>worksheet_title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2018-08-24T02:09:21Z</dcterms:created>
  <dcterms:modified xsi:type="dcterms:W3CDTF">2019-02-07T15:30:19Z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